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lakshminarasimha\Desktop\TAGIC\EC\Ec Renewal\"/>
    </mc:Choice>
  </mc:AlternateContent>
  <xr:revisionPtr revIDLastSave="0" documentId="13_ncr:1_{D57C9301-D249-444D-95F9-BA6B8970E263}" xr6:coauthVersionLast="47" xr6:coauthVersionMax="47" xr10:uidLastSave="{00000000-0000-0000-0000-000000000000}"/>
  <bookViews>
    <workbookView xWindow="-108" yWindow="-108" windowWidth="23256" windowHeight="12456" tabRatio="836" xr2:uid="{00000000-000D-0000-FFFF-FFFF00000000}"/>
  </bookViews>
  <sheets>
    <sheet name="Quote" sheetId="1" r:id="rId1"/>
    <sheet name="WC Tariff" sheetId="18" r:id="rId2"/>
    <sheet name="Worker Premium Calc" sheetId="5" r:id="rId3"/>
    <sheet name="Trade Category Identification" sheetId="19" r:id="rId4"/>
    <sheet name="Trade Category Idnt Master" sheetId="21" r:id="rId5"/>
    <sheet name="Renewal_Loading" sheetId="20" r:id="rId6"/>
    <sheet name="NSTP Reason" sheetId="11" r:id="rId7"/>
    <sheet name="Renewal Policy Status" sheetId="23" r:id="rId8"/>
    <sheet name="Trade Category Referral Masters" sheetId="22" r:id="rId9"/>
    <sheet name="Master" sheetId="7" r:id="rId10"/>
    <sheet name="OD Loading%" sheetId="10" r:id="rId11"/>
    <sheet name="Medex Loading%" sheetId="9" r:id="rId12"/>
    <sheet name="Trade Category" sheetId="4" r:id="rId13"/>
    <sheet name="City State Location" sheetId="6" r:id="rId14"/>
    <sheet name="TMPL" sheetId="2" r:id="rId15"/>
    <sheet name="Input" sheetId="24" r:id="rId16"/>
    <sheet name="Version" sheetId="17" r:id="rId17"/>
  </sheets>
  <definedNames>
    <definedName name="_xlnm._FilterDatabase" localSheetId="13" hidden="1">'City State Location'!$A$1:$G$5199</definedName>
    <definedName name="_xlnm._FilterDatabase" localSheetId="9" hidden="1">Master!$AQ$1:$AR$105</definedName>
    <definedName name="_xlnm._FilterDatabase" localSheetId="12" hidden="1">'Trade Category'!$A$1:$F$809</definedName>
    <definedName name="_xlnm._FilterDatabase" localSheetId="4" hidden="1">'Trade Category Idnt Master'!$A$1:$D$830</definedName>
    <definedName name="add_comm_pro">Quote!$E$234</definedName>
    <definedName name="agent_corp_logic">'Worker Premium Calc'!$I$58</definedName>
    <definedName name="ahm_count">Quote!$D$374</definedName>
    <definedName name="ahm_loc">Quote!$E$374</definedName>
    <definedName name="ahm_loc1">Quote!$F$374</definedName>
    <definedName name="annual_calc">'Worker Premium Calc'!$K$106</definedName>
    <definedName name="annual_exp_policy_premium">'Worker Premium Calc'!$K$107</definedName>
    <definedName name="app_product_name">Quote!$G$5</definedName>
    <definedName name="arr_claim_details">Quote!$C$82:$G$84</definedName>
    <definedName name="arr_trade_category_details">Quote!$B$114:$C$123</definedName>
    <definedName name="bgl_count">Quote!$D$379</definedName>
    <definedName name="bgl_loc">Quote!$E$379</definedName>
    <definedName name="bgl_loc1">Quote!$F$379</definedName>
    <definedName name="business_type">Quote!$C$5</definedName>
    <definedName name="calc_channel_mapper_name">Quote!$I$5</definedName>
    <definedName name="calim_loading">Quote!$E$88</definedName>
    <definedName name="calim_loading_uw">Quote!$G$259</definedName>
    <definedName name="cgst_perc">'Worker Premium Calc'!$C$92</definedName>
    <definedName name="cgst_value">'Worker Premium Calc'!$D$92</definedName>
    <definedName name="channel">'Worker Premium Calc'!$B$71</definedName>
    <definedName name="channel_mapper">Quote!$I$6</definedName>
    <definedName name="channel_mapper_name">Quote!$I$7</definedName>
    <definedName name="channel_payment">'Worker Premium Calc'!$F$63</definedName>
    <definedName name="check_perc">Quote!$I$136</definedName>
    <definedName name="chn_count">Quote!$D$377</definedName>
    <definedName name="chn_loc">Quote!$E$377</definedName>
    <definedName name="chn_loc1">Quote!$F$377</definedName>
    <definedName name="cl_zone">Quote!$C$29</definedName>
    <definedName name="cl_zone_1">Quote!$C$134</definedName>
    <definedName name="cl_zone_2">Quote!$C$135</definedName>
    <definedName name="cl_zone_2_uw">Quote!$C$262</definedName>
    <definedName name="cl_zone_3">Quote!$C$136</definedName>
    <definedName name="cl_zone_3_uw">Quote!$C$265</definedName>
    <definedName name="cl_zone_uw">Quote!$C$259</definedName>
    <definedName name="cl_zone1_tmpl">TMPL!$B$12</definedName>
    <definedName name="cl_zone2_tmpl">TMPL!$B$15</definedName>
    <definedName name="cl_zone3_tmpl">TMPL!$B$18</definedName>
    <definedName name="claim_amount_1">Quote!$G$87</definedName>
    <definedName name="claim_amount_2">Quote!$G$88</definedName>
    <definedName name="claim_amount_3">Quote!$G$89</definedName>
    <definedName name="claim_amount_tmpl">TMPL!$C$3</definedName>
    <definedName name="claim_count_1">Quote!$I$87</definedName>
    <definedName name="claim_count_2">Quote!$I$88</definedName>
    <definedName name="claim_count_3">Quote!$I$89</definedName>
    <definedName name="claim_count_tmpl">TMPL!$E$3</definedName>
    <definedName name="claim_loading">Quote!$G$300</definedName>
    <definedName name="claim_premium_1">Quote!$H$87</definedName>
    <definedName name="claim_premium_2">Quote!$H$88</definedName>
    <definedName name="claim_premium_3">Quote!$H$89</definedName>
    <definedName name="claim_premium_tmpl">TMPL!$D$3</definedName>
    <definedName name="claim_ratio">Quote!$C$88</definedName>
    <definedName name="claim_ratio_uw">Quote!$C$268</definedName>
    <definedName name="claim_refferal">Quote!$G$301</definedName>
    <definedName name="claim_year_1">Quote!$F$87</definedName>
    <definedName name="claim_year_2">Quote!$F$88</definedName>
    <definedName name="claim_year_3">Quote!$F$89</definedName>
    <definedName name="claim_years">Quote!$C$404</definedName>
    <definedName name="clause_1">Quote!$D$333</definedName>
    <definedName name="clause_1_appl">Quote!$C$333</definedName>
    <definedName name="clause_10">Quote!$D$344</definedName>
    <definedName name="clause_10_appl">Quote!$C$344</definedName>
    <definedName name="clause_11">Quote!$D$345</definedName>
    <definedName name="clause_11_appl">Quote!$C$345</definedName>
    <definedName name="clause_12">Quote!$D$346</definedName>
    <definedName name="clause_12_appl">Quote!$C$346</definedName>
    <definedName name="clause_13">Quote!$D$347</definedName>
    <definedName name="clause_13_appl">Quote!$C$347</definedName>
    <definedName name="clause_14">Quote!$D$348</definedName>
    <definedName name="clause_14_appl">Quote!$C$348</definedName>
    <definedName name="clause_15">Quote!$D$349</definedName>
    <definedName name="clause_15_appl">Quote!$C$349</definedName>
    <definedName name="clause_16">Quote!$D$350</definedName>
    <definedName name="clause_16_appl">Quote!$C$350</definedName>
    <definedName name="clause_17">Quote!$D$351</definedName>
    <definedName name="clause_17_appl">Quote!$C$351</definedName>
    <definedName name="clause_18">Quote!$D$352</definedName>
    <definedName name="clause_18_appl">Quote!$C$352</definedName>
    <definedName name="clause_19">Quote!$D$353</definedName>
    <definedName name="clause_19_appl">Quote!$C$353</definedName>
    <definedName name="clause_2">Quote!$D$334</definedName>
    <definedName name="clause_2_appl">Quote!$C$334</definedName>
    <definedName name="clause_3">Quote!$D$335</definedName>
    <definedName name="clause_3_appl">Quote!$C$335</definedName>
    <definedName name="clause_4">Quote!$D$336</definedName>
    <definedName name="clause_4_appl">Quote!$C$336</definedName>
    <definedName name="clause_5">Quote!$D$337</definedName>
    <definedName name="clause_5_appl">Quote!$C$337</definedName>
    <definedName name="clause_5_master">Master!$BA$22</definedName>
    <definedName name="clause_5a">Quote!$D$338</definedName>
    <definedName name="clause_5a_appl">Quote!$C$338</definedName>
    <definedName name="clause_5b">Quote!$D$339</definedName>
    <definedName name="clause_5b_appl">Quote!$C$339</definedName>
    <definedName name="clause_6">Quote!$D$340</definedName>
    <definedName name="clause_6_appl">Quote!$C$340</definedName>
    <definedName name="clause_7">Quote!$D$341</definedName>
    <definedName name="clause_7_appl">Quote!$C$341</definedName>
    <definedName name="clause_8">Quote!$D$342</definedName>
    <definedName name="clause_8_appl">Quote!$C$342</definedName>
    <definedName name="clause_9">Quote!$D$343</definedName>
    <definedName name="clause_9_appl">Quote!$C$343</definedName>
    <definedName name="clause_code_1">Quote!$E$333</definedName>
    <definedName name="clause_code_10">Quote!$E$344</definedName>
    <definedName name="clause_code_11">Quote!$E$345</definedName>
    <definedName name="clause_code_12">Quote!$E$346</definedName>
    <definedName name="clause_code_13">Quote!$E$347</definedName>
    <definedName name="clause_code_14">Quote!$E$348</definedName>
    <definedName name="clause_code_15">Quote!$E$349</definedName>
    <definedName name="clause_code_2">Quote!$E$334</definedName>
    <definedName name="clause_code_3">Quote!$E$335</definedName>
    <definedName name="clause_code_4">Quote!$E$336</definedName>
    <definedName name="clause_code_5">Quote!$E$337</definedName>
    <definedName name="clause_code_5a">Quote!$E$338</definedName>
    <definedName name="clause_code_5b">Quote!$E$339</definedName>
    <definedName name="clause_code_6">Quote!$E$340</definedName>
    <definedName name="clause_code_7">Quote!$E$341</definedName>
    <definedName name="clause_code_8">Quote!$E$342</definedName>
    <definedName name="clause_code_9">Quote!$E$343</definedName>
    <definedName name="clause_dis_1">Quote!$C$307</definedName>
    <definedName name="clause_dis_10">Quote!$C$318</definedName>
    <definedName name="clause_dis_11">Quote!$C$319</definedName>
    <definedName name="clause_dis_12">Quote!$C$320</definedName>
    <definedName name="clause_dis_13">Quote!$C$321</definedName>
    <definedName name="clause_dis_14">Quote!$C$322</definedName>
    <definedName name="clause_dis_15">Quote!$C$323</definedName>
    <definedName name="clause_dis_16">Quote!$C$324</definedName>
    <definedName name="clause_dis_17">Quote!$C$325</definedName>
    <definedName name="clause_dis_18">Quote!$C$326</definedName>
    <definedName name="clause_dis_19">Quote!$C$327</definedName>
    <definedName name="clause_dis_2">Quote!$C$308</definedName>
    <definedName name="clause_dis_3">Quote!$C$309</definedName>
    <definedName name="clause_dis_4">Quote!$C$310</definedName>
    <definedName name="clause_dis_5">Quote!$C$311</definedName>
    <definedName name="clause_dis_5a">Quote!$C$312</definedName>
    <definedName name="clause_dis_5b">Quote!$C$313</definedName>
    <definedName name="clause_dis_6">Quote!$C$314</definedName>
    <definedName name="clause_dis_7">Quote!$C$315</definedName>
    <definedName name="clause_dis_8">Quote!$C$316</definedName>
    <definedName name="clause_dis_9">Quote!$C$317</definedName>
    <definedName name="client_contact_no">Quote!$C$22</definedName>
    <definedName name="client_email_id">Quote!$G$22</definedName>
    <definedName name="com_city_check">Quote!$G$20</definedName>
    <definedName name="com_pin_check">Quote!$C$20</definedName>
    <definedName name="com_state_check">Quote!$E$20</definedName>
    <definedName name="comm_state_code">'Worker Premium Calc'!$F$67</definedName>
    <definedName name="cont_1">'Worker Premium Calc'!$B$58</definedName>
    <definedName name="cont_1_uw">Quote!$C$131</definedName>
    <definedName name="cont_2">'Worker Premium Calc'!$B$59</definedName>
    <definedName name="cont_2_uw">Quote!$E$131</definedName>
    <definedName name="cont_3">'Worker Premium Calc'!$B$60</definedName>
    <definedName name="cont_3_uw">Quote!$G$131</definedName>
    <definedName name="cont_per_1">'Worker Premium Calc'!$C$58</definedName>
    <definedName name="cont_per_2">'Worker Premium Calc'!$C$59</definedName>
    <definedName name="cont_per_3">'Worker Premium Calc'!$C$60</definedName>
    <definedName name="cont1_tmpl">TMPL!$E$12</definedName>
    <definedName name="cont2_tmpl">TMPL!$E$15</definedName>
    <definedName name="cont3_tmpl">TMPL!$E$18</definedName>
    <definedName name="contractors_coverd">Quote!$G$76</definedName>
    <definedName name="decimal_check">Quote!$H$240</definedName>
    <definedName name="del_count">Quote!$D$380</definedName>
    <definedName name="del_loc">Quote!$E$380</definedName>
    <definedName name="del_loc1">Quote!$F$380</definedName>
    <definedName name="diff_premium">'Worker Premium Calc'!$K$96</definedName>
    <definedName name="ec_discount">'Worker Premium Calc'!$J$71</definedName>
    <definedName name="ec_discount_per">Quote!$E$244</definedName>
    <definedName name="exp_policy_premium">Quote!$D$301</definedName>
    <definedName name="experience_master">Master!$R$8:$R$9</definedName>
    <definedName name="extent_master">Master!$V$10:$V$11</definedName>
    <definedName name="final_cl_zone">Quote!$E$383</definedName>
    <definedName name="final_cl_zone1">Quote!$E$384</definedName>
    <definedName name="final_load_disc">Quote!$G$299</definedName>
    <definedName name="final_load_disc_per">Quote!$G$396</definedName>
    <definedName name="final_load_disc_uw">Quote!$G$265</definedName>
    <definedName name="final_premium">Quote!$D$297</definedName>
    <definedName name="gc_product_code">Quote!$E$5</definedName>
    <definedName name="general_risk_features">Quote!$H$139</definedName>
    <definedName name="general_risk_features_loading">Quote!$G$296</definedName>
    <definedName name="general_risk_features_uw">Quote!$G$390</definedName>
    <definedName name="general_risk_protection">Quote!$E$139</definedName>
    <definedName name="general_risk_protection_disc">Quote!$G$295</definedName>
    <definedName name="general_risk_protection_per">Quote!$E$140</definedName>
    <definedName name="general_risk_protection_uw">Quote!$E$390</definedName>
    <definedName name="group_size_master">Master!$R$12:$R$15</definedName>
    <definedName name="grp_claim_details">Quote!$C$81:$G$85</definedName>
    <definedName name="grp_client_information">Quote!$C$12:$I$22</definedName>
    <definedName name="grp_contribution_details">Quote!$C$130:$G$136</definedName>
    <definedName name="grp_custom_clauses">Quote!$C$342:$C$349</definedName>
    <definedName name="grp_default_clauses">Quote!$C$333:$C$341</definedName>
    <definedName name="grp_discount_parameter_options">Quote!$C$146:$E$159</definedName>
    <definedName name="grp_display_no_of_lines">Quote!$C$175:$C$176</definedName>
    <definedName name="grp_loading_and_discount">Quote!$C$238:$G$239</definedName>
    <definedName name="grp_loading_parameter_options">Quote!$C$162:$E$170</definedName>
    <definedName name="grp_loc_count">Quote!$C$31:$C$32</definedName>
    <definedName name="grp_medex">Quote!$C$96:$G$100</definedName>
    <definedName name="grp_occupational_disease">Quote!$C$105:$I$106</definedName>
    <definedName name="grp_product_details">Quote!$B$3:$J$6</definedName>
    <definedName name="grp_risk_detail">Quote!$C$28:$I$29</definedName>
    <definedName name="grp_risk_location_1">Quote!$C$35:$G$39</definedName>
    <definedName name="grp_risk_location_2">Quote!$C$43:$G$47</definedName>
    <definedName name="grp_risk_location_3">Quote!$C$51:$G$55</definedName>
    <definedName name="grp_risk_location_4">Quote!$C$59:$G$63</definedName>
    <definedName name="grp_risk_location_5">Quote!$C$67:$G$71</definedName>
    <definedName name="grp_risk_protection_features">Quote!$C$138:$H$139</definedName>
    <definedName name="grp_trade_category">Quote!$B$113:$C$123</definedName>
    <definedName name="grp_underwriter_remarks">Quote!$C$248:$C$249</definedName>
    <definedName name="grp_uw_outputs">Quote!$C$255:$I$271</definedName>
    <definedName name="grp_uw_referral">Quote!$C$233:$E$234</definedName>
    <definedName name="grp_wc_tariff_premium">Quote!$C$243:$G$244</definedName>
    <definedName name="grp_work_details">Quote!$C$75:$I$79</definedName>
    <definedName name="grp_worker_details_1">Quote!$C$179:$H$179</definedName>
    <definedName name="grp_worker_details_10">Quote!$C$188:$H$188</definedName>
    <definedName name="grp_worker_details_11">Quote!$C$189:$H$189</definedName>
    <definedName name="grp_worker_details_12">Quote!$C$190:$H$190</definedName>
    <definedName name="grp_worker_details_13">Quote!$C$191:$H$191</definedName>
    <definedName name="grp_worker_details_14">Quote!$C$192:$H$192</definedName>
    <definedName name="grp_worker_details_15">Quote!$C$193:$H$193</definedName>
    <definedName name="grp_worker_details_16">Quote!$C$194:$H$194</definedName>
    <definedName name="grp_worker_details_17">Quote!$C$195:$H$195</definedName>
    <definedName name="grp_worker_details_18">Quote!$C$196:$H$196</definedName>
    <definedName name="grp_worker_details_19">Quote!$C$197:$H$197</definedName>
    <definedName name="grp_worker_details_2">Quote!$C$180:$H$180</definedName>
    <definedName name="grp_worker_details_20">Quote!$C$198:$H$198</definedName>
    <definedName name="grp_worker_details_21">Quote!$C$199:$H$199</definedName>
    <definedName name="grp_worker_details_22">Quote!$C$200:$H$200</definedName>
    <definedName name="grp_worker_details_23">Quote!$C$201:$H$201</definedName>
    <definedName name="grp_worker_details_24">Quote!$C$202:$H$202</definedName>
    <definedName name="grp_worker_details_25">Quote!$C$203:$H$203</definedName>
    <definedName name="grp_worker_details_26">Quote!$C$204:$H$204</definedName>
    <definedName name="grp_worker_details_27">Quote!$C$205:$H$205</definedName>
    <definedName name="grp_worker_details_28">Quote!$C$206:$H$206</definedName>
    <definedName name="grp_worker_details_29">Quote!$C$207:$H$207</definedName>
    <definedName name="grp_worker_details_3">Quote!$C$181:$H$181</definedName>
    <definedName name="grp_worker_details_30">Quote!$C$208:$H$208</definedName>
    <definedName name="grp_worker_details_31">Quote!$C$209:$H$209</definedName>
    <definedName name="grp_worker_details_32">Quote!$C$210:$H$210</definedName>
    <definedName name="grp_worker_details_33">Quote!$C$211:$H$211</definedName>
    <definedName name="grp_worker_details_34">Quote!$C$212:$H$212</definedName>
    <definedName name="grp_worker_details_35">Quote!$C$213:$H$213</definedName>
    <definedName name="grp_worker_details_36">Quote!$C$214:$H$214</definedName>
    <definedName name="grp_worker_details_37">Quote!$C$215:$H$215</definedName>
    <definedName name="grp_worker_details_38">Quote!$C$216:$H$216</definedName>
    <definedName name="grp_worker_details_39">Quote!$C$217:$H$217</definedName>
    <definedName name="grp_worker_details_4">Quote!$C$182:$H$182</definedName>
    <definedName name="grp_worker_details_40">Quote!$C$218:$H$218</definedName>
    <definedName name="grp_worker_details_41">Quote!$C$219:$H$219</definedName>
    <definedName name="grp_worker_details_42">Quote!$C$220:$H$220</definedName>
    <definedName name="grp_worker_details_43">Quote!$C$221:$H$221</definedName>
    <definedName name="grp_worker_details_44">Quote!$C$222:$H$222</definedName>
    <definedName name="grp_worker_details_45">Quote!$C$223:$H$223</definedName>
    <definedName name="grp_worker_details_46">Quote!$C$224:$H$224</definedName>
    <definedName name="grp_worker_details_47">Quote!$C$225:$H$225</definedName>
    <definedName name="grp_worker_details_48">Quote!$C$226:$H$226</definedName>
    <definedName name="grp_worker_details_49">Quote!$C$227:$H$227</definedName>
    <definedName name="grp_worker_details_5">Quote!$C$183:$H$183</definedName>
    <definedName name="grp_worker_details_50">Quote!$C$228:$H$228</definedName>
    <definedName name="grp_worker_details_6">Quote!$C$184:$H$184</definedName>
    <definedName name="grp_worker_details_7">Quote!$C$185:$H$185</definedName>
    <definedName name="grp_worker_details_8">Quote!$C$186:$H$186</definedName>
    <definedName name="grp_worker_details_9">Quote!$C$187:$H$187</definedName>
    <definedName name="gst">Quote!$D$299</definedName>
    <definedName name="hyd_count">Quote!$D$375</definedName>
    <definedName name="hyd_loc">Quote!$E$375</definedName>
    <definedName name="hyd_loc1">Quote!$F$375</definedName>
    <definedName name="igst_perc">'Worker Premium Calc'!$C$94</definedName>
    <definedName name="igst_value">'Worker Premium Calc'!$D$94</definedName>
    <definedName name="insured_name">Quote!$C$13</definedName>
    <definedName name="internal_uw_app">Quote!$C$256</definedName>
    <definedName name="kol_count">Quote!$D$376</definedName>
    <definedName name="kol_loc">Quote!$E$376</definedName>
    <definedName name="kol_loc1">Quote!$F$376</definedName>
    <definedName name="length_increase_tmpl">TMPL!$C$6</definedName>
    <definedName name="load_disc_check">'Worker Premium Calc'!$H$88</definedName>
    <definedName name="load_disc_perc">Quote!$G$240</definedName>
    <definedName name="load_exp_policy_premium">Quote!$D$303</definedName>
    <definedName name="loading">'Worker Premium Calc'!$K$97</definedName>
    <definedName name="loading_discount">Quote!$G$239</definedName>
    <definedName name="loading_discount_uw">Quote!$E$396</definedName>
    <definedName name="loc_1_address_line1">Quote!$C$36</definedName>
    <definedName name="loc_1_address_line2">Quote!$E$36</definedName>
    <definedName name="loc_1_address_line3">Quote!$G$36</definedName>
    <definedName name="loc_1_city">Quote!$G$39</definedName>
    <definedName name="loc_1_city_state">Quote!$I$39</definedName>
    <definedName name="loc_1_pincode">Quote!$C$39</definedName>
    <definedName name="loc_1_state">Quote!$E$39</definedName>
    <definedName name="loc_2_address_line1">Quote!$C$44</definedName>
    <definedName name="loc_2_address_line2">Quote!$E$44</definedName>
    <definedName name="loc_2_address_line3">Quote!$G$44</definedName>
    <definedName name="loc_2_city">Quote!$G$47</definedName>
    <definedName name="loc_2_city_state">Quote!$I$47</definedName>
    <definedName name="loc_2_pincode">Quote!$C$47</definedName>
    <definedName name="loc_2_state">Quote!$E$47</definedName>
    <definedName name="loc_3_address_line1">Quote!$C$52</definedName>
    <definedName name="loc_3_address_line2">Quote!$E$52</definedName>
    <definedName name="loc_3_address_line3">Quote!$G$52</definedName>
    <definedName name="loc_3_city">Quote!$G$55</definedName>
    <definedName name="loc_3_city_state">Quote!$I$55</definedName>
    <definedName name="loc_3_pincode">Quote!$C$55</definedName>
    <definedName name="loc_3_state">Quote!$E$55</definedName>
    <definedName name="loc_4_address_line1">Quote!$C$60</definedName>
    <definedName name="loc_4_address_line2">Quote!$E$60</definedName>
    <definedName name="loc_4_address_line3">Quote!$G$60</definedName>
    <definedName name="loc_4_city">Quote!$G$63</definedName>
    <definedName name="loc_4_city_state">Quote!$I$63</definedName>
    <definedName name="loc_4_pincode">Quote!$C$63</definedName>
    <definedName name="loc_4_state">Quote!$E$63</definedName>
    <definedName name="loc_5_address_line1">Quote!$C$68</definedName>
    <definedName name="loc_5_address_line2">Quote!$E$68</definedName>
    <definedName name="loc_5_address_line3">Quote!$G$68</definedName>
    <definedName name="loc_5_city">Quote!$G$71</definedName>
    <definedName name="loc_5_city_state">Quote!$I$71</definedName>
    <definedName name="loc_5_pincode">Quote!$C$71</definedName>
    <definedName name="loc_5_state">Quote!$E$71</definedName>
    <definedName name="location">'Worker Premium Calc'!$D$71</definedName>
    <definedName name="location_1">Quote!$D$134</definedName>
    <definedName name="location_2">Quote!$D$135</definedName>
    <definedName name="location_3">Quote!$D$136</definedName>
    <definedName name="location_code">'Worker Premium Calc'!$F$71</definedName>
    <definedName name="location_count">Quote!$C$32</definedName>
    <definedName name="location_count_master">Master!$BF$2:$BF$6</definedName>
    <definedName name="location_group_1">Quote!$E$134</definedName>
    <definedName name="location_group_1_uw">Quote!$E$259</definedName>
    <definedName name="location_group_2">Quote!$E$135</definedName>
    <definedName name="location_group_2_uw">Quote!$E$262</definedName>
    <definedName name="location_group_3">Quote!$E$136</definedName>
    <definedName name="location_group_3_uw">Quote!$E$265</definedName>
    <definedName name="location_group1_tmpl">TMPL!$D$12</definedName>
    <definedName name="location_group2_tmpl">TMPL!$D$15</definedName>
    <definedName name="location_group3_tmpl">TMPL!$D$18</definedName>
    <definedName name="location_type">Quote!$E$29</definedName>
    <definedName name="location_type_master">Master!$F$1:$F$3</definedName>
    <definedName name="location_type_users">Master!$AI$6</definedName>
    <definedName name="location_type_uw">Quote!$I$29</definedName>
    <definedName name="location1_tmpl">TMPL!$C$12</definedName>
    <definedName name="location2_tmpl">TMPL!$C$15</definedName>
    <definedName name="location3_tmpl">TMPL!$C$18</definedName>
    <definedName name="locationtype_producer">Master!$AL$1</definedName>
    <definedName name="locationtype_uw">Master!$AL$5:$AL$7</definedName>
    <definedName name="loss_history">Quote!$C$79</definedName>
    <definedName name="lp_option_option_1">Quote!$D$163</definedName>
    <definedName name="lp_option_option_2">Quote!$D$164</definedName>
    <definedName name="lp_option_option_3">Quote!$D$165</definedName>
    <definedName name="lp_option_option_4">Quote!$D$166</definedName>
    <definedName name="lp_option_option_5">Quote!$D$167</definedName>
    <definedName name="lp_option_option_6">Quote!$D$168</definedName>
    <definedName name="lp_option_option_7">Quote!$D$169</definedName>
    <definedName name="lp_option_option_8">Quote!$D$170</definedName>
    <definedName name="lp_option_per_1">Quote!$E$163</definedName>
    <definedName name="lp_option_per_2">Quote!$E$164</definedName>
    <definedName name="lp_option_per_3">Quote!$E$165</definedName>
    <definedName name="lp_option_per_4">Quote!$E$166</definedName>
    <definedName name="lp_option_per_5">Quote!$E$167</definedName>
    <definedName name="lp_option_per_6">Quote!$E$168</definedName>
    <definedName name="lp_option_per_7">Quote!$E$169</definedName>
    <definedName name="lp_option_per_8">Quote!$E$170</definedName>
    <definedName name="medex_act_flag">'Worker Premium Calc'!$F$80</definedName>
    <definedName name="medex_actuals">Quote!$C$100</definedName>
    <definedName name="medex_agg_flag">'Worker Premium Calc'!$H$80</definedName>
    <definedName name="medex_agg_uw_error">'Worker Premium Calc'!$K$80</definedName>
    <definedName name="medex_agg_uw_error_msg">'Worker Premium Calc'!$K$81</definedName>
    <definedName name="medex_aggregate_limit">Quote!$G$97</definedName>
    <definedName name="medex_flag">'Worker Premium Calc'!$B$80</definedName>
    <definedName name="medex_loading">Quote!$E$100</definedName>
    <definedName name="medex_loading_uw">Quote!$G$268</definedName>
    <definedName name="medex_location">Quote!$G$100</definedName>
    <definedName name="medex_location_uw">Quote!$C$271</definedName>
    <definedName name="medex_master">Master!$L$1:$L$6</definedName>
    <definedName name="medex_option">Quote!$C$97</definedName>
    <definedName name="medex_per_person_limit">Quote!$E$97</definedName>
    <definedName name="medex_pp_flag">'Worker Premium Calc'!$D$80</definedName>
    <definedName name="medex_pp_uw_error">'Worker Premium Calc'!$J$80</definedName>
    <definedName name="medex_pp_uw_error_msg">'Worker Premium Calc'!$J$81</definedName>
    <definedName name="medex_prem_1">Quote!$G$276</definedName>
    <definedName name="medex_prem_10">Quote!$G$285</definedName>
    <definedName name="medex_prem_11">Quote!$G$286</definedName>
    <definedName name="medex_prem_12">Quote!$G$287</definedName>
    <definedName name="medex_prem_13">Quote!$G$288</definedName>
    <definedName name="medex_prem_14">Quote!$G$289</definedName>
    <definedName name="medex_prem_15">Quote!$G$290</definedName>
    <definedName name="medex_prem_2">Quote!$G$277</definedName>
    <definedName name="medex_prem_3">Quote!$G$278</definedName>
    <definedName name="medex_prem_4">Quote!$G$279</definedName>
    <definedName name="medex_prem_5">Quote!$G$280</definedName>
    <definedName name="medex_prem_6">Quote!$G$281</definedName>
    <definedName name="medex_prem_7">Quote!$G$282</definedName>
    <definedName name="medex_prem_8">Quote!$G$283</definedName>
    <definedName name="medex_prem_9">Quote!$G$284</definedName>
    <definedName name="medex_premium">Quote!$D$295</definedName>
    <definedName name="medex_premium_uw">Quote!$I$262</definedName>
    <definedName name="monthly_wages_1">Quote!$F$179</definedName>
    <definedName name="monthly_wages_10">Quote!$F$188</definedName>
    <definedName name="monthly_wages_11">Quote!$F$189</definedName>
    <definedName name="monthly_wages_12">Quote!$F$190</definedName>
    <definedName name="monthly_wages_13">Quote!$F$191</definedName>
    <definedName name="monthly_wages_14">Quote!$F$192</definedName>
    <definedName name="monthly_wages_15">Quote!$F$193</definedName>
    <definedName name="monthly_wages_16">Quote!$F$194</definedName>
    <definedName name="monthly_wages_17">Quote!$F$195</definedName>
    <definedName name="monthly_wages_18">Quote!$F$196</definedName>
    <definedName name="monthly_wages_19">Quote!$F$197</definedName>
    <definedName name="monthly_wages_2">Quote!$F$180</definedName>
    <definedName name="monthly_wages_20">Quote!$F$198</definedName>
    <definedName name="monthly_wages_21">Quote!$F$199</definedName>
    <definedName name="monthly_wages_22">Quote!$F$200</definedName>
    <definedName name="monthly_wages_23">Quote!$F$201</definedName>
    <definedName name="monthly_wages_24">Quote!$F$202</definedName>
    <definedName name="monthly_wages_25">Quote!$F$203</definedName>
    <definedName name="monthly_wages_26">Quote!$F$204</definedName>
    <definedName name="monthly_wages_27">Quote!$F$205</definedName>
    <definedName name="monthly_wages_28">Quote!$F$206</definedName>
    <definedName name="monthly_wages_29">Quote!$F$207</definedName>
    <definedName name="monthly_wages_3">Quote!$F$181</definedName>
    <definedName name="monthly_wages_30">Quote!$F$208</definedName>
    <definedName name="monthly_wages_31">Quote!$F$209</definedName>
    <definedName name="monthly_wages_32">Quote!$F$210</definedName>
    <definedName name="monthly_wages_33">Quote!$F$211</definedName>
    <definedName name="monthly_wages_34">Quote!$F$212</definedName>
    <definedName name="monthly_wages_35">Quote!$F$213</definedName>
    <definedName name="monthly_wages_36">Quote!$F$214</definedName>
    <definedName name="monthly_wages_37">Quote!$F$215</definedName>
    <definedName name="monthly_wages_38">Quote!$F$216</definedName>
    <definedName name="monthly_wages_39">Quote!$F$217</definedName>
    <definedName name="monthly_wages_4">Quote!$F$182</definedName>
    <definedName name="monthly_wages_40">Quote!$F$218</definedName>
    <definedName name="monthly_wages_41">Quote!$F$219</definedName>
    <definedName name="monthly_wages_42">Quote!$F$220</definedName>
    <definedName name="monthly_wages_43">Quote!$F$221</definedName>
    <definedName name="monthly_wages_44">Quote!$F$222</definedName>
    <definedName name="monthly_wages_45">Quote!$F$223</definedName>
    <definedName name="monthly_wages_46">Quote!$F$224</definedName>
    <definedName name="monthly_wages_47">Quote!$F$225</definedName>
    <definedName name="monthly_wages_48">Quote!$F$226</definedName>
    <definedName name="monthly_wages_49">Quote!$F$227</definedName>
    <definedName name="monthly_wages_5">Quote!$F$183</definedName>
    <definedName name="monthly_wages_50">Quote!$F$228</definedName>
    <definedName name="monthly_wages_6">Quote!$F$184</definedName>
    <definedName name="monthly_wages_7">Quote!$F$185</definedName>
    <definedName name="monthly_wages_8">Quote!$F$186</definedName>
    <definedName name="monthly_wages_9">Quote!$F$187</definedName>
    <definedName name="msme_customer">Quote!$E$13</definedName>
    <definedName name="msme_no">Quote!$G$13</definedName>
    <definedName name="msme_validation">'Worker Premium Calc'!$J$58</definedName>
    <definedName name="mum_count">Quote!$D$381</definedName>
    <definedName name="mum_loc">Quote!$E$381</definedName>
    <definedName name="mum_loc1">Quote!$F$381</definedName>
    <definedName name="nature_of_loss">Quote!$E$79</definedName>
    <definedName name="nb_premium">Quote!$D$302</definedName>
    <definedName name="net_premium">Quote!$D$293</definedName>
    <definedName name="net_premium_uw">Quote!$I$259</definedName>
    <definedName name="new_cont1">'Worker Premium Calc'!$E$58</definedName>
    <definedName name="new_cont2">'Worker Premium Calc'!$E$59</definedName>
    <definedName name="new_cont3">'Worker Premium Calc'!$E$60</definedName>
    <definedName name="new_trade_catg_code">'Trade Category Identification'!$D$5</definedName>
    <definedName name="new_trade_catg_desc">'Trade Category Identification'!$E$5</definedName>
    <definedName name="no_master">Master!$N$1</definedName>
    <definedName name="no_of_days">'Worker Premium Calc'!$K$103</definedName>
    <definedName name="no_of_worker_1">Quote!$C$179</definedName>
    <definedName name="no_of_worker_10">Quote!$C$188</definedName>
    <definedName name="no_of_worker_11">Quote!$C$189</definedName>
    <definedName name="no_of_worker_12">Quote!$C$190</definedName>
    <definedName name="no_of_worker_13">Quote!$C$191</definedName>
    <definedName name="no_of_worker_14">Quote!$C$192</definedName>
    <definedName name="no_of_worker_15">Quote!$C$193</definedName>
    <definedName name="no_of_worker_16">Quote!$C$194</definedName>
    <definedName name="no_of_worker_17">Quote!$C$195</definedName>
    <definedName name="no_of_worker_18">Quote!$C$196</definedName>
    <definedName name="no_of_worker_19">Quote!$C$197</definedName>
    <definedName name="no_of_worker_2">Quote!$C$180</definedName>
    <definedName name="no_of_worker_20">Quote!$C$198</definedName>
    <definedName name="no_of_worker_21">Quote!$C$199</definedName>
    <definedName name="no_of_worker_22">Quote!$C$200</definedName>
    <definedName name="no_of_worker_23">Quote!$C$201</definedName>
    <definedName name="no_of_worker_24">Quote!$C$202</definedName>
    <definedName name="no_of_worker_25">Quote!$C$203</definedName>
    <definedName name="no_of_worker_26">Quote!$C$204</definedName>
    <definedName name="no_of_worker_27">Quote!$C$205</definedName>
    <definedName name="no_of_worker_28">Quote!$C$206</definedName>
    <definedName name="no_of_worker_29">Quote!$C$207</definedName>
    <definedName name="no_of_worker_3">Quote!$C$181</definedName>
    <definedName name="no_of_worker_30">Quote!$C$208</definedName>
    <definedName name="no_of_worker_31">Quote!$C$209</definedName>
    <definedName name="no_of_worker_32">Quote!$C$210</definedName>
    <definedName name="no_of_worker_33">Quote!$C$211</definedName>
    <definedName name="no_of_worker_34">Quote!$C$212</definedName>
    <definedName name="no_of_worker_35">Quote!$C$213</definedName>
    <definedName name="no_of_worker_36">Quote!$C$214</definedName>
    <definedName name="no_of_worker_37">Quote!$C$215</definedName>
    <definedName name="no_of_worker_38">Quote!$C$216</definedName>
    <definedName name="no_of_worker_39">Quote!$C$217</definedName>
    <definedName name="no_of_worker_4">Quote!$C$182</definedName>
    <definedName name="no_of_worker_40">Quote!$C$218</definedName>
    <definedName name="no_of_worker_41">Quote!$C$219</definedName>
    <definedName name="no_of_worker_42">Quote!$C$220</definedName>
    <definedName name="no_of_worker_43">Quote!$C$221</definedName>
    <definedName name="no_of_worker_44">Quote!$C$222</definedName>
    <definedName name="no_of_worker_45">Quote!$C$223</definedName>
    <definedName name="no_of_worker_46">Quote!$C$224</definedName>
    <definedName name="no_of_worker_47">Quote!$C$225</definedName>
    <definedName name="no_of_worker_48">Quote!$C$226</definedName>
    <definedName name="no_of_worker_49">Quote!$C$227</definedName>
    <definedName name="no_of_worker_5">Quote!$C$183</definedName>
    <definedName name="no_of_worker_50">Quote!$C$228</definedName>
    <definedName name="no_of_worker_6">Quote!$C$184</definedName>
    <definedName name="no_of_worker_7">Quote!$C$185</definedName>
    <definedName name="no_of_worker_8">Quote!$C$186</definedName>
    <definedName name="no_of_worker_9">Quote!$C$187</definedName>
    <definedName name="no_yes_master">Master!$O$1:$O$2</definedName>
    <definedName name="nsm_min_dis">'Worker Premium Calc'!$J$76</definedName>
    <definedName name="nstp_flag">'NSTP Reason'!$E$28</definedName>
    <definedName name="nstp_reason">'NSTP Reason'!$F$28</definedName>
    <definedName name="od_act_flag">'Worker Premium Calc'!$F$84</definedName>
    <definedName name="od_actuals">Quote!$G$106</definedName>
    <definedName name="od_actuals_uw">Quote!$G$393</definedName>
    <definedName name="od_agg_flag">'Worker Premium Calc'!$H$84</definedName>
    <definedName name="od_agg_uw_error">'Worker Premium Calc'!$K$84</definedName>
    <definedName name="od_agg_uw_error_msg">'Worker Premium Calc'!$K$85</definedName>
    <definedName name="od_aggregate_limit">Quote!$E$106</definedName>
    <definedName name="od_aggregate_limit_uw">Quote!$E$393</definedName>
    <definedName name="od_flag">'Worker Premium Calc'!$B$84</definedName>
    <definedName name="od_loading">Quote!$I$106</definedName>
    <definedName name="od_loading_per_uw">Quote!$I$393</definedName>
    <definedName name="od_loading_uw">Quote!$G$262</definedName>
    <definedName name="od_per_person_limit">Quote!$C$106</definedName>
    <definedName name="od_per_person_limit_uw">Quote!$C$393</definedName>
    <definedName name="od_pp_flag">'Worker Premium Calc'!$D$84</definedName>
    <definedName name="od_pp_uw_error">'Worker Premium Calc'!$J$84</definedName>
    <definedName name="od_pp_uw_error_msg">'Worker Premium Calc'!$J$85</definedName>
    <definedName name="od_prem_1">Quote!$H$276</definedName>
    <definedName name="od_prem_10">Quote!$H$285</definedName>
    <definedName name="od_prem_11">Quote!$H$286</definedName>
    <definedName name="od_prem_12">Quote!$H$287</definedName>
    <definedName name="od_prem_13">Quote!$H$288</definedName>
    <definedName name="od_prem_14">Quote!$H$289</definedName>
    <definedName name="od_prem_15">Quote!$H$290</definedName>
    <definedName name="od_prem_2">Quote!$H$277</definedName>
    <definedName name="od_prem_3">Quote!$H$278</definedName>
    <definedName name="od_prem_4">Quote!$H$279</definedName>
    <definedName name="od_prem_5">Quote!$H$280</definedName>
    <definedName name="od_prem_6">Quote!$H$281</definedName>
    <definedName name="od_prem_7">Quote!$H$282</definedName>
    <definedName name="od_prem_8">Quote!$H$283</definedName>
    <definedName name="od_prem_9">Quote!$H$284</definedName>
    <definedName name="od_premium">Quote!$D$296</definedName>
    <definedName name="od_premium_uw">Quote!$I$265</definedName>
    <definedName name="old_new_uin">Quote!$C$400</definedName>
    <definedName name="open_claims">Quote!$C$408</definedName>
    <definedName name="option_1">Quote!$D$147</definedName>
    <definedName name="option_10">Quote!$D$156</definedName>
    <definedName name="option_11">Quote!$D$157</definedName>
    <definedName name="option_12">Quote!$D$158</definedName>
    <definedName name="option_13">Quote!$D$159</definedName>
    <definedName name="option_2">Quote!$D$148</definedName>
    <definedName name="option_3">Quote!$D$149</definedName>
    <definedName name="option_4">Quote!$D$150</definedName>
    <definedName name="option_5">Quote!$D$151</definedName>
    <definedName name="option_6">Quote!$D$152</definedName>
    <definedName name="option_7">Quote!$D$153</definedName>
    <definedName name="option_8">Quote!$D$154</definedName>
    <definedName name="option_9">Quote!$D$155</definedName>
    <definedName name="option_per_1">Quote!$E$147</definedName>
    <definedName name="option_per_10">Quote!$E$156</definedName>
    <definedName name="option_per_11">Quote!$E$157</definedName>
    <definedName name="option_per_12">Quote!$E$158</definedName>
    <definedName name="option_per_13">Quote!$E$159</definedName>
    <definedName name="option_per_2">Quote!$E$148</definedName>
    <definedName name="option_per_3">Quote!$E$149</definedName>
    <definedName name="option_per_4">Quote!$E$150</definedName>
    <definedName name="option_per_5">Quote!$E$151</definedName>
    <definedName name="option_per_6">Quote!$E$152</definedName>
    <definedName name="option_per_7">Quote!$E$153</definedName>
    <definedName name="option_per_8">Quote!$E$154</definedName>
    <definedName name="option_per_9">Quote!$E$155</definedName>
    <definedName name="os_claim_amount">Quote!$C$410</definedName>
    <definedName name="paid_claim_amount">Quote!$C$406</definedName>
    <definedName name="paid_claims">Quote!$C$402</definedName>
    <definedName name="per_day_permium">'Worker Premium Calc'!$K$105</definedName>
    <definedName name="policy_status">'Renewal Policy Status'!$L$22</definedName>
    <definedName name="policy_term">Quote!$E$76</definedName>
    <definedName name="policy_term_master">Master!$I$1:$I$12</definedName>
    <definedName name="premium_api">Quote!$C$412</definedName>
    <definedName name="premium_display_master">Master!$BB$1</definedName>
    <definedName name="print_trade_category_details">Quote!$F$114:$H$123</definedName>
    <definedName name="producer_load_perc_uw">Quote!$C$396</definedName>
    <definedName name="producer_max_load">'Worker Premium Calc'!$D$76</definedName>
    <definedName name="producer_min_dis">'Worker Premium Calc'!$B$76</definedName>
    <definedName name="producer_type">'Worker Premium Calc'!$B$67</definedName>
    <definedName name="product_code_sequence">'Worker Premium Calc'!$B$63</definedName>
    <definedName name="proposer_address_line1">Quote!$C$16</definedName>
    <definedName name="proposer_address_line2">Quote!$E$16</definedName>
    <definedName name="proposer_address_line3">Quote!$G$16</definedName>
    <definedName name="proposer_city">Quote!$G$19</definedName>
    <definedName name="proposer_city_state">Quote!$I$19</definedName>
    <definedName name="proposer_pincode">Quote!$C$19</definedName>
    <definedName name="proposer_state">Quote!$E$19</definedName>
    <definedName name="proposer_telephone">Quote!$E$22</definedName>
    <definedName name="pun_count">Quote!$D$378</definedName>
    <definedName name="pun_loc">Quote!$E$378</definedName>
    <definedName name="pun_loc1">Quote!$F$378</definedName>
    <definedName name="pup_dl">'Worker Premium Calc'!$D$63</definedName>
    <definedName name="quote_state_code">'Worker Premium Calc'!$D$67</definedName>
    <definedName name="rate_loc1_1">'Worker Premium Calc'!$K$5</definedName>
    <definedName name="rate_loc1_10">'Worker Premium Calc'!$K$14</definedName>
    <definedName name="rate_loc1_11">'Worker Premium Calc'!$K$15</definedName>
    <definedName name="rate_loc1_12">'Worker Premium Calc'!$K$16</definedName>
    <definedName name="rate_loc1_13">'Worker Premium Calc'!$K$17</definedName>
    <definedName name="rate_loc1_14">'Worker Premium Calc'!$K$18</definedName>
    <definedName name="rate_loc1_15">'Worker Premium Calc'!$K$19</definedName>
    <definedName name="rate_loc1_16">'Worker Premium Calc'!$K$20</definedName>
    <definedName name="rate_loc1_17">'Worker Premium Calc'!$K$21</definedName>
    <definedName name="rate_loc1_18">'Worker Premium Calc'!$K$22</definedName>
    <definedName name="rate_loc1_19">'Worker Premium Calc'!$K$23</definedName>
    <definedName name="rate_loc1_2">'Worker Premium Calc'!$K$6</definedName>
    <definedName name="rate_loc1_20">'Worker Premium Calc'!$K$24</definedName>
    <definedName name="rate_loc1_21">'Worker Premium Calc'!$K$25</definedName>
    <definedName name="rate_loc1_22">'Worker Premium Calc'!$K$26</definedName>
    <definedName name="rate_loc1_23">'Worker Premium Calc'!$K$27</definedName>
    <definedName name="rate_loc1_24">'Worker Premium Calc'!$K$28</definedName>
    <definedName name="rate_loc1_25">'Worker Premium Calc'!$K$29</definedName>
    <definedName name="rate_loc1_26">'Worker Premium Calc'!$K$30</definedName>
    <definedName name="rate_loc1_27">'Worker Premium Calc'!$K$31</definedName>
    <definedName name="rate_loc1_28">'Worker Premium Calc'!$K$32</definedName>
    <definedName name="rate_loc1_29">'Worker Premium Calc'!$K$33</definedName>
    <definedName name="rate_loc1_3">'Worker Premium Calc'!$K$7</definedName>
    <definedName name="rate_loc1_30">'Worker Premium Calc'!$K$34</definedName>
    <definedName name="rate_loc1_31">'Worker Premium Calc'!$K$35</definedName>
    <definedName name="rate_loc1_32">'Worker Premium Calc'!$K$36</definedName>
    <definedName name="rate_loc1_33">'Worker Premium Calc'!$K$37</definedName>
    <definedName name="rate_loc1_34">'Worker Premium Calc'!$K$38</definedName>
    <definedName name="rate_loc1_35">'Worker Premium Calc'!$K$39</definedName>
    <definedName name="rate_loc1_36">'Worker Premium Calc'!$K$40</definedName>
    <definedName name="rate_loc1_37">'Worker Premium Calc'!$K$41</definedName>
    <definedName name="rate_loc1_38">'Worker Premium Calc'!$K$42</definedName>
    <definedName name="rate_loc1_39">'Worker Premium Calc'!$K$43</definedName>
    <definedName name="rate_loc1_4">'Worker Premium Calc'!$K$8</definedName>
    <definedName name="rate_loc1_40">'Worker Premium Calc'!$K$44</definedName>
    <definedName name="rate_loc1_41">'Worker Premium Calc'!$K$45</definedName>
    <definedName name="rate_loc1_42">'Worker Premium Calc'!$K$46</definedName>
    <definedName name="rate_loc1_43">'Worker Premium Calc'!$K$47</definedName>
    <definedName name="rate_loc1_44">'Worker Premium Calc'!$K$48</definedName>
    <definedName name="rate_loc1_45">'Worker Premium Calc'!$K$49</definedName>
    <definedName name="rate_loc1_46">'Worker Premium Calc'!$K$50</definedName>
    <definedName name="rate_loc1_47">'Worker Premium Calc'!$K$51</definedName>
    <definedName name="rate_loc1_48">'Worker Premium Calc'!$K$52</definedName>
    <definedName name="rate_loc1_49">'Worker Premium Calc'!$K$53</definedName>
    <definedName name="rate_loc1_5">'Worker Premium Calc'!$K$9</definedName>
    <definedName name="rate_loc1_50">'Worker Premium Calc'!$K$54</definedName>
    <definedName name="rate_loc1_6">'Worker Premium Calc'!$K$10</definedName>
    <definedName name="rate_loc1_7">'Worker Premium Calc'!$K$11</definedName>
    <definedName name="rate_loc1_8">'Worker Premium Calc'!$K$12</definedName>
    <definedName name="rate_loc1_9">'Worker Premium Calc'!$K$13</definedName>
    <definedName name="rate_loc1a_1">'Worker Premium Calc'!$N$5</definedName>
    <definedName name="rate_loc1a_10">'Worker Premium Calc'!$N$14</definedName>
    <definedName name="rate_loc1a_11">'Worker Premium Calc'!$N$15</definedName>
    <definedName name="rate_loc1a_12">'Worker Premium Calc'!$N$16</definedName>
    <definedName name="rate_loc1a_13">'Worker Premium Calc'!$N$17</definedName>
    <definedName name="rate_loc1a_14">'Worker Premium Calc'!$N$18</definedName>
    <definedName name="rate_loc1a_15">'Worker Premium Calc'!$N$19</definedName>
    <definedName name="rate_loc1a_16">'Worker Premium Calc'!$N$20</definedName>
    <definedName name="rate_loc1a_17">'Worker Premium Calc'!$N$21</definedName>
    <definedName name="rate_loc1a_18">'Worker Premium Calc'!$N$22</definedName>
    <definedName name="rate_loc1a_19">'Worker Premium Calc'!$N$23</definedName>
    <definedName name="rate_loc1a_2">'Worker Premium Calc'!$N$6</definedName>
    <definedName name="rate_loc1a_20">'Worker Premium Calc'!$N$24</definedName>
    <definedName name="rate_loc1a_21">'Worker Premium Calc'!$N$25</definedName>
    <definedName name="rate_loc1a_22">'Worker Premium Calc'!$N$26</definedName>
    <definedName name="rate_loc1a_23">'Worker Premium Calc'!$N$27</definedName>
    <definedName name="rate_loc1a_24">'Worker Premium Calc'!$N$28</definedName>
    <definedName name="rate_loc1a_25">'Worker Premium Calc'!$N$29</definedName>
    <definedName name="rate_loc1a_26">'Worker Premium Calc'!$N$30</definedName>
    <definedName name="rate_loc1a_27">'Worker Premium Calc'!$N$31</definedName>
    <definedName name="rate_loc1a_28">'Worker Premium Calc'!$N$32</definedName>
    <definedName name="rate_loc1a_29">'Worker Premium Calc'!$N$33</definedName>
    <definedName name="rate_loc1a_3">'Worker Premium Calc'!$N$7</definedName>
    <definedName name="rate_loc1a_30">'Worker Premium Calc'!$N$34</definedName>
    <definedName name="rate_loc1a_31">'Worker Premium Calc'!$N$35</definedName>
    <definedName name="rate_loc1a_32">'Worker Premium Calc'!$N$36</definedName>
    <definedName name="rate_loc1a_33">'Worker Premium Calc'!$N$37</definedName>
    <definedName name="rate_loc1a_34">'Worker Premium Calc'!$N$38</definedName>
    <definedName name="rate_loc1a_35">'Worker Premium Calc'!$N$39</definedName>
    <definedName name="rate_loc1a_36">'Worker Premium Calc'!$N$40</definedName>
    <definedName name="rate_loc1a_37">'Worker Premium Calc'!$N$41</definedName>
    <definedName name="rate_loc1a_38">'Worker Premium Calc'!$N$42</definedName>
    <definedName name="rate_loc1a_39">'Worker Premium Calc'!$N$43</definedName>
    <definedName name="rate_loc1a_4">'Worker Premium Calc'!$N$8</definedName>
    <definedName name="rate_loc1a_40">'Worker Premium Calc'!$N$44</definedName>
    <definedName name="rate_loc1a_41">'Worker Premium Calc'!$N$45</definedName>
    <definedName name="rate_loc1a_42">'Worker Premium Calc'!$N$46</definedName>
    <definedName name="rate_loc1a_43">'Worker Premium Calc'!$N$47</definedName>
    <definedName name="rate_loc1a_44">'Worker Premium Calc'!$N$48</definedName>
    <definedName name="rate_loc1a_45">'Worker Premium Calc'!$N$49</definedName>
    <definedName name="rate_loc1a_46">'Worker Premium Calc'!$N$50</definedName>
    <definedName name="rate_loc1a_47">'Worker Premium Calc'!$N$51</definedName>
    <definedName name="rate_loc1a_48">'Worker Premium Calc'!$N$52</definedName>
    <definedName name="rate_loc1a_49">'Worker Premium Calc'!$N$53</definedName>
    <definedName name="rate_loc1a_5">'Worker Premium Calc'!$N$9</definedName>
    <definedName name="rate_loc1a_50">'Worker Premium Calc'!$N$54</definedName>
    <definedName name="rate_loc1a_6">'Worker Premium Calc'!$N$10</definedName>
    <definedName name="rate_loc1a_7">'Worker Premium Calc'!$N$11</definedName>
    <definedName name="rate_loc1a_8">'Worker Premium Calc'!$N$12</definedName>
    <definedName name="rate_loc1a_9">'Worker Premium Calc'!$N$13</definedName>
    <definedName name="rate_loc2_1">'Worker Premium Calc'!$L$5</definedName>
    <definedName name="rate_loc2_10">'Worker Premium Calc'!$L$14</definedName>
    <definedName name="rate_loc2_11">'Worker Premium Calc'!$L$15</definedName>
    <definedName name="rate_loc2_12">'Worker Premium Calc'!$L$16</definedName>
    <definedName name="rate_loc2_13">'Worker Premium Calc'!$L$17</definedName>
    <definedName name="rate_loc2_14">'Worker Premium Calc'!$L$18</definedName>
    <definedName name="rate_loc2_15">'Worker Premium Calc'!$L$19</definedName>
    <definedName name="rate_loc2_16">'Worker Premium Calc'!$L$20</definedName>
    <definedName name="rate_loc2_17">'Worker Premium Calc'!$L$21</definedName>
    <definedName name="rate_loc2_18">'Worker Premium Calc'!$L$22</definedName>
    <definedName name="rate_loc2_19">'Worker Premium Calc'!$L$23</definedName>
    <definedName name="rate_loc2_2">'Worker Premium Calc'!$L$6</definedName>
    <definedName name="rate_loc2_20">'Worker Premium Calc'!$L$24</definedName>
    <definedName name="rate_loc2_21">'Worker Premium Calc'!$L$25</definedName>
    <definedName name="rate_loc2_22">'Worker Premium Calc'!$L$26</definedName>
    <definedName name="rate_loc2_23">'Worker Premium Calc'!$L$27</definedName>
    <definedName name="rate_loc2_24">'Worker Premium Calc'!$L$28</definedName>
    <definedName name="rate_loc2_25">'Worker Premium Calc'!$L$29</definedName>
    <definedName name="rate_loc2_26">'Worker Premium Calc'!$L$30</definedName>
    <definedName name="rate_loc2_27">'Worker Premium Calc'!$L$31</definedName>
    <definedName name="rate_loc2_28">'Worker Premium Calc'!$L$32</definedName>
    <definedName name="rate_loc2_29">'Worker Premium Calc'!$L$33</definedName>
    <definedName name="rate_loc2_3">'Worker Premium Calc'!$L$7</definedName>
    <definedName name="rate_loc2_30">'Worker Premium Calc'!$L$34</definedName>
    <definedName name="rate_loc2_31">'Worker Premium Calc'!$L$35</definedName>
    <definedName name="rate_loc2_32">'Worker Premium Calc'!$L$36</definedName>
    <definedName name="rate_loc2_33">'Worker Premium Calc'!$L$37</definedName>
    <definedName name="rate_loc2_34">'Worker Premium Calc'!$L$38</definedName>
    <definedName name="rate_loc2_35">'Worker Premium Calc'!$L$39</definedName>
    <definedName name="rate_loc2_36">'Worker Premium Calc'!$L$40</definedName>
    <definedName name="rate_loc2_37">'Worker Premium Calc'!$L$41</definedName>
    <definedName name="rate_loc2_38">'Worker Premium Calc'!$L$42</definedName>
    <definedName name="rate_loc2_39">'Worker Premium Calc'!$L$43</definedName>
    <definedName name="rate_loc2_4">'Worker Premium Calc'!$L$8</definedName>
    <definedName name="rate_loc2_40">'Worker Premium Calc'!$L$44</definedName>
    <definedName name="rate_loc2_41">'Worker Premium Calc'!$L$45</definedName>
    <definedName name="rate_loc2_42">'Worker Premium Calc'!$L$46</definedName>
    <definedName name="rate_loc2_43">'Worker Premium Calc'!$L$47</definedName>
    <definedName name="rate_loc2_44">'Worker Premium Calc'!$L$48</definedName>
    <definedName name="rate_loc2_45">'Worker Premium Calc'!$L$49</definedName>
    <definedName name="rate_loc2_46">'Worker Premium Calc'!$L$50</definedName>
    <definedName name="rate_loc2_47">'Worker Premium Calc'!$L$51</definedName>
    <definedName name="rate_loc2_48">'Worker Premium Calc'!$L$52</definedName>
    <definedName name="rate_loc2_49">'Worker Premium Calc'!$L$53</definedName>
    <definedName name="rate_loc2_5">'Worker Premium Calc'!$L$9</definedName>
    <definedName name="rate_loc2_50">'Worker Premium Calc'!$L$54</definedName>
    <definedName name="rate_loc2_6">'Worker Premium Calc'!$L$10</definedName>
    <definedName name="rate_loc2_7">'Worker Premium Calc'!$L$11</definedName>
    <definedName name="rate_loc2_8">'Worker Premium Calc'!$L$12</definedName>
    <definedName name="rate_loc2_9">'Worker Premium Calc'!$L$13</definedName>
    <definedName name="rate_loc2b_1">'Worker Premium Calc'!$O$5</definedName>
    <definedName name="rate_loc2b_10">'Worker Premium Calc'!$O$14</definedName>
    <definedName name="rate_loc2b_11">'Worker Premium Calc'!$O$15</definedName>
    <definedName name="rate_loc2b_12">'Worker Premium Calc'!$O$16</definedName>
    <definedName name="rate_loc2b_13">'Worker Premium Calc'!$O$17</definedName>
    <definedName name="rate_loc2b_14">'Worker Premium Calc'!$O$18</definedName>
    <definedName name="rate_loc2b_15">'Worker Premium Calc'!$O$19</definedName>
    <definedName name="rate_loc2b_16">'Worker Premium Calc'!$O$20</definedName>
    <definedName name="rate_loc2b_17">'Worker Premium Calc'!$O$21</definedName>
    <definedName name="rate_loc2b_18">'Worker Premium Calc'!$O$22</definedName>
    <definedName name="rate_loc2b_19">'Worker Premium Calc'!$O$23</definedName>
    <definedName name="rate_loc2b_2">'Worker Premium Calc'!$O$6</definedName>
    <definedName name="rate_loc2b_20">'Worker Premium Calc'!$O$24</definedName>
    <definedName name="rate_loc2b_21">'Worker Premium Calc'!$O$25</definedName>
    <definedName name="rate_loc2b_22">'Worker Premium Calc'!$O$26</definedName>
    <definedName name="rate_loc2b_23">'Worker Premium Calc'!$O$27</definedName>
    <definedName name="rate_loc2b_24">'Worker Premium Calc'!$O$28</definedName>
    <definedName name="rate_loc2b_25">'Worker Premium Calc'!$O$29</definedName>
    <definedName name="rate_loc2b_26">'Worker Premium Calc'!$O$30</definedName>
    <definedName name="rate_loc2b_27">'Worker Premium Calc'!$O$31</definedName>
    <definedName name="rate_loc2b_28">'Worker Premium Calc'!$O$32</definedName>
    <definedName name="rate_loc2b_29">'Worker Premium Calc'!$O$33</definedName>
    <definedName name="rate_loc2b_3">'Worker Premium Calc'!$O$7</definedName>
    <definedName name="rate_loc2b_30">'Worker Premium Calc'!$O$34</definedName>
    <definedName name="rate_loc2b_31">'Worker Premium Calc'!$O$35</definedName>
    <definedName name="rate_loc2b_32">'Worker Premium Calc'!$O$36</definedName>
    <definedName name="rate_loc2b_33">'Worker Premium Calc'!$O$37</definedName>
    <definedName name="rate_loc2b_34">'Worker Premium Calc'!$O$38</definedName>
    <definedName name="rate_loc2b_35">'Worker Premium Calc'!$O$39</definedName>
    <definedName name="rate_loc2b_36">'Worker Premium Calc'!$O$40</definedName>
    <definedName name="rate_loc2b_37">'Worker Premium Calc'!$O$41</definedName>
    <definedName name="rate_loc2b_38">'Worker Premium Calc'!$O$42</definedName>
    <definedName name="rate_loc2b_39">'Worker Premium Calc'!$O$43</definedName>
    <definedName name="rate_loc2b_4">'Worker Premium Calc'!$O$8</definedName>
    <definedName name="rate_loc2b_40">'Worker Premium Calc'!$O$44</definedName>
    <definedName name="rate_loc2b_41">'Worker Premium Calc'!$O$45</definedName>
    <definedName name="rate_loc2b_42">'Worker Premium Calc'!$O$46</definedName>
    <definedName name="rate_loc2b_43">'Worker Premium Calc'!$O$47</definedName>
    <definedName name="rate_loc2b_44">'Worker Premium Calc'!$O$48</definedName>
    <definedName name="rate_loc2b_45">'Worker Premium Calc'!$O$49</definedName>
    <definedName name="rate_loc2b_46">'Worker Premium Calc'!$O$50</definedName>
    <definedName name="rate_loc2b_47">'Worker Premium Calc'!$O$51</definedName>
    <definedName name="rate_loc2b_48">'Worker Premium Calc'!$O$52</definedName>
    <definedName name="rate_loc2b_49">'Worker Premium Calc'!$O$53</definedName>
    <definedName name="rate_loc2b_5">'Worker Premium Calc'!$O$9</definedName>
    <definedName name="rate_loc2b_50">'Worker Premium Calc'!$O$54</definedName>
    <definedName name="rate_loc2b_6">'Worker Premium Calc'!$O$10</definedName>
    <definedName name="rate_loc2b_7">'Worker Premium Calc'!$O$11</definedName>
    <definedName name="rate_loc2b_8">'Worker Premium Calc'!$O$12</definedName>
    <definedName name="rate_loc2b_9">'Worker Premium Calc'!$O$13</definedName>
    <definedName name="rate_loc3_1">'Worker Premium Calc'!$M$5</definedName>
    <definedName name="rate_loc3_10">'Worker Premium Calc'!$M$14</definedName>
    <definedName name="rate_loc3_11">'Worker Premium Calc'!$M$15</definedName>
    <definedName name="rate_loc3_12">'Worker Premium Calc'!$M$16</definedName>
    <definedName name="rate_loc3_13">'Worker Premium Calc'!$M$17</definedName>
    <definedName name="rate_loc3_14">'Worker Premium Calc'!$M$18</definedName>
    <definedName name="rate_loc3_15">'Worker Premium Calc'!$M$19</definedName>
    <definedName name="rate_loc3_16">'Worker Premium Calc'!$M$20</definedName>
    <definedName name="rate_loc3_17">'Worker Premium Calc'!$M$21</definedName>
    <definedName name="rate_loc3_18">'Worker Premium Calc'!$M$22</definedName>
    <definedName name="rate_loc3_19">'Worker Premium Calc'!$M$23</definedName>
    <definedName name="rate_loc3_2">'Worker Premium Calc'!$M$6</definedName>
    <definedName name="rate_loc3_20">'Worker Premium Calc'!$M$24</definedName>
    <definedName name="rate_loc3_21">'Worker Premium Calc'!$M$25</definedName>
    <definedName name="rate_loc3_22">'Worker Premium Calc'!$M$26</definedName>
    <definedName name="rate_loc3_23">'Worker Premium Calc'!$M$27</definedName>
    <definedName name="rate_loc3_24">'Worker Premium Calc'!$M$28</definedName>
    <definedName name="rate_loc3_25">'Worker Premium Calc'!$M$29</definedName>
    <definedName name="rate_loc3_26">'Worker Premium Calc'!$M$30</definedName>
    <definedName name="rate_loc3_27">'Worker Premium Calc'!$M$31</definedName>
    <definedName name="rate_loc3_28">'Worker Premium Calc'!$M$32</definedName>
    <definedName name="rate_loc3_29">'Worker Premium Calc'!$M$33</definedName>
    <definedName name="rate_loc3_3">'Worker Premium Calc'!$M$7</definedName>
    <definedName name="rate_loc3_30">'Worker Premium Calc'!$M$34</definedName>
    <definedName name="rate_loc3_31">'Worker Premium Calc'!$M$35</definedName>
    <definedName name="rate_loc3_32">'Worker Premium Calc'!$M$36</definedName>
    <definedName name="rate_loc3_33">'Worker Premium Calc'!$M$37</definedName>
    <definedName name="rate_loc3_34">'Worker Premium Calc'!$M$38</definedName>
    <definedName name="rate_loc3_35">'Worker Premium Calc'!$M$39</definedName>
    <definedName name="rate_loc3_36">'Worker Premium Calc'!$M$40</definedName>
    <definedName name="rate_loc3_37">'Worker Premium Calc'!$M$41</definedName>
    <definedName name="rate_loc3_38">'Worker Premium Calc'!$M$42</definedName>
    <definedName name="rate_loc3_39">'Worker Premium Calc'!$M$43</definedName>
    <definedName name="rate_loc3_4">'Worker Premium Calc'!$M$8</definedName>
    <definedName name="rate_loc3_40">'Worker Premium Calc'!$M$44</definedName>
    <definedName name="rate_loc3_41">'Worker Premium Calc'!$M$45</definedName>
    <definedName name="rate_loc3_42">'Worker Premium Calc'!$M$46</definedName>
    <definedName name="rate_loc3_43">'Worker Premium Calc'!$M$47</definedName>
    <definedName name="rate_loc3_44">'Worker Premium Calc'!$M$48</definedName>
    <definedName name="rate_loc3_45">'Worker Premium Calc'!$M$49</definedName>
    <definedName name="rate_loc3_46">'Worker Premium Calc'!$M$50</definedName>
    <definedName name="rate_loc3_47">'Worker Premium Calc'!$M$51</definedName>
    <definedName name="rate_loc3_48">'Worker Premium Calc'!$M$52</definedName>
    <definedName name="rate_loc3_49">'Worker Premium Calc'!$M$53</definedName>
    <definedName name="rate_loc3_5">'Worker Premium Calc'!$M$9</definedName>
    <definedName name="rate_loc3_50">'Worker Premium Calc'!$M$54</definedName>
    <definedName name="rate_loc3_6">'Worker Premium Calc'!$M$10</definedName>
    <definedName name="rate_loc3_7">'Worker Premium Calc'!$M$11</definedName>
    <definedName name="rate_loc3_8">'Worker Premium Calc'!$M$12</definedName>
    <definedName name="rate_loc3_9">'Worker Premium Calc'!$M$13</definedName>
    <definedName name="rate_loc3c_1">'Worker Premium Calc'!$P$5</definedName>
    <definedName name="rate_loc3c_10">'Worker Premium Calc'!$P$14</definedName>
    <definedName name="rate_loc3c_11">'Worker Premium Calc'!$P$15</definedName>
    <definedName name="rate_loc3c_12">'Worker Premium Calc'!$P$16</definedName>
    <definedName name="rate_loc3c_13">'Worker Premium Calc'!$P$17</definedName>
    <definedName name="rate_loc3c_14">'Worker Premium Calc'!$P$18</definedName>
    <definedName name="rate_loc3c_15">'Worker Premium Calc'!$P$19</definedName>
    <definedName name="rate_loc3c_16">'Worker Premium Calc'!$P$20</definedName>
    <definedName name="rate_loc3c_17">'Worker Premium Calc'!$P$21</definedName>
    <definedName name="rate_loc3c_18">'Worker Premium Calc'!$P$22</definedName>
    <definedName name="rate_loc3c_19">'Worker Premium Calc'!$P$23</definedName>
    <definedName name="rate_loc3c_2">'Worker Premium Calc'!$P$6</definedName>
    <definedName name="rate_loc3c_20">'Worker Premium Calc'!$P$24</definedName>
    <definedName name="rate_loc3c_21">'Worker Premium Calc'!$P$25</definedName>
    <definedName name="rate_loc3c_22">'Worker Premium Calc'!$P$26</definedName>
    <definedName name="rate_loc3c_23">'Worker Premium Calc'!$P$27</definedName>
    <definedName name="rate_loc3c_24">'Worker Premium Calc'!$P$28</definedName>
    <definedName name="rate_loc3c_25">'Worker Premium Calc'!$P$29</definedName>
    <definedName name="rate_loc3c_26">'Worker Premium Calc'!$P$30</definedName>
    <definedName name="rate_loc3c_27">'Worker Premium Calc'!$P$31</definedName>
    <definedName name="rate_loc3c_28">'Worker Premium Calc'!$P$32</definedName>
    <definedName name="rate_loc3c_29">'Worker Premium Calc'!$P$33</definedName>
    <definedName name="rate_loc3c_3">'Worker Premium Calc'!$P$7</definedName>
    <definedName name="rate_loc3c_30">'Worker Premium Calc'!$P$34</definedName>
    <definedName name="rate_loc3c_31">'Worker Premium Calc'!$P$35</definedName>
    <definedName name="rate_loc3c_32">'Worker Premium Calc'!$P$36</definedName>
    <definedName name="rate_loc3c_33">'Worker Premium Calc'!$P$37</definedName>
    <definedName name="rate_loc3c_34">'Worker Premium Calc'!$P$38</definedName>
    <definedName name="rate_loc3c_35">'Worker Premium Calc'!$P$39</definedName>
    <definedName name="rate_loc3c_36">'Worker Premium Calc'!$P$40</definedName>
    <definedName name="rate_loc3c_37">'Worker Premium Calc'!$P$41</definedName>
    <definedName name="rate_loc3c_38">'Worker Premium Calc'!$P$42</definedName>
    <definedName name="rate_loc3c_39">'Worker Premium Calc'!$P$43</definedName>
    <definedName name="rate_loc3c_4">'Worker Premium Calc'!$P$8</definedName>
    <definedName name="rate_loc3c_40">'Worker Premium Calc'!$P$44</definedName>
    <definedName name="rate_loc3c_41">'Worker Premium Calc'!$P$45</definedName>
    <definedName name="rate_loc3c_42">'Worker Premium Calc'!$P$46</definedName>
    <definedName name="rate_loc3c_43">'Worker Premium Calc'!$P$47</definedName>
    <definedName name="rate_loc3c_44">'Worker Premium Calc'!$P$48</definedName>
    <definedName name="rate_loc3c_45">'Worker Premium Calc'!$P$49</definedName>
    <definedName name="rate_loc3c_46">'Worker Premium Calc'!$P$50</definedName>
    <definedName name="rate_loc3c_47">'Worker Premium Calc'!$P$51</definedName>
    <definedName name="rate_loc3c_48">'Worker Premium Calc'!$P$52</definedName>
    <definedName name="rate_loc3c_49">'Worker Premium Calc'!$P$53</definedName>
    <definedName name="rate_loc3c_5">'Worker Premium Calc'!$P$9</definedName>
    <definedName name="rate_loc3c_50">'Worker Premium Calc'!$P$54</definedName>
    <definedName name="rate_loc3c_6">'Worker Premium Calc'!$P$10</definedName>
    <definedName name="rate_loc3c_7">'Worker Premium Calc'!$P$11</definedName>
    <definedName name="rate_loc3c_8">'Worker Premium Calc'!$P$12</definedName>
    <definedName name="rate_loc3c_9">'Worker Premium Calc'!$P$13</definedName>
    <definedName name="refer_to_uw">Quote!$C$234</definedName>
    <definedName name="req_prem">'WC Tariff'!$N$3</definedName>
    <definedName name="req_prem_check">Quote!$C$245</definedName>
    <definedName name="required_premium">Quote!$C$244</definedName>
    <definedName name="revised_exp_policy_premium">Quote!$D$304</definedName>
    <definedName name="revised_trade_catg">'Trade Category Identification'!$F$5</definedName>
    <definedName name="risk_city_check">Quote!$G$40</definedName>
    <definedName name="risk_state_check">Quote!$E$40</definedName>
    <definedName name="risk1_pin_check">Quote!$C$40</definedName>
    <definedName name="risk2_pin_check">Quote!$C$48</definedName>
    <definedName name="risk3_pin_check">Quote!$C$56</definedName>
    <definedName name="risk4_pin_check">Quote!$C$64</definedName>
    <definedName name="risk5_pin_check">Quote!$C$72</definedName>
    <definedName name="rv_trade_ctg_code1">'Trade Category Identification'!$B$5</definedName>
    <definedName name="rv_trade_ctg_code10">'Trade Category Identification'!$B$14</definedName>
    <definedName name="rv_trade_ctg_code11">'Trade Category Identification'!$B$15</definedName>
    <definedName name="rv_trade_ctg_code12">'Trade Category Identification'!$B$16</definedName>
    <definedName name="rv_trade_ctg_code13">'Trade Category Identification'!$B$17</definedName>
    <definedName name="rv_trade_ctg_code14">'Trade Category Identification'!$B$18</definedName>
    <definedName name="rv_trade_ctg_code15">'Trade Category Identification'!$B$19</definedName>
    <definedName name="rv_trade_ctg_code16">'Trade Category Identification'!$B$20</definedName>
    <definedName name="rv_trade_ctg_code17">'Trade Category Identification'!$B$21</definedName>
    <definedName name="rv_trade_ctg_code18">'Trade Category Identification'!$B$22</definedName>
    <definedName name="rv_trade_ctg_code19">'Trade Category Identification'!$B$23</definedName>
    <definedName name="rv_trade_ctg_code2">'Trade Category Identification'!$B$6</definedName>
    <definedName name="rv_trade_ctg_code20">'Trade Category Identification'!$B$24</definedName>
    <definedName name="rv_trade_ctg_code21">'Trade Category Identification'!$B$25</definedName>
    <definedName name="rv_trade_ctg_code22">'Trade Category Identification'!$B$26</definedName>
    <definedName name="rv_trade_ctg_code23">'Trade Category Identification'!$B$27</definedName>
    <definedName name="rv_trade_ctg_code24">'Trade Category Identification'!$B$28</definedName>
    <definedName name="rv_trade_ctg_code25">'Trade Category Identification'!$B$29</definedName>
    <definedName name="rv_trade_ctg_code26">'Trade Category Identification'!$B$30</definedName>
    <definedName name="rv_trade_ctg_code27">'Trade Category Identification'!$B$31</definedName>
    <definedName name="rv_trade_ctg_code28">'Trade Category Identification'!$B$32</definedName>
    <definedName name="rv_trade_ctg_code29">'Trade Category Identification'!$B$33</definedName>
    <definedName name="rv_trade_ctg_code3">'Trade Category Identification'!$B$7</definedName>
    <definedName name="rv_trade_ctg_code30">'Trade Category Identification'!$B$34</definedName>
    <definedName name="rv_trade_ctg_code31">'Trade Category Identification'!$B$35</definedName>
    <definedName name="rv_trade_ctg_code32">'Trade Category Identification'!$B$36</definedName>
    <definedName name="rv_trade_ctg_code33">'Trade Category Identification'!$B$37</definedName>
    <definedName name="rv_trade_ctg_code34">'Trade Category Identification'!$B$38</definedName>
    <definedName name="rv_trade_ctg_code35">'Trade Category Identification'!$B$39</definedName>
    <definedName name="rv_trade_ctg_code36">'Trade Category Identification'!$B$40</definedName>
    <definedName name="rv_trade_ctg_code37">'Trade Category Identification'!$B$41</definedName>
    <definedName name="rv_trade_ctg_code38">'Trade Category Identification'!$B$42</definedName>
    <definedName name="rv_trade_ctg_code39">'Trade Category Identification'!$B$43</definedName>
    <definedName name="rv_trade_ctg_code4">'Trade Category Identification'!$B$8</definedName>
    <definedName name="rv_trade_ctg_code40">'Trade Category Identification'!$B$44</definedName>
    <definedName name="rv_trade_ctg_code41">'Trade Category Identification'!$B$45</definedName>
    <definedName name="rv_trade_ctg_code42">'Trade Category Identification'!$B$46</definedName>
    <definedName name="rv_trade_ctg_code43">'Trade Category Identification'!$B$47</definedName>
    <definedName name="rv_trade_ctg_code44">'Trade Category Identification'!$B$48</definedName>
    <definedName name="rv_trade_ctg_code45">'Trade Category Identification'!$B$49</definedName>
    <definedName name="rv_trade_ctg_code46">'Trade Category Identification'!$B$50</definedName>
    <definedName name="rv_trade_ctg_code47">'Trade Category Identification'!$B$51</definedName>
    <definedName name="rv_trade_ctg_code48">'Trade Category Identification'!$B$52</definedName>
    <definedName name="rv_trade_ctg_code49">'Trade Category Identification'!$B$53</definedName>
    <definedName name="rv_trade_ctg_code5">'Trade Category Identification'!$B$9</definedName>
    <definedName name="rv_trade_ctg_code50">'Trade Category Identification'!$B$54</definedName>
    <definedName name="rv_trade_ctg_code6">'Trade Category Identification'!$B$10</definedName>
    <definedName name="rv_trade_ctg_code7">'Trade Category Identification'!$B$11</definedName>
    <definedName name="rv_trade_ctg_code8">'Trade Category Identification'!$B$12</definedName>
    <definedName name="rv_trade_ctg_code9">'Trade Category Identification'!$B$13</definedName>
    <definedName name="rv_trade_ctg_desc1">'Trade Category Identification'!$C$5</definedName>
    <definedName name="rv_trade_ctg_desc10">'Trade Category Identification'!$C$14</definedName>
    <definedName name="rv_trade_ctg_desc11">'Trade Category Identification'!$C$15</definedName>
    <definedName name="rv_trade_ctg_desc12">'Trade Category Identification'!$C$16</definedName>
    <definedName name="rv_trade_ctg_desc13">'Trade Category Identification'!$C$17</definedName>
    <definedName name="rv_trade_ctg_desc14">'Trade Category Identification'!$C$18</definedName>
    <definedName name="rv_trade_ctg_desc15">'Trade Category Identification'!$C$19</definedName>
    <definedName name="rv_trade_ctg_desc16">'Trade Category Identification'!$C$20</definedName>
    <definedName name="rv_trade_ctg_desc17">'Trade Category Identification'!$C$21</definedName>
    <definedName name="rv_trade_ctg_desc18">'Trade Category Identification'!$C$22</definedName>
    <definedName name="rv_trade_ctg_desc19">'Trade Category Identification'!$C$23</definedName>
    <definedName name="rv_trade_ctg_desc2">'Trade Category Identification'!$C$6</definedName>
    <definedName name="rv_trade_ctg_desc20">'Trade Category Identification'!$C$24</definedName>
    <definedName name="rv_trade_ctg_desc21">'Trade Category Identification'!$C$25</definedName>
    <definedName name="rv_trade_ctg_desc22">'Trade Category Identification'!$C$26</definedName>
    <definedName name="rv_trade_ctg_desc23">'Trade Category Identification'!$C$27</definedName>
    <definedName name="rv_trade_ctg_desc24">'Trade Category Identification'!$C$28</definedName>
    <definedName name="rv_trade_ctg_desc25">'Trade Category Identification'!$C$29</definedName>
    <definedName name="rv_trade_ctg_desc26">'Trade Category Identification'!$C$30</definedName>
    <definedName name="rv_trade_ctg_desc27">'Trade Category Identification'!$C$31</definedName>
    <definedName name="rv_trade_ctg_desc28">'Trade Category Identification'!$C$32</definedName>
    <definedName name="rv_trade_ctg_desc29">'Trade Category Identification'!$C$33</definedName>
    <definedName name="rv_trade_ctg_desc3">'Trade Category Identification'!$C$7</definedName>
    <definedName name="rv_trade_ctg_desc30">'Trade Category Identification'!$C$34</definedName>
    <definedName name="rv_trade_ctg_desc31">'Trade Category Identification'!$C$35</definedName>
    <definedName name="rv_trade_ctg_desc32">'Trade Category Identification'!$C$36</definedName>
    <definedName name="rv_trade_ctg_desc33">'Trade Category Identification'!$C$37</definedName>
    <definedName name="rv_trade_ctg_desc34">'Trade Category Identification'!$C$38</definedName>
    <definedName name="rv_trade_ctg_desc35">'Trade Category Identification'!$C$39</definedName>
    <definedName name="rv_trade_ctg_desc36">'Trade Category Identification'!$C$40</definedName>
    <definedName name="rv_trade_ctg_desc37">'Trade Category Identification'!$C$41</definedName>
    <definedName name="rv_trade_ctg_desc38">'Trade Category Identification'!$C$42</definedName>
    <definedName name="rv_trade_ctg_desc39">'Trade Category Identification'!$C$43</definedName>
    <definedName name="rv_trade_ctg_desc4">'Trade Category Identification'!$C$8</definedName>
    <definedName name="rv_trade_ctg_desc40">'Trade Category Identification'!$C$44</definedName>
    <definedName name="rv_trade_ctg_desc41">'Trade Category Identification'!$C$45</definedName>
    <definedName name="rv_trade_ctg_desc42">'Trade Category Identification'!$C$46</definedName>
    <definedName name="rv_trade_ctg_desc43">'Trade Category Identification'!$C$47</definedName>
    <definedName name="rv_trade_ctg_desc44">'Trade Category Identification'!$C$48</definedName>
    <definedName name="rv_trade_ctg_desc45">'Trade Category Identification'!$C$49</definedName>
    <definedName name="rv_trade_ctg_desc46">'Trade Category Identification'!$C$50</definedName>
    <definedName name="rv_trade_ctg_desc47">'Trade Category Identification'!$C$51</definedName>
    <definedName name="rv_trade_ctg_desc48">'Trade Category Identification'!$C$52</definedName>
    <definedName name="rv_trade_ctg_desc49">'Trade Category Identification'!$C$53</definedName>
    <definedName name="rv_trade_ctg_desc5">'Trade Category Identification'!$C$9</definedName>
    <definedName name="rv_trade_ctg_desc50">'Trade Category Identification'!$C$54</definedName>
    <definedName name="rv_trade_ctg_desc6">'Trade Category Identification'!$C$10</definedName>
    <definedName name="rv_trade_ctg_desc7">'Trade Category Identification'!$C$11</definedName>
    <definedName name="rv_trade_ctg_desc8">'Trade Category Identification'!$C$12</definedName>
    <definedName name="rv_trade_ctg_desc9">'Trade Category Identification'!$C$13</definedName>
    <definedName name="sgst_perc">'Worker Premium Calc'!$C$93</definedName>
    <definedName name="sgst_value">'Worker Premium Calc'!$D$93</definedName>
    <definedName name="sl_no_tmpl">TMPL!$B$6</definedName>
    <definedName name="sme_flag">Quote!$I$13</definedName>
    <definedName name="sme_master">Master!$BQ$1:$BQ$2</definedName>
    <definedName name="smod_total_prem_1">Quote!$I$276</definedName>
    <definedName name="smod_total_prem_10">Quote!$I$285</definedName>
    <definedName name="smod_total_prem_11">Quote!$I$286</definedName>
    <definedName name="smod_total_prem_12">Quote!$I$287</definedName>
    <definedName name="smod_total_prem_13">Quote!$I$288</definedName>
    <definedName name="smod_total_prem_14">Quote!$I$289</definedName>
    <definedName name="smod_total_prem_15">Quote!$I$290</definedName>
    <definedName name="smod_total_prem_2">Quote!$I$277</definedName>
    <definedName name="smod_total_prem_3">Quote!$I$278</definedName>
    <definedName name="smod_total_prem_4">Quote!$I$279</definedName>
    <definedName name="smod_total_prem_5">Quote!$I$280</definedName>
    <definedName name="smod_total_prem_6">Quote!$I$281</definedName>
    <definedName name="smod_total_prem_7">Quote!$I$282</definedName>
    <definedName name="smod_total_prem_8">Quote!$I$283</definedName>
    <definedName name="smod_total_prem_9">Quote!$I$284</definedName>
    <definedName name="stamp_duty">Quote!$D$298</definedName>
    <definedName name="status_reason">'Renewal Policy Status'!$L$23</definedName>
    <definedName name="statutory_prem_1">Quote!$F$276</definedName>
    <definedName name="statutory_prem_10">Quote!$F$285</definedName>
    <definedName name="statutory_prem_11">Quote!$F$286</definedName>
    <definedName name="statutory_prem_12">Quote!$F$287</definedName>
    <definedName name="statutory_prem_13">Quote!$F$288</definedName>
    <definedName name="statutory_prem_14">Quote!$F$289</definedName>
    <definedName name="statutory_prem_15">Quote!$F$290</definedName>
    <definedName name="statutory_prem_2">Quote!$F$277</definedName>
    <definedName name="statutory_prem_3">Quote!$F$278</definedName>
    <definedName name="statutory_prem_4">Quote!$F$279</definedName>
    <definedName name="statutory_prem_5">Quote!$F$280</definedName>
    <definedName name="statutory_prem_6">Quote!$F$281</definedName>
    <definedName name="statutory_prem_7">Quote!$F$282</definedName>
    <definedName name="statutory_prem_8">Quote!$F$283</definedName>
    <definedName name="statutory_prem_9">Quote!$F$284</definedName>
    <definedName name="statutory_premium">Quote!$D$294</definedName>
    <definedName name="statutory_premium_uw">Quote!$E$271</definedName>
    <definedName name="tariff_rate">'Worker Premium Calc'!$H$71</definedName>
    <definedName name="tariff_rate_1">'WC Tariff'!$I$5</definedName>
    <definedName name="tariff_rate_10">'WC Tariff'!$I$14</definedName>
    <definedName name="tariff_rate_11">'WC Tariff'!$I$15</definedName>
    <definedName name="tariff_rate_12">'WC Tariff'!$I$16</definedName>
    <definedName name="tariff_rate_13">'WC Tariff'!$I$17</definedName>
    <definedName name="tariff_rate_14">'WC Tariff'!$I$18</definedName>
    <definedName name="tariff_rate_15">'WC Tariff'!$I$19</definedName>
    <definedName name="tariff_rate_16">'WC Tariff'!$I$20</definedName>
    <definedName name="tariff_rate_17">'WC Tariff'!$I$21</definedName>
    <definedName name="tariff_rate_18">'WC Tariff'!$I$22</definedName>
    <definedName name="tariff_rate_19">'WC Tariff'!$I$23</definedName>
    <definedName name="tariff_rate_2">'WC Tariff'!$I$6</definedName>
    <definedName name="tariff_rate_20">'WC Tariff'!$I$24</definedName>
    <definedName name="tariff_rate_21">'WC Tariff'!$I$25</definedName>
    <definedName name="tariff_rate_22">'WC Tariff'!$I$26</definedName>
    <definedName name="tariff_rate_23">'WC Tariff'!$I$27</definedName>
    <definedName name="tariff_rate_24">'WC Tariff'!$I$28</definedName>
    <definedName name="tariff_rate_25">'WC Tariff'!$I$29</definedName>
    <definedName name="tariff_rate_26">'WC Tariff'!$I$30</definedName>
    <definedName name="tariff_rate_27">'WC Tariff'!$I$31</definedName>
    <definedName name="tariff_rate_28">'WC Tariff'!$I$32</definedName>
    <definedName name="tariff_rate_29">'WC Tariff'!$I$33</definedName>
    <definedName name="tariff_rate_3">'WC Tariff'!$I$7</definedName>
    <definedName name="tariff_rate_30">'WC Tariff'!$I$34</definedName>
    <definedName name="tariff_rate_31">'WC Tariff'!$I$35</definedName>
    <definedName name="tariff_rate_32">'WC Tariff'!$I$36</definedName>
    <definedName name="tariff_rate_33">'WC Tariff'!$I$37</definedName>
    <definedName name="tariff_rate_34">'WC Tariff'!$I$38</definedName>
    <definedName name="tariff_rate_35">'WC Tariff'!$I$39</definedName>
    <definedName name="tariff_rate_36">'WC Tariff'!$I$40</definedName>
    <definedName name="tariff_rate_37">'WC Tariff'!$I$41</definedName>
    <definedName name="tariff_rate_38">'WC Tariff'!$I$42</definedName>
    <definedName name="tariff_rate_39">'WC Tariff'!$I$43</definedName>
    <definedName name="tariff_rate_4">'WC Tariff'!$I$8</definedName>
    <definedName name="tariff_rate_40">'WC Tariff'!$I$44</definedName>
    <definedName name="tariff_rate_41">'WC Tariff'!$I$45</definedName>
    <definedName name="tariff_rate_42">'WC Tariff'!$I$46</definedName>
    <definedName name="tariff_rate_43">'WC Tariff'!$I$47</definedName>
    <definedName name="tariff_rate_44">'WC Tariff'!$I$48</definedName>
    <definedName name="tariff_rate_45">'WC Tariff'!$I$49</definedName>
    <definedName name="tariff_rate_46">'WC Tariff'!$I$50</definedName>
    <definedName name="tariff_rate_47">'WC Tariff'!$I$51</definedName>
    <definedName name="tariff_rate_48">'WC Tariff'!$I$52</definedName>
    <definedName name="tariff_rate_49">'WC Tariff'!$I$53</definedName>
    <definedName name="tariff_rate_5">'WC Tariff'!$I$9</definedName>
    <definedName name="tariff_rate_50">'WC Tariff'!$I$54</definedName>
    <definedName name="tariff_rate_6">'WC Tariff'!$I$10</definedName>
    <definedName name="tariff_rate_7">'WC Tariff'!$I$11</definedName>
    <definedName name="tariff_rate_8">'WC Tariff'!$I$12</definedName>
    <definedName name="tariff_rate_9">'WC Tariff'!$I$13</definedName>
    <definedName name="tc_code_1">Quote!$C$276</definedName>
    <definedName name="tc_code_10">Quote!$C$285</definedName>
    <definedName name="tc_code_11">Quote!$C$286</definedName>
    <definedName name="tc_code_12">Quote!$C$287</definedName>
    <definedName name="tc_code_13">Quote!$C$288</definedName>
    <definedName name="tc_code_14">Quote!$C$289</definedName>
    <definedName name="tc_code_15">Quote!$C$290</definedName>
    <definedName name="tc_code_2">Quote!$C$277</definedName>
    <definedName name="tc_code_3">Quote!$C$278</definedName>
    <definedName name="tc_code_4">Quote!$C$279</definedName>
    <definedName name="tc_code_5">Quote!$C$280</definedName>
    <definedName name="tc_code_6">Quote!$C$281</definedName>
    <definedName name="tc_code_7">Quote!$C$282</definedName>
    <definedName name="tc_code_8">Quote!$C$283</definedName>
    <definedName name="tc_code_9">Quote!$C$284</definedName>
    <definedName name="tc_master">Master!$Z$1:$Z$10</definedName>
    <definedName name="tc_name_1">Quote!$D$276</definedName>
    <definedName name="tc_name_10">Quote!$D$285</definedName>
    <definedName name="tc_name_11">Quote!$D$286</definedName>
    <definedName name="tc_name_12">Quote!$D$287</definedName>
    <definedName name="tc_name_13">Quote!$D$288</definedName>
    <definedName name="tc_name_14">Quote!$D$289</definedName>
    <definedName name="tc_name_15">Quote!$D$290</definedName>
    <definedName name="tc_name_2">Quote!$D$277</definedName>
    <definedName name="tc_name_3">Quote!$D$278</definedName>
    <definedName name="tc_name_4">Quote!$D$279</definedName>
    <definedName name="tc_name_5">Quote!$D$280</definedName>
    <definedName name="tc_name_6">Quote!$D$281</definedName>
    <definedName name="tc_name_7">Quote!$D$282</definedName>
    <definedName name="tc_name_8">Quote!$D$283</definedName>
    <definedName name="tc_name_9">Quote!$D$284</definedName>
    <definedName name="tc_premium_1">Quote!$E$276</definedName>
    <definedName name="tc_premium_10">Quote!$E$285</definedName>
    <definedName name="tc_premium_11">Quote!$E$286</definedName>
    <definedName name="tc_premium_12">Quote!$E$287</definedName>
    <definedName name="tc_premium_13">Quote!$E$288</definedName>
    <definedName name="tc_premium_14">Quote!$E$289</definedName>
    <definedName name="tc_premium_15">Quote!$E$290</definedName>
    <definedName name="tc_premium_2">Quote!$E$277</definedName>
    <definedName name="tc_premium_3">Quote!$E$278</definedName>
    <definedName name="tc_premium_4">Quote!$E$279</definedName>
    <definedName name="tc_premium_5">Quote!$E$280</definedName>
    <definedName name="tc_premium_6">Quote!$E$281</definedName>
    <definedName name="tc_premium_7">Quote!$E$282</definedName>
    <definedName name="tc_premium_8">Quote!$E$283</definedName>
    <definedName name="tc_premium_9">Quote!$E$284</definedName>
    <definedName name="terrain_master">Master!$V$8:$V$9</definedName>
    <definedName name="terrorism">Quote!$G$29</definedName>
    <definedName name="terrorism_appl">Quote!$C$390</definedName>
    <definedName name="test_1">'Worker Premium Calc'!$AA$4</definedName>
    <definedName name="test_10">Quote!$J$294</definedName>
    <definedName name="test_11">Quote!$J$293</definedName>
    <definedName name="test_12">Quote!$Q$276</definedName>
    <definedName name="test_13">Quote!$R$276</definedName>
    <definedName name="test_14">Quote!$S$276</definedName>
    <definedName name="test_15">Quote!$T$276</definedName>
    <definedName name="test_16">'Worker Premium Calc'!$V$26</definedName>
    <definedName name="test_17">Quote!$I$300</definedName>
    <definedName name="test_18">Quote!$I$301</definedName>
    <definedName name="test_2">'Worker Premium Calc'!$AA$5</definedName>
    <definedName name="test_3">'Worker Premium Calc'!$AB$5</definedName>
    <definedName name="test_4">'Worker Premium Calc'!$AA$6</definedName>
    <definedName name="test_5">'Worker Premium Calc'!$AB$6</definedName>
    <definedName name="test_6">'Worker Premium Calc'!$AA$8</definedName>
    <definedName name="test_7">Quote!$J$297</definedName>
    <definedName name="test_8">Quote!$J$296</definedName>
    <definedName name="test_9">Quote!$J$295</definedName>
    <definedName name="tmpl_claim_details">TMPL!$B$2:$F$3</definedName>
    <definedName name="tmpl_trade_category_details">TMPL!$C$5:$D$6</definedName>
    <definedName name="total_disc">Quote!$G$297</definedName>
    <definedName name="total_disc_uw">Quote!$I$268</definedName>
    <definedName name="total_loading">Quote!$G$298</definedName>
    <definedName name="total_loading_uw">Quote!$E$268</definedName>
    <definedName name="total_parameter_disc">Quote!$G$293</definedName>
    <definedName name="total_parameter_loading">Quote!$G$294</definedName>
    <definedName name="total_premium">Quote!$D$300</definedName>
    <definedName name="total_premium_1">Quote!$H$179</definedName>
    <definedName name="total_premium_10">Quote!$H$188</definedName>
    <definedName name="total_premium_11">Quote!$H$189</definedName>
    <definedName name="total_premium_12">Quote!$H$190</definedName>
    <definedName name="total_premium_13">Quote!$H$191</definedName>
    <definedName name="total_premium_14">Quote!$H$192</definedName>
    <definedName name="total_premium_15">Quote!$H$193</definedName>
    <definedName name="total_premium_16">Quote!$H$194</definedName>
    <definedName name="total_premium_17">Quote!$H$195</definedName>
    <definedName name="total_premium_18">Quote!$H$196</definedName>
    <definedName name="total_premium_19">Quote!$H$197</definedName>
    <definedName name="total_premium_2">Quote!$H$180</definedName>
    <definedName name="total_premium_20">Quote!$H$198</definedName>
    <definedName name="total_premium_21">Quote!$H$199</definedName>
    <definedName name="total_premium_22">Quote!$H$200</definedName>
    <definedName name="total_premium_23">Quote!$H$201</definedName>
    <definedName name="total_premium_24">Quote!$H$202</definedName>
    <definedName name="total_premium_25">Quote!$H$203</definedName>
    <definedName name="total_premium_26">Quote!$H$204</definedName>
    <definedName name="total_premium_27">Quote!$H$205</definedName>
    <definedName name="total_premium_28">Quote!$H$206</definedName>
    <definedName name="total_premium_29">Quote!$H$207</definedName>
    <definedName name="total_premium_3">Quote!$H$181</definedName>
    <definedName name="total_premium_30">Quote!$H$208</definedName>
    <definedName name="total_premium_31">Quote!$H$209</definedName>
    <definedName name="total_premium_32">Quote!$H$210</definedName>
    <definedName name="total_premium_33">Quote!$H$211</definedName>
    <definedName name="total_premium_34">Quote!$H$212</definedName>
    <definedName name="total_premium_35">Quote!$H$213</definedName>
    <definedName name="total_premium_36">Quote!$H$214</definedName>
    <definedName name="total_premium_37">Quote!$H$215</definedName>
    <definedName name="total_premium_38">Quote!$H$216</definedName>
    <definedName name="total_premium_39">Quote!$H$217</definedName>
    <definedName name="total_premium_4">Quote!$H$182</definedName>
    <definedName name="total_premium_40">Quote!$H$218</definedName>
    <definedName name="total_premium_41">Quote!$H$219</definedName>
    <definedName name="total_premium_42">Quote!$H$220</definedName>
    <definedName name="total_premium_43">Quote!$H$221</definedName>
    <definedName name="total_premium_44">Quote!$H$222</definedName>
    <definedName name="total_premium_45">Quote!$H$223</definedName>
    <definedName name="total_premium_46">Quote!$H$224</definedName>
    <definedName name="total_premium_47">Quote!$H$225</definedName>
    <definedName name="total_premium_48">Quote!$H$226</definedName>
    <definedName name="total_premium_49">Quote!$H$227</definedName>
    <definedName name="total_premium_5">Quote!$H$183</definedName>
    <definedName name="total_premium_50">Quote!$H$228</definedName>
    <definedName name="total_premium_6">Quote!$H$184</definedName>
    <definedName name="total_premium_7">Quote!$H$185</definedName>
    <definedName name="total_premium_8">Quote!$H$186</definedName>
    <definedName name="total_premium_9">Quote!$H$187</definedName>
    <definedName name="total_wages_1">Quote!$G$179</definedName>
    <definedName name="total_wages_10">Quote!$G$188</definedName>
    <definedName name="total_wages_11">Quote!$G$189</definedName>
    <definedName name="total_wages_12">Quote!$G$190</definedName>
    <definedName name="total_wages_13">Quote!$G$191</definedName>
    <definedName name="total_wages_14">Quote!$G$192</definedName>
    <definedName name="total_wages_15">Quote!$G$193</definedName>
    <definedName name="total_wages_16">Quote!$G$194</definedName>
    <definedName name="total_wages_17">Quote!$G$195</definedName>
    <definedName name="total_wages_18">Quote!$G$196</definedName>
    <definedName name="total_wages_19">Quote!$G$197</definedName>
    <definedName name="total_wages_2">Quote!$G$180</definedName>
    <definedName name="total_wages_20">Quote!$G$198</definedName>
    <definedName name="total_wages_21">Quote!$G$199</definedName>
    <definedName name="total_wages_22">Quote!$G$200</definedName>
    <definedName name="total_wages_23">Quote!$G$201</definedName>
    <definedName name="total_wages_24">Quote!$G$202</definedName>
    <definedName name="total_wages_25">Quote!$G$203</definedName>
    <definedName name="total_wages_26">Quote!$G$204</definedName>
    <definedName name="total_wages_27">Quote!$G$205</definedName>
    <definedName name="total_wages_28">Quote!$G$206</definedName>
    <definedName name="total_wages_29">Quote!$G$207</definedName>
    <definedName name="total_wages_3">Quote!$G$181</definedName>
    <definedName name="total_wages_30">Quote!$G$208</definedName>
    <definedName name="total_wages_31">Quote!$G$209</definedName>
    <definedName name="total_wages_32">Quote!$G$210</definedName>
    <definedName name="total_wages_33">Quote!$G$211</definedName>
    <definedName name="total_wages_34">Quote!$G$212</definedName>
    <definedName name="total_wages_35">Quote!$G$213</definedName>
    <definedName name="total_wages_36">Quote!$G$214</definedName>
    <definedName name="total_wages_37">Quote!$G$215</definedName>
    <definedName name="total_wages_38">Quote!$G$216</definedName>
    <definedName name="total_wages_39">Quote!$G$217</definedName>
    <definedName name="total_wages_4">Quote!$G$182</definedName>
    <definedName name="total_wages_40">Quote!$G$218</definedName>
    <definedName name="total_wages_41">Quote!$G$219</definedName>
    <definedName name="total_wages_42">Quote!$G$220</definedName>
    <definedName name="total_wages_43">Quote!$G$221</definedName>
    <definedName name="total_wages_44">Quote!$G$222</definedName>
    <definedName name="total_wages_45">Quote!$G$223</definedName>
    <definedName name="total_wages_46">Quote!$G$224</definedName>
    <definedName name="total_wages_47">Quote!$G$225</definedName>
    <definedName name="total_wages_48">Quote!$G$226</definedName>
    <definedName name="total_wages_49">Quote!$G$227</definedName>
    <definedName name="total_wages_5">Quote!$G$183</definedName>
    <definedName name="total_wages_50">Quote!$G$228</definedName>
    <definedName name="total_wages_6">Quote!$G$184</definedName>
    <definedName name="total_wages_7">Quote!$G$185</definedName>
    <definedName name="total_wages_8">Quote!$G$186</definedName>
    <definedName name="total_wages_9">Quote!$G$187</definedName>
    <definedName name="total_worker_rate">Quote!$I$229</definedName>
    <definedName name="total_workers">Quote!$C$229</definedName>
    <definedName name="trade_categ_list_master">'Trade Category'!$E$2:$E$464</definedName>
    <definedName name="trade_category_code_1">'Worker Premium Calc'!$C$5</definedName>
    <definedName name="trade_category_code_10">'Worker Premium Calc'!$C$14</definedName>
    <definedName name="trade_category_code_11">'Worker Premium Calc'!$C$15</definedName>
    <definedName name="trade_category_code_12">'Worker Premium Calc'!$C$16</definedName>
    <definedName name="trade_category_code_13">'Worker Premium Calc'!$C$17</definedName>
    <definedName name="trade_category_code_14">'Worker Premium Calc'!$C$18</definedName>
    <definedName name="trade_category_code_15">'Worker Premium Calc'!$C$19</definedName>
    <definedName name="trade_category_code_16">'Worker Premium Calc'!$C$20</definedName>
    <definedName name="trade_category_code_17">'Worker Premium Calc'!$C$21</definedName>
    <definedName name="trade_category_code_18">'Worker Premium Calc'!$C$22</definedName>
    <definedName name="trade_category_code_19">'Worker Premium Calc'!$C$23</definedName>
    <definedName name="trade_category_code_2">'Worker Premium Calc'!$C$6</definedName>
    <definedName name="trade_category_code_20">'Worker Premium Calc'!$C$24</definedName>
    <definedName name="trade_category_code_21">'Worker Premium Calc'!$C$25</definedName>
    <definedName name="trade_category_code_22">'Worker Premium Calc'!$C$26</definedName>
    <definedName name="trade_category_code_23">'Worker Premium Calc'!$C$27</definedName>
    <definedName name="trade_category_code_24">'Worker Premium Calc'!$C$28</definedName>
    <definedName name="trade_category_code_25">'Worker Premium Calc'!$C$29</definedName>
    <definedName name="trade_category_code_26">'Worker Premium Calc'!$C$30</definedName>
    <definedName name="trade_category_code_27">'Worker Premium Calc'!$C$31</definedName>
    <definedName name="trade_category_code_28">'Worker Premium Calc'!$C$32</definedName>
    <definedName name="trade_category_code_29">'Worker Premium Calc'!$C$33</definedName>
    <definedName name="trade_category_code_3">'Worker Premium Calc'!$C$7</definedName>
    <definedName name="trade_category_code_30">'Worker Premium Calc'!$C$34</definedName>
    <definedName name="trade_category_code_31">'Worker Premium Calc'!$C$35</definedName>
    <definedName name="trade_category_code_32">'Worker Premium Calc'!$C$36</definedName>
    <definedName name="trade_category_code_33">'Worker Premium Calc'!$C$37</definedName>
    <definedName name="trade_category_code_34">'Worker Premium Calc'!$C$38</definedName>
    <definedName name="trade_category_code_35">'Worker Premium Calc'!$C$39</definedName>
    <definedName name="trade_category_code_36">'Worker Premium Calc'!$C$40</definedName>
    <definedName name="trade_category_code_37">'Worker Premium Calc'!$C$41</definedName>
    <definedName name="trade_category_code_38">'Worker Premium Calc'!$C$42</definedName>
    <definedName name="trade_category_code_39">'Worker Premium Calc'!$C$43</definedName>
    <definedName name="trade_category_code_4">'Worker Premium Calc'!$C$8</definedName>
    <definedName name="trade_category_code_40">'Worker Premium Calc'!$C$44</definedName>
    <definedName name="trade_category_code_41">'Worker Premium Calc'!$C$45</definedName>
    <definedName name="trade_category_code_42">'Worker Premium Calc'!$C$46</definedName>
    <definedName name="trade_category_code_43">'Worker Premium Calc'!$C$47</definedName>
    <definedName name="trade_category_code_44">'Worker Premium Calc'!$C$48</definedName>
    <definedName name="trade_category_code_45">'Worker Premium Calc'!$C$49</definedName>
    <definedName name="trade_category_code_46">'Worker Premium Calc'!$C$50</definedName>
    <definedName name="trade_category_code_47">'Worker Premium Calc'!$C$51</definedName>
    <definedName name="trade_category_code_48">'Worker Premium Calc'!$C$52</definedName>
    <definedName name="trade_category_code_49">'Worker Premium Calc'!$C$53</definedName>
    <definedName name="trade_category_code_5">'Worker Premium Calc'!$C$9</definedName>
    <definedName name="trade_category_code_50">'Worker Premium Calc'!$C$54</definedName>
    <definedName name="trade_category_code_6">'Worker Premium Calc'!$C$10</definedName>
    <definedName name="trade_category_code_7">'Worker Premium Calc'!$C$11</definedName>
    <definedName name="trade_category_code_8">'Worker Premium Calc'!$C$12</definedName>
    <definedName name="trade_category_code_9">'Worker Premium Calc'!$C$13</definedName>
    <definedName name="trade_category_grouping_tmpl">TMPL!$E$6</definedName>
    <definedName name="trade_category_tmpl">TMPL!$D$6</definedName>
    <definedName name="trade_catg_1">Quote!$C$114</definedName>
    <definedName name="trade_catg_10">Quote!$C$123</definedName>
    <definedName name="trade_catg_2">Quote!$C$115</definedName>
    <definedName name="trade_catg_3">Quote!$C$116</definedName>
    <definedName name="trade_catg_4">Quote!$C$117</definedName>
    <definedName name="trade_catg_5">Quote!$C$118</definedName>
    <definedName name="trade_catg_6">Quote!$C$119</definedName>
    <definedName name="trade_catg_7">Quote!$C$120</definedName>
    <definedName name="trade_catg_8">Quote!$C$121</definedName>
    <definedName name="trade_catg_9">Quote!$C$122</definedName>
    <definedName name="trade_catg_code_1">Quote!$B$114</definedName>
    <definedName name="trade_catg_code_10">Quote!$B$123</definedName>
    <definedName name="trade_catg_code_2">Quote!$B$115</definedName>
    <definedName name="trade_catg_code_3">Quote!$B$116</definedName>
    <definedName name="trade_catg_code_4">Quote!$B$117</definedName>
    <definedName name="trade_catg_code_5">Quote!$B$118</definedName>
    <definedName name="trade_catg_code_6">Quote!$B$119</definedName>
    <definedName name="trade_catg_code_7">Quote!$B$120</definedName>
    <definedName name="trade_catg_code_8">Quote!$B$121</definedName>
    <definedName name="trade_catg_code_9">Quote!$B$122</definedName>
    <definedName name="trade_catg_pup_1">Quote!$D$114</definedName>
    <definedName name="trade_catg_pup_10">Quote!$D$123</definedName>
    <definedName name="trade_catg_pup_2">Quote!$D$115</definedName>
    <definedName name="trade_catg_pup_3">Quote!$D$116</definedName>
    <definedName name="trade_catg_pup_4">Quote!$D$117</definedName>
    <definedName name="trade_catg_pup_5">Quote!$D$118</definedName>
    <definedName name="trade_catg_pup_6">Quote!$D$119</definedName>
    <definedName name="trade_catg_pup_7">Quote!$D$120</definedName>
    <definedName name="trade_catg_pup_8">Quote!$D$121</definedName>
    <definedName name="trade_catg_pup_9">Quote!$D$122</definedName>
    <definedName name="trade_list_master">'Trade Category'!$E$2:$E$830</definedName>
    <definedName name="user_type_master">Master!$AD$1:$AD$2</definedName>
    <definedName name="uw_cont_1">Quote!$F$134</definedName>
    <definedName name="uw_cont_2">Quote!$F$135</definedName>
    <definedName name="uw_cont_3">Quote!$F$136</definedName>
    <definedName name="uw_error_msg">'Worker Premium Calc'!$H$90</definedName>
    <definedName name="uw_final_cont_1">Quote!$G$134</definedName>
    <definedName name="uw_final_cont_2">Quote!$G$135</definedName>
    <definedName name="uw_final_cont_3">Quote!$G$136</definedName>
    <definedName name="uw_location_percentages">Quote!$C$139</definedName>
    <definedName name="uw_location_percentages_number">Quote!$C$140</definedName>
    <definedName name="uw_max_discount">Quote!$C$239</definedName>
    <definedName name="uw_max_load">'Worker Premium Calc'!$H$76</definedName>
    <definedName name="uw_max_load_check">'Worker Premium Calc'!$H$77</definedName>
    <definedName name="uw_max_loading">Quote!$E$239</definedName>
    <definedName name="uw_min_dis">'Worker Premium Calc'!$F$76</definedName>
    <definedName name="uw_min_dis_check">'Worker Premium Calc'!$F$77</definedName>
    <definedName name="uw_remarks">Quote!$C$249</definedName>
    <definedName name="uw_remarks_wording">'Worker Premium Calc'!$H$91</definedName>
    <definedName name="wc_dis_adj">'WC Tariff'!$O$3</definedName>
    <definedName name="wc_dis_ec_prem">'WC Tariff'!$M$3</definedName>
    <definedName name="wc_tariff_calc">Quote!$H$243</definedName>
    <definedName name="wc_tariff_check">Quote!$H$245</definedName>
    <definedName name="wc_total_prem">'WC Tariff'!$K$3</definedName>
    <definedName name="work_catg_1">Quote!$E$179</definedName>
    <definedName name="work_catg_10">Quote!$E$188</definedName>
    <definedName name="work_catg_11">Quote!$E$189</definedName>
    <definedName name="work_catg_12">Quote!$E$190</definedName>
    <definedName name="work_catg_13">Quote!$E$191</definedName>
    <definedName name="work_catg_14">Quote!$E$192</definedName>
    <definedName name="work_catg_15">Quote!$E$193</definedName>
    <definedName name="work_catg_16">Quote!$E$194</definedName>
    <definedName name="work_catg_17">Quote!$E$195</definedName>
    <definedName name="work_catg_18">Quote!$E$196</definedName>
    <definedName name="work_catg_19">Quote!$E$197</definedName>
    <definedName name="work_catg_2">Quote!$E$180</definedName>
    <definedName name="work_catg_20">Quote!$E$198</definedName>
    <definedName name="work_catg_21">Quote!$E$199</definedName>
    <definedName name="work_catg_22">Quote!$E$200</definedName>
    <definedName name="work_catg_23">Quote!$E$201</definedName>
    <definedName name="work_catg_24">Quote!$E$202</definedName>
    <definedName name="work_catg_25">Quote!$E$203</definedName>
    <definedName name="work_catg_26">Quote!$E$204</definedName>
    <definedName name="work_catg_27">Quote!$E$205</definedName>
    <definedName name="work_catg_28">Quote!$E$206</definedName>
    <definedName name="work_catg_29">Quote!$E$207</definedName>
    <definedName name="work_catg_3">Quote!$E$181</definedName>
    <definedName name="work_catg_30">Quote!$E$208</definedName>
    <definedName name="work_catg_31">Quote!$E$209</definedName>
    <definedName name="work_catg_32">Quote!$E$210</definedName>
    <definedName name="work_catg_33">Quote!$E$211</definedName>
    <definedName name="work_catg_34">Quote!$E$212</definedName>
    <definedName name="work_catg_35">Quote!$E$213</definedName>
    <definedName name="work_catg_36">Quote!$E$214</definedName>
    <definedName name="work_catg_37">Quote!$E$215</definedName>
    <definedName name="work_catg_38">Quote!$E$216</definedName>
    <definedName name="work_catg_39">Quote!$E$217</definedName>
    <definedName name="work_catg_4">Quote!$E$182</definedName>
    <definedName name="work_catg_40">Quote!$E$218</definedName>
    <definedName name="work_catg_41">Quote!$E$219</definedName>
    <definedName name="work_catg_42">Quote!$E$220</definedName>
    <definedName name="work_catg_43">Quote!$E$221</definedName>
    <definedName name="work_catg_44">Quote!$E$222</definedName>
    <definedName name="work_catg_45">Quote!$E$223</definedName>
    <definedName name="work_catg_46">Quote!$E$224</definedName>
    <definedName name="work_catg_47">Quote!$E$225</definedName>
    <definedName name="work_catg_48">Quote!$E$226</definedName>
    <definedName name="work_catg_49">Quote!$E$227</definedName>
    <definedName name="work_catg_5">Quote!$E$183</definedName>
    <definedName name="work_catg_50">Quote!$E$228</definedName>
    <definedName name="work_catg_6">Quote!$E$184</definedName>
    <definedName name="work_catg_7">Quote!$E$185</definedName>
    <definedName name="work_catg_8">Quote!$E$186</definedName>
    <definedName name="work_catg_9">Quote!$E$187</definedName>
    <definedName name="work_nature">Quote!$C$76</definedName>
    <definedName name="work_trade_catg_1">Quote!$D$179</definedName>
    <definedName name="work_trade_catg_10">Quote!$D$188</definedName>
    <definedName name="work_trade_catg_11">Quote!$D$189</definedName>
    <definedName name="work_trade_catg_12">Quote!$D$190</definedName>
    <definedName name="work_trade_catg_13">Quote!$D$191</definedName>
    <definedName name="work_trade_catg_14">Quote!$D$192</definedName>
    <definedName name="work_trade_catg_15">Quote!$D$193</definedName>
    <definedName name="work_trade_catg_16">Quote!$D$194</definedName>
    <definedName name="work_trade_catg_17">Quote!$D$195</definedName>
    <definedName name="work_trade_catg_18">Quote!$D$196</definedName>
    <definedName name="work_trade_catg_19">Quote!$D$197</definedName>
    <definedName name="work_trade_catg_2">Quote!$D$180</definedName>
    <definedName name="work_trade_catg_20">Quote!$D$198</definedName>
    <definedName name="work_trade_catg_21">Quote!$D$199</definedName>
    <definedName name="work_trade_catg_22">Quote!$D$200</definedName>
    <definedName name="work_trade_catg_23">Quote!$D$201</definedName>
    <definedName name="work_trade_catg_24">Quote!$D$202</definedName>
    <definedName name="work_trade_catg_25">Quote!$D$203</definedName>
    <definedName name="work_trade_catg_26">Quote!$D$204</definedName>
    <definedName name="work_trade_catg_27">Quote!$D$205</definedName>
    <definedName name="work_trade_catg_28">Quote!$D$206</definedName>
    <definedName name="work_trade_catg_29">Quote!$D$207</definedName>
    <definedName name="work_trade_catg_3">Quote!$D$181</definedName>
    <definedName name="work_trade_catg_30">Quote!$D$208</definedName>
    <definedName name="work_trade_catg_31">Quote!$D$209</definedName>
    <definedName name="work_trade_catg_32">Quote!$D$210</definedName>
    <definedName name="work_trade_catg_33">Quote!$D$211</definedName>
    <definedName name="work_trade_catg_34">Quote!$D$212</definedName>
    <definedName name="work_trade_catg_35">Quote!$D$213</definedName>
    <definedName name="work_trade_catg_36">Quote!$D$214</definedName>
    <definedName name="work_trade_catg_37">Quote!$D$215</definedName>
    <definedName name="work_trade_catg_38">Quote!$D$216</definedName>
    <definedName name="work_trade_catg_39">Quote!$D$217</definedName>
    <definedName name="work_trade_catg_4">Quote!$D$182</definedName>
    <definedName name="work_trade_catg_40">Quote!$D$218</definedName>
    <definedName name="work_trade_catg_41">Quote!$D$219</definedName>
    <definedName name="work_trade_catg_42">Quote!$D$220</definedName>
    <definedName name="work_trade_catg_43">Quote!$D$221</definedName>
    <definedName name="work_trade_catg_44">Quote!$D$222</definedName>
    <definedName name="work_trade_catg_45">Quote!$D$223</definedName>
    <definedName name="work_trade_catg_46">Quote!$D$224</definedName>
    <definedName name="work_trade_catg_47">Quote!$D$225</definedName>
    <definedName name="work_trade_catg_48">Quote!$D$226</definedName>
    <definedName name="work_trade_catg_49">Quote!$D$227</definedName>
    <definedName name="work_trade_catg_5">Quote!$D$183</definedName>
    <definedName name="work_trade_catg_50">Quote!$D$228</definedName>
    <definedName name="work_trade_catg_6">Quote!$D$184</definedName>
    <definedName name="work_trade_catg_7">Quote!$D$185</definedName>
    <definedName name="work_trade_catg_8">Quote!$D$186</definedName>
    <definedName name="work_trade_catg_9">Quote!$D$187</definedName>
    <definedName name="work_trade_catg_group_1">Quote!$J$179</definedName>
    <definedName name="work_trade_catg_group_10">Quote!$J$188</definedName>
    <definedName name="work_trade_catg_group_11">Quote!$J$189</definedName>
    <definedName name="work_trade_catg_group_12">Quote!$J$190</definedName>
    <definedName name="work_trade_catg_group_13">Quote!$J$191</definedName>
    <definedName name="work_trade_catg_group_14">Quote!$J$192</definedName>
    <definedName name="work_trade_catg_group_15">Quote!$J$193</definedName>
    <definedName name="work_trade_catg_group_16">Quote!$J$194</definedName>
    <definedName name="work_trade_catg_group_17">Quote!$J$195</definedName>
    <definedName name="work_trade_catg_group_18">Quote!$J$196</definedName>
    <definedName name="work_trade_catg_group_19">Quote!$J$197</definedName>
    <definedName name="work_trade_catg_group_2">Quote!$J$180</definedName>
    <definedName name="work_trade_catg_group_20">Quote!$J$198</definedName>
    <definedName name="work_trade_catg_group_21">Quote!$J$199</definedName>
    <definedName name="work_trade_catg_group_22">Quote!$J$200</definedName>
    <definedName name="work_trade_catg_group_23">Quote!$J$201</definedName>
    <definedName name="work_trade_catg_group_24">Quote!$J$202</definedName>
    <definedName name="work_trade_catg_group_25">Quote!$J$203</definedName>
    <definedName name="work_trade_catg_group_26">Quote!$J$204</definedName>
    <definedName name="work_trade_catg_group_27">Quote!$J$205</definedName>
    <definedName name="work_trade_catg_group_28">Quote!$J$206</definedName>
    <definedName name="work_trade_catg_group_29">Quote!$J$207</definedName>
    <definedName name="work_trade_catg_group_3">Quote!$J$181</definedName>
    <definedName name="work_trade_catg_group_30">Quote!$J$208</definedName>
    <definedName name="work_trade_catg_group_31">Quote!$J$209</definedName>
    <definedName name="work_trade_catg_group_32">Quote!$J$210</definedName>
    <definedName name="work_trade_catg_group_33">Quote!$J$211</definedName>
    <definedName name="work_trade_catg_group_34">Quote!$J$212</definedName>
    <definedName name="work_trade_catg_group_35">Quote!$J$213</definedName>
    <definedName name="work_trade_catg_group_36">Quote!$J$214</definedName>
    <definedName name="work_trade_catg_group_37">Quote!$J$215</definedName>
    <definedName name="work_trade_catg_group_38">Quote!$J$216</definedName>
    <definedName name="work_trade_catg_group_39">Quote!$J$217</definedName>
    <definedName name="work_trade_catg_group_4">Quote!$J$182</definedName>
    <definedName name="work_trade_catg_group_40">Quote!$J$218</definedName>
    <definedName name="work_trade_catg_group_41">Quote!$J$219</definedName>
    <definedName name="work_trade_catg_group_42">Quote!$J$220</definedName>
    <definedName name="work_trade_catg_group_43">Quote!$J$221</definedName>
    <definedName name="work_trade_catg_group_44">Quote!$J$222</definedName>
    <definedName name="work_trade_catg_group_45">Quote!$J$223</definedName>
    <definedName name="work_trade_catg_group_46">Quote!$J$224</definedName>
    <definedName name="work_trade_catg_group_47">Quote!$J$225</definedName>
    <definedName name="work_trade_catg_group_48">Quote!$J$226</definedName>
    <definedName name="work_trade_catg_group_49">Quote!$J$227</definedName>
    <definedName name="work_trade_catg_group_5">Quote!$J$183</definedName>
    <definedName name="work_trade_catg_group_50">Quote!$J$228</definedName>
    <definedName name="work_trade_catg_group_6">Quote!$J$184</definedName>
    <definedName name="work_trade_catg_group_7">Quote!$J$185</definedName>
    <definedName name="work_trade_catg_group_8">Quote!$J$186</definedName>
    <definedName name="work_trade_catg_group_9">Quote!$J$187</definedName>
    <definedName name="worker_category_tmpl">TMPL!$E$9</definedName>
    <definedName name="worker_count_master">Master!$AO$1:$AO$50</definedName>
    <definedName name="worker_count_tmpl">TMPL!$C$9</definedName>
    <definedName name="worker_detail_count">Quote!$C$176</definedName>
    <definedName name="worker_monthly_wages">Quote!$F$229</definedName>
    <definedName name="worker_monthly_wages_tmpl">TMPL!$F$9</definedName>
    <definedName name="worker_rate_1">Quote!$I$179</definedName>
    <definedName name="worker_rate_10">Quote!$I$188</definedName>
    <definedName name="worker_rate_11">Quote!$I$189</definedName>
    <definedName name="worker_rate_12">Quote!$I$190</definedName>
    <definedName name="worker_rate_13">Quote!$I$191</definedName>
    <definedName name="worker_rate_14">Quote!$I$192</definedName>
    <definedName name="worker_rate_15">Quote!$I$193</definedName>
    <definedName name="worker_rate_16">Quote!$I$194</definedName>
    <definedName name="worker_rate_17">Quote!$I$195</definedName>
    <definedName name="worker_rate_18">Quote!$I$196</definedName>
    <definedName name="worker_rate_19">Quote!$I$197</definedName>
    <definedName name="worker_rate_2">Quote!$I$180</definedName>
    <definedName name="worker_rate_20">Quote!$I$198</definedName>
    <definedName name="worker_rate_21">Quote!$I$199</definedName>
    <definedName name="worker_rate_22">Quote!$I$200</definedName>
    <definedName name="worker_rate_23">Quote!$I$201</definedName>
    <definedName name="worker_rate_24">Quote!$I$202</definedName>
    <definedName name="worker_rate_25">Quote!$I$203</definedName>
    <definedName name="worker_rate_26">Quote!$I$204</definedName>
    <definedName name="worker_rate_27">Quote!$I$205</definedName>
    <definedName name="worker_rate_28">Quote!$I$206</definedName>
    <definedName name="worker_rate_29">Quote!$I$207</definedName>
    <definedName name="worker_rate_3">Quote!$I$181</definedName>
    <definedName name="worker_rate_30">Quote!$I$208</definedName>
    <definedName name="worker_rate_31">Quote!$I$209</definedName>
    <definedName name="worker_rate_32">Quote!$I$210</definedName>
    <definedName name="worker_rate_33">Quote!$I$211</definedName>
    <definedName name="worker_rate_34">Quote!$I$212</definedName>
    <definedName name="worker_rate_35">Quote!$I$213</definedName>
    <definedName name="worker_rate_36">Quote!$I$214</definedName>
    <definedName name="worker_rate_37">Quote!$I$215</definedName>
    <definedName name="worker_rate_38">Quote!$I$216</definedName>
    <definedName name="worker_rate_39">Quote!$I$217</definedName>
    <definedName name="worker_rate_4">Quote!$I$182</definedName>
    <definedName name="worker_rate_40">Quote!$I$218</definedName>
    <definedName name="worker_rate_41">Quote!$I$219</definedName>
    <definedName name="worker_rate_42">Quote!$I$220</definedName>
    <definedName name="worker_rate_43">Quote!$I$221</definedName>
    <definedName name="worker_rate_44">Quote!$I$222</definedName>
    <definedName name="worker_rate_45">Quote!$I$223</definedName>
    <definedName name="worker_rate_46">Quote!$I$224</definedName>
    <definedName name="worker_rate_47">Quote!$I$225</definedName>
    <definedName name="worker_rate_48">Quote!$I$226</definedName>
    <definedName name="worker_rate_49">Quote!$I$227</definedName>
    <definedName name="worker_rate_5">Quote!$I$183</definedName>
    <definedName name="worker_rate_50">Quote!$I$228</definedName>
    <definedName name="worker_rate_6">Quote!$I$184</definedName>
    <definedName name="worker_rate_7">Quote!$I$185</definedName>
    <definedName name="worker_rate_8">Quote!$I$186</definedName>
    <definedName name="worker_rate_9">Quote!$I$187</definedName>
    <definedName name="worker_sl_no_tmpl">TMPL!$B$9</definedName>
    <definedName name="worker_total_premium">Quote!$H$229</definedName>
    <definedName name="worker_total_premium_tmpl">TMPL!$H$9</definedName>
    <definedName name="worker_total_wages">Quote!$G$229</definedName>
    <definedName name="worker_total_wages_tmpl">TMPL!$G$9</definedName>
    <definedName name="worker_trade_category_tmpl">TMPL!$D$9</definedName>
    <definedName name="workforce_master">Master!$R$2:$R$3</definedName>
    <definedName name="year_tmpl">TMPL!$B$3</definedName>
    <definedName name="yes_no_master">Master!$C$1:$C$2</definedName>
    <definedName name="yes_no_medex_master">Master!$M$2</definedName>
    <definedName name="yes_no_param_load">Master!$AG$1:$AG$2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24" l="1"/>
  <c r="A8" i="24"/>
  <c r="A9" i="24"/>
  <c r="A10" i="24"/>
  <c r="A14" i="24"/>
  <c r="A15" i="24"/>
  <c r="A16" i="24"/>
  <c r="A17" i="24"/>
  <c r="A18" i="24"/>
  <c r="A20" i="24"/>
  <c r="A21" i="24"/>
  <c r="A22" i="24"/>
  <c r="A23" i="24"/>
  <c r="A24" i="24"/>
  <c r="A28" i="24"/>
  <c r="A31" i="24"/>
  <c r="A33" i="24"/>
  <c r="A34"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7" i="24"/>
  <c r="A89" i="24"/>
  <c r="A90" i="24"/>
  <c r="A91" i="24"/>
  <c r="A92" i="24"/>
  <c r="A93" i="24"/>
  <c r="A94" i="24"/>
  <c r="A95" i="24"/>
  <c r="A96" i="24"/>
  <c r="A97" i="24"/>
  <c r="A98" i="24"/>
  <c r="A99" i="24"/>
  <c r="A100" i="24"/>
  <c r="A101" i="24"/>
  <c r="A102" i="24"/>
  <c r="A103" i="24"/>
  <c r="A104" i="24"/>
  <c r="A105" i="24"/>
  <c r="A106" i="24"/>
  <c r="A107" i="24"/>
  <c r="A108" i="24"/>
  <c r="A109" i="24"/>
  <c r="A110" i="24"/>
  <c r="A112" i="24"/>
  <c r="A113" i="24"/>
  <c r="A114" i="24"/>
  <c r="A115" i="24"/>
  <c r="A116" i="24"/>
  <c r="A117" i="24"/>
  <c r="A118" i="24"/>
  <c r="A119" i="24"/>
  <c r="A120" i="24"/>
  <c r="A121" i="24"/>
  <c r="A122" i="24"/>
  <c r="A123" i="24"/>
  <c r="A124" i="24"/>
  <c r="A125" i="24"/>
  <c r="A126" i="24"/>
  <c r="A127" i="24"/>
  <c r="A128" i="24"/>
  <c r="A129" i="24"/>
  <c r="A130" i="24"/>
  <c r="A131" i="24"/>
  <c r="A133" i="24"/>
  <c r="A134" i="24"/>
  <c r="A135" i="24"/>
  <c r="A136" i="24"/>
  <c r="A137" i="24"/>
  <c r="A138" i="24"/>
  <c r="A139" i="24"/>
  <c r="A140" i="24"/>
  <c r="A141" i="24"/>
  <c r="A142" i="24"/>
  <c r="A143" i="24"/>
  <c r="A144" i="24"/>
  <c r="A146" i="24"/>
  <c r="A148" i="24"/>
  <c r="A150" i="24"/>
  <c r="A154" i="24"/>
  <c r="A155" i="24"/>
  <c r="A156" i="24"/>
  <c r="A157" i="24"/>
  <c r="A158" i="24"/>
  <c r="A163" i="24"/>
  <c r="A166" i="24"/>
  <c r="A167" i="24"/>
  <c r="A172" i="24"/>
  <c r="A174" i="24"/>
  <c r="A175" i="24"/>
  <c r="A177" i="24"/>
  <c r="A182" i="24"/>
  <c r="A183" i="24"/>
  <c r="A184" i="24"/>
  <c r="A185" i="24"/>
  <c r="A186" i="24"/>
  <c r="A187" i="24"/>
  <c r="A188" i="24"/>
  <c r="A189" i="24"/>
  <c r="A190" i="24"/>
  <c r="A191" i="24"/>
  <c r="A192" i="24"/>
  <c r="A193" i="24"/>
  <c r="A194" i="24"/>
  <c r="A195" i="24"/>
  <c r="A196" i="24"/>
  <c r="A197" i="24"/>
  <c r="A198" i="24"/>
  <c r="A199" i="24"/>
  <c r="A200" i="24"/>
  <c r="A201" i="24"/>
  <c r="A202" i="24"/>
  <c r="A203" i="24"/>
  <c r="A204" i="24"/>
  <c r="A205" i="24"/>
  <c r="A206" i="24"/>
  <c r="A207" i="24"/>
  <c r="A208" i="24"/>
  <c r="A209" i="24"/>
  <c r="A210" i="24"/>
  <c r="A211" i="24"/>
  <c r="A212" i="24"/>
  <c r="A213" i="24"/>
  <c r="A214" i="24"/>
  <c r="A215" i="24"/>
  <c r="A216" i="24"/>
  <c r="A217" i="24"/>
  <c r="A218" i="24"/>
  <c r="A219" i="24"/>
  <c r="A220" i="24"/>
  <c r="A221" i="24"/>
  <c r="A222" i="24"/>
  <c r="A223" i="24"/>
  <c r="A224" i="24"/>
  <c r="A225" i="24"/>
  <c r="A226" i="24"/>
  <c r="A227" i="24"/>
  <c r="A228" i="24"/>
  <c r="A229" i="24"/>
  <c r="A230" i="24"/>
  <c r="A231" i="24"/>
  <c r="A232" i="24"/>
  <c r="A233" i="24"/>
  <c r="A234" i="24"/>
  <c r="A235" i="24"/>
  <c r="A236" i="24"/>
  <c r="A237" i="24"/>
  <c r="A238" i="24"/>
  <c r="A239" i="24"/>
  <c r="A240" i="24"/>
  <c r="A241" i="24"/>
  <c r="A242" i="24"/>
  <c r="A243" i="24"/>
  <c r="A244" i="24"/>
  <c r="A245" i="24"/>
  <c r="A246" i="24"/>
  <c r="A247" i="24"/>
  <c r="A248" i="24"/>
  <c r="A249" i="24"/>
  <c r="A250" i="24"/>
  <c r="A251" i="24"/>
  <c r="A252" i="24"/>
  <c r="A253" i="24"/>
  <c r="A254" i="24"/>
  <c r="A255" i="24"/>
  <c r="A256" i="24"/>
  <c r="A257" i="24"/>
  <c r="A258" i="24"/>
  <c r="A263" i="24"/>
  <c r="A265" i="24"/>
  <c r="A266" i="24"/>
  <c r="A270" i="24"/>
  <c r="A274" i="24"/>
  <c r="A275" i="24"/>
  <c r="A277" i="24"/>
  <c r="A278" i="24"/>
  <c r="A279" i="24"/>
  <c r="A280" i="24"/>
  <c r="A281" i="24"/>
  <c r="A282" i="24"/>
  <c r="A283" i="24"/>
  <c r="A284" i="24"/>
  <c r="A285" i="24"/>
  <c r="A286" i="24"/>
  <c r="A287" i="24"/>
  <c r="A288" i="24"/>
  <c r="A289" i="24"/>
  <c r="A290" i="24"/>
  <c r="A291" i="24"/>
  <c r="A292" i="24"/>
  <c r="A293" i="24"/>
  <c r="A294" i="24"/>
  <c r="A295" i="24"/>
  <c r="A296" i="24"/>
  <c r="A297" i="24"/>
  <c r="A298" i="24"/>
  <c r="A299" i="24"/>
  <c r="A300" i="24"/>
  <c r="A301" i="24"/>
  <c r="A302" i="24"/>
  <c r="A303" i="24"/>
  <c r="A304" i="24"/>
  <c r="A305" i="24"/>
  <c r="A306" i="24"/>
  <c r="A307" i="24"/>
  <c r="A308" i="24"/>
  <c r="A309" i="24"/>
  <c r="A310" i="24"/>
  <c r="A311" i="24"/>
  <c r="A312" i="24"/>
  <c r="A313" i="24"/>
  <c r="A314" i="24"/>
  <c r="A315" i="24"/>
  <c r="A316" i="24"/>
  <c r="A317" i="24"/>
  <c r="A318" i="24"/>
  <c r="A320" i="24"/>
  <c r="A322" i="24"/>
  <c r="A324" i="24"/>
  <c r="A328" i="24"/>
  <c r="A329" i="24"/>
  <c r="A330" i="24"/>
  <c r="A331" i="24"/>
  <c r="A332" i="24"/>
  <c r="A333" i="24"/>
  <c r="A334" i="24"/>
  <c r="A335" i="24"/>
  <c r="A336" i="24"/>
  <c r="A337" i="24"/>
  <c r="A338" i="24"/>
  <c r="A339" i="24"/>
  <c r="A340" i="24"/>
  <c r="A341" i="24"/>
  <c r="A342" i="24"/>
  <c r="A343" i="24"/>
  <c r="A344" i="24"/>
  <c r="A345" i="24"/>
  <c r="A346" i="24"/>
  <c r="A347" i="24"/>
  <c r="A348" i="24"/>
  <c r="A349" i="24"/>
  <c r="A350" i="24"/>
  <c r="A351" i="24"/>
  <c r="A352" i="24"/>
  <c r="A353" i="24"/>
  <c r="A354" i="24"/>
  <c r="A355" i="24"/>
  <c r="A356" i="24"/>
  <c r="A357" i="24"/>
  <c r="A358" i="24"/>
  <c r="A359" i="24"/>
  <c r="A360" i="24"/>
  <c r="A362" i="24"/>
  <c r="A364" i="24"/>
  <c r="A365" i="24"/>
  <c r="A366" i="24"/>
  <c r="A367" i="24"/>
  <c r="A368" i="24"/>
  <c r="A369" i="24"/>
  <c r="A370" i="24"/>
  <c r="A387" i="24"/>
  <c r="A388" i="24"/>
  <c r="A389" i="24"/>
  <c r="A390" i="24"/>
  <c r="A391" i="24"/>
  <c r="A392" i="24"/>
  <c r="A393" i="24"/>
  <c r="A394" i="24"/>
  <c r="A395" i="24"/>
  <c r="A396" i="24"/>
  <c r="A397" i="24"/>
  <c r="A398" i="24"/>
  <c r="A399" i="24"/>
  <c r="A400" i="24"/>
  <c r="A401" i="24"/>
  <c r="A402" i="24"/>
  <c r="A403" i="24"/>
  <c r="A404" i="24"/>
  <c r="A405" i="24"/>
  <c r="A406" i="24"/>
  <c r="A407" i="24"/>
  <c r="A408" i="24"/>
  <c r="A409" i="24"/>
  <c r="A410" i="24"/>
  <c r="A411" i="24"/>
  <c r="A412" i="24"/>
  <c r="A413" i="24"/>
  <c r="A414" i="24"/>
  <c r="A415" i="24"/>
  <c r="A416" i="24"/>
  <c r="A417" i="24"/>
  <c r="A418" i="24"/>
  <c r="A419" i="24"/>
  <c r="A420" i="24"/>
  <c r="A421" i="24"/>
  <c r="A422" i="24"/>
  <c r="A423" i="24"/>
  <c r="A424" i="24"/>
  <c r="A425" i="24"/>
  <c r="A426" i="24"/>
  <c r="A427" i="24"/>
  <c r="A428" i="24"/>
  <c r="A429" i="24"/>
  <c r="A430" i="24"/>
  <c r="A431" i="24"/>
  <c r="A432" i="24"/>
  <c r="A433" i="24"/>
  <c r="A434" i="24"/>
  <c r="A435" i="24"/>
  <c r="A436" i="24"/>
  <c r="A437" i="24"/>
  <c r="A438" i="24"/>
  <c r="A439" i="24"/>
  <c r="A440" i="24"/>
  <c r="A444" i="24"/>
  <c r="A445" i="24"/>
  <c r="A447" i="24"/>
  <c r="A448" i="24"/>
  <c r="A449" i="24"/>
  <c r="A450" i="24"/>
  <c r="A453" i="24"/>
  <c r="A454" i="24"/>
  <c r="A455" i="24"/>
  <c r="A456" i="24"/>
  <c r="A457" i="24"/>
  <c r="A458" i="24"/>
  <c r="A459" i="24"/>
  <c r="A460" i="24"/>
  <c r="A461" i="24"/>
  <c r="A462" i="24"/>
  <c r="A463" i="24"/>
  <c r="A464" i="24"/>
  <c r="A465" i="24"/>
  <c r="A466" i="24"/>
  <c r="A467" i="24"/>
  <c r="A468" i="24"/>
  <c r="A469" i="24"/>
  <c r="A470" i="24"/>
  <c r="A471" i="24"/>
  <c r="A472" i="24"/>
  <c r="A473" i="24"/>
  <c r="A474" i="24"/>
  <c r="A475" i="24"/>
  <c r="A476" i="24"/>
  <c r="A477" i="24"/>
  <c r="A478" i="24"/>
  <c r="A479" i="24"/>
  <c r="A480" i="24"/>
  <c r="A481" i="24"/>
  <c r="A482" i="24"/>
  <c r="A483" i="24"/>
  <c r="A484" i="24"/>
  <c r="A485" i="24"/>
  <c r="A486" i="24"/>
  <c r="A487" i="24"/>
  <c r="A488" i="24"/>
  <c r="A489" i="24"/>
  <c r="A490" i="24"/>
  <c r="A491" i="24"/>
  <c r="A492" i="24"/>
  <c r="A493" i="24"/>
  <c r="A494" i="24"/>
  <c r="A495" i="24"/>
  <c r="A496" i="24"/>
  <c r="A497" i="24"/>
  <c r="A498" i="24"/>
  <c r="A499" i="24"/>
  <c r="A500" i="24"/>
  <c r="A501" i="24"/>
  <c r="A502" i="24"/>
  <c r="A503" i="24"/>
  <c r="A504" i="24"/>
  <c r="A505" i="24"/>
  <c r="A506" i="24"/>
  <c r="A507" i="24"/>
  <c r="A509" i="24"/>
  <c r="A510" i="24"/>
  <c r="A511" i="24"/>
  <c r="A512" i="24"/>
  <c r="A513" i="24"/>
  <c r="A514" i="24"/>
  <c r="A515" i="24"/>
  <c r="A516" i="24"/>
  <c r="A517" i="24"/>
  <c r="A520" i="24"/>
  <c r="A521" i="24"/>
  <c r="A522" i="24"/>
  <c r="A523" i="24"/>
  <c r="A524" i="24"/>
  <c r="A525" i="24"/>
  <c r="A542" i="24"/>
  <c r="A543" i="24"/>
  <c r="A544" i="24"/>
  <c r="A545" i="24"/>
  <c r="A546" i="24"/>
  <c r="A547" i="24"/>
  <c r="A548" i="24"/>
  <c r="A549" i="24"/>
  <c r="A550" i="24"/>
  <c r="A551" i="24"/>
  <c r="A552" i="24"/>
  <c r="A553" i="24"/>
  <c r="A554" i="24"/>
  <c r="A555" i="24"/>
  <c r="A556" i="24"/>
  <c r="A557" i="24"/>
  <c r="A558" i="24"/>
  <c r="A559" i="24"/>
  <c r="A560" i="24"/>
  <c r="A561" i="24"/>
  <c r="A562" i="24"/>
  <c r="A563" i="24"/>
  <c r="A564" i="24"/>
  <c r="A565" i="24"/>
  <c r="A566" i="24"/>
  <c r="A567" i="24"/>
  <c r="A568" i="24"/>
  <c r="A569" i="24"/>
  <c r="A570" i="24"/>
  <c r="A571" i="24"/>
  <c r="A572" i="24"/>
  <c r="A573" i="24"/>
  <c r="A576" i="24"/>
  <c r="A577" i="24"/>
  <c r="A578" i="24"/>
  <c r="A579" i="24"/>
  <c r="A580" i="24"/>
  <c r="A581" i="24"/>
  <c r="A582" i="24"/>
  <c r="A583" i="24"/>
  <c r="A584" i="24"/>
  <c r="A585" i="24"/>
  <c r="A586" i="24"/>
  <c r="A587" i="24"/>
  <c r="A588" i="24"/>
  <c r="A589" i="24"/>
  <c r="A590" i="24"/>
  <c r="A591" i="24"/>
  <c r="A592" i="24"/>
  <c r="A593" i="24"/>
  <c r="A597" i="24"/>
  <c r="A598" i="24"/>
  <c r="A599" i="24"/>
  <c r="A600" i="24"/>
  <c r="A601" i="24"/>
  <c r="A602" i="24"/>
  <c r="A603" i="24"/>
  <c r="A604" i="24"/>
  <c r="A605" i="24"/>
  <c r="A606" i="24"/>
  <c r="A607" i="24"/>
  <c r="A608" i="24"/>
  <c r="A609" i="24"/>
  <c r="A610" i="24"/>
  <c r="A611" i="24"/>
  <c r="A612" i="24"/>
  <c r="A613" i="24"/>
  <c r="A614" i="24"/>
  <c r="A615" i="24"/>
  <c r="A616" i="24"/>
  <c r="A617" i="24"/>
  <c r="A618" i="24"/>
  <c r="A619" i="24"/>
  <c r="A620" i="24"/>
  <c r="A621" i="24"/>
  <c r="A622" i="24"/>
  <c r="A623" i="24"/>
  <c r="A624" i="24"/>
  <c r="A625" i="24"/>
  <c r="A626" i="24"/>
  <c r="A627" i="24"/>
  <c r="A628" i="24"/>
  <c r="A629" i="24"/>
  <c r="A630" i="24"/>
  <c r="A631" i="24"/>
  <c r="A632" i="24"/>
  <c r="A633" i="24"/>
  <c r="A634" i="24"/>
  <c r="A635" i="24"/>
  <c r="A636" i="24"/>
  <c r="A637" i="24"/>
  <c r="A638" i="24"/>
  <c r="A639" i="24"/>
  <c r="A640" i="24"/>
  <c r="A641" i="24"/>
  <c r="A642" i="24"/>
  <c r="A643" i="24"/>
  <c r="A644" i="24"/>
  <c r="A645" i="24"/>
  <c r="A646" i="24"/>
  <c r="A647" i="24"/>
  <c r="A648" i="24"/>
  <c r="A649" i="24"/>
  <c r="A650" i="24"/>
  <c r="A651" i="24"/>
  <c r="A652" i="24"/>
  <c r="A653" i="24"/>
  <c r="A654" i="24"/>
  <c r="A655" i="24"/>
  <c r="A656" i="24"/>
  <c r="A657" i="24"/>
  <c r="A658" i="24"/>
  <c r="A659" i="24"/>
  <c r="A660" i="24"/>
  <c r="A661" i="24"/>
  <c r="A662" i="24"/>
  <c r="A663" i="24"/>
  <c r="A664" i="24"/>
  <c r="A665" i="24"/>
  <c r="A666" i="24"/>
  <c r="A667" i="24"/>
  <c r="A668" i="24"/>
  <c r="A669" i="24"/>
  <c r="A670" i="24"/>
  <c r="A671" i="24"/>
  <c r="A672" i="24"/>
  <c r="A673" i="24"/>
  <c r="A674" i="24"/>
  <c r="A675" i="24"/>
  <c r="A676" i="24"/>
  <c r="A677" i="24"/>
  <c r="A678" i="24"/>
  <c r="A679" i="24"/>
  <c r="A680" i="24"/>
  <c r="A681" i="24"/>
  <c r="A682" i="24"/>
  <c r="A683" i="24"/>
  <c r="A684" i="24"/>
  <c r="A685" i="24"/>
  <c r="A686" i="24"/>
  <c r="A687" i="24"/>
  <c r="A688" i="24"/>
  <c r="A689" i="24"/>
  <c r="A690" i="24"/>
  <c r="A691" i="24"/>
  <c r="A692" i="24"/>
  <c r="A693" i="24"/>
  <c r="A694" i="24"/>
  <c r="A695" i="24"/>
  <c r="A696" i="24"/>
  <c r="A697" i="24"/>
  <c r="A698" i="24"/>
  <c r="A699" i="24"/>
  <c r="A700" i="24"/>
  <c r="A701" i="24"/>
  <c r="A702" i="24"/>
  <c r="A703" i="24"/>
  <c r="A704" i="24"/>
  <c r="A705" i="24"/>
  <c r="A706" i="24"/>
  <c r="A707" i="24"/>
  <c r="A708" i="24"/>
  <c r="A709" i="24"/>
  <c r="A710" i="24"/>
  <c r="A711" i="24"/>
  <c r="A712" i="24"/>
  <c r="A713" i="24"/>
  <c r="A714" i="24"/>
  <c r="A715" i="24"/>
  <c r="A716" i="24"/>
  <c r="A717" i="24"/>
  <c r="A718" i="24"/>
  <c r="A719" i="24"/>
  <c r="A720" i="24"/>
  <c r="A721" i="24"/>
  <c r="A722" i="24"/>
  <c r="A723" i="24"/>
  <c r="A724" i="24"/>
  <c r="A725" i="24"/>
  <c r="A726" i="24"/>
  <c r="A727" i="24"/>
  <c r="A728" i="24"/>
  <c r="A729" i="24"/>
  <c r="A730" i="24"/>
  <c r="A731" i="24"/>
  <c r="A732" i="24"/>
  <c r="A733" i="24"/>
  <c r="A734" i="24"/>
  <c r="A735" i="24"/>
  <c r="A736" i="24"/>
  <c r="A737" i="24"/>
  <c r="A738" i="24"/>
  <c r="A739" i="24"/>
  <c r="A740" i="24"/>
  <c r="A741" i="24"/>
  <c r="A742" i="24"/>
  <c r="A743" i="24"/>
  <c r="A744" i="24"/>
  <c r="A745" i="24"/>
  <c r="A746" i="24"/>
  <c r="A747" i="24"/>
  <c r="A748" i="24"/>
  <c r="A749" i="24"/>
  <c r="A750" i="24"/>
  <c r="A751" i="24"/>
  <c r="A752" i="24"/>
  <c r="A753" i="24"/>
  <c r="A754" i="24"/>
  <c r="A755" i="24"/>
  <c r="A756" i="24"/>
  <c r="A757" i="24"/>
  <c r="A758" i="24"/>
  <c r="A759" i="24"/>
  <c r="A760" i="24"/>
  <c r="A761" i="24"/>
  <c r="A762" i="24"/>
  <c r="A763" i="24"/>
  <c r="A764" i="24"/>
  <c r="A765" i="24"/>
  <c r="A766" i="24"/>
  <c r="A767" i="24"/>
  <c r="A768" i="24"/>
  <c r="A769" i="24"/>
  <c r="A770" i="24"/>
  <c r="A771" i="24"/>
  <c r="A772" i="24"/>
  <c r="A773" i="24"/>
  <c r="A774" i="24"/>
  <c r="A775" i="24"/>
  <c r="A776" i="24"/>
  <c r="A777" i="24"/>
  <c r="A778" i="24"/>
  <c r="A779" i="24"/>
  <c r="A780" i="24"/>
  <c r="A781" i="24"/>
  <c r="A782" i="24"/>
  <c r="A783" i="24"/>
  <c r="A784" i="24"/>
  <c r="A785" i="24"/>
  <c r="A786" i="24"/>
  <c r="A787" i="24"/>
  <c r="A788" i="24"/>
  <c r="A789" i="24"/>
  <c r="A790" i="24"/>
  <c r="A791" i="24"/>
  <c r="A792" i="24"/>
  <c r="A793" i="24"/>
  <c r="A794" i="24"/>
  <c r="A795" i="24"/>
  <c r="A796" i="24"/>
  <c r="A797" i="24"/>
  <c r="A798" i="24"/>
  <c r="A799" i="24"/>
  <c r="A800" i="24"/>
  <c r="A801" i="24"/>
  <c r="A802" i="24"/>
  <c r="A803" i="24"/>
  <c r="A804" i="24"/>
  <c r="A805" i="24"/>
  <c r="A806" i="24"/>
  <c r="A807" i="24"/>
  <c r="A808" i="24"/>
  <c r="A809" i="24"/>
  <c r="A810" i="24"/>
  <c r="A811" i="24"/>
  <c r="A812" i="24"/>
  <c r="A813" i="24"/>
  <c r="A814" i="24"/>
  <c r="A815" i="24"/>
  <c r="A816" i="24"/>
  <c r="A817" i="24"/>
  <c r="A818" i="24"/>
  <c r="A819" i="24"/>
  <c r="A820" i="24"/>
  <c r="A821" i="24"/>
  <c r="A822" i="24"/>
  <c r="A823" i="24"/>
  <c r="A824" i="24"/>
  <c r="A825" i="24"/>
  <c r="A826" i="24"/>
  <c r="A827" i="24"/>
  <c r="A828" i="24"/>
  <c r="A829" i="24"/>
  <c r="A830" i="24"/>
  <c r="A831" i="24"/>
  <c r="A832" i="24"/>
  <c r="A833" i="24"/>
  <c r="A834" i="24"/>
  <c r="A835" i="24"/>
  <c r="A836" i="24"/>
  <c r="A837" i="24"/>
  <c r="A838" i="24"/>
  <c r="A839" i="24"/>
  <c r="A840" i="24"/>
  <c r="A841" i="24"/>
  <c r="A842" i="24"/>
  <c r="A843" i="24"/>
  <c r="A844" i="24"/>
  <c r="A845" i="24"/>
  <c r="A846" i="24"/>
  <c r="A847" i="24"/>
  <c r="A848" i="24"/>
  <c r="A849" i="24"/>
  <c r="A850" i="24"/>
  <c r="A851" i="24"/>
  <c r="A852" i="24"/>
  <c r="A853" i="24"/>
  <c r="A854" i="24"/>
  <c r="A855" i="24"/>
  <c r="A856" i="24"/>
  <c r="A857" i="24"/>
  <c r="A858" i="24"/>
  <c r="A859" i="24"/>
  <c r="A860" i="24"/>
  <c r="A861" i="24"/>
  <c r="A862" i="24"/>
  <c r="A863" i="24"/>
  <c r="A864" i="24"/>
  <c r="A865" i="24"/>
  <c r="A866" i="24"/>
  <c r="A867" i="24"/>
  <c r="A868" i="24"/>
  <c r="A869" i="24"/>
  <c r="A870" i="24"/>
  <c r="A871" i="24"/>
  <c r="A872" i="24"/>
  <c r="A873" i="24"/>
  <c r="A874" i="24"/>
  <c r="A875" i="24"/>
  <c r="A876" i="24"/>
  <c r="A877" i="24"/>
  <c r="A878" i="24"/>
  <c r="A879" i="24"/>
  <c r="A880" i="24"/>
  <c r="A881" i="24"/>
  <c r="A882" i="24"/>
  <c r="A883" i="24"/>
  <c r="A884" i="24"/>
  <c r="A885" i="24"/>
  <c r="A886" i="24"/>
  <c r="A887" i="24"/>
  <c r="A888" i="24"/>
  <c r="A889" i="24"/>
  <c r="A890" i="24"/>
  <c r="A891" i="24"/>
  <c r="A892" i="24"/>
  <c r="A893" i="24"/>
  <c r="A894" i="24"/>
  <c r="A895" i="24"/>
  <c r="A896" i="24"/>
  <c r="A897" i="24"/>
  <c r="A898" i="24"/>
  <c r="A899" i="24"/>
  <c r="A901" i="24"/>
  <c r="A902" i="24"/>
  <c r="A907" i="24"/>
  <c r="A908" i="24"/>
  <c r="A909" i="24"/>
  <c r="A910" i="24"/>
  <c r="A911" i="24"/>
  <c r="A912" i="24"/>
  <c r="A913" i="24"/>
  <c r="A914" i="24"/>
  <c r="A915" i="24"/>
  <c r="A916" i="24"/>
  <c r="A917" i="24"/>
  <c r="A918" i="24"/>
  <c r="A919" i="24"/>
  <c r="A920" i="24"/>
  <c r="A921" i="24"/>
  <c r="A922" i="24"/>
  <c r="A923" i="24"/>
  <c r="A924" i="24"/>
  <c r="A925" i="24"/>
  <c r="A926" i="24"/>
  <c r="A927" i="24"/>
  <c r="A928" i="24"/>
  <c r="A929" i="24"/>
  <c r="A930" i="24"/>
  <c r="A931" i="24"/>
  <c r="A932" i="24"/>
  <c r="A933" i="24"/>
  <c r="A934" i="24"/>
  <c r="A935" i="24"/>
  <c r="A936" i="24"/>
  <c r="A937" i="24"/>
  <c r="A938" i="24"/>
  <c r="A939" i="24"/>
  <c r="A940" i="24"/>
  <c r="A941" i="24"/>
  <c r="A942" i="24"/>
  <c r="A943" i="24"/>
  <c r="A944" i="24"/>
  <c r="A945" i="24"/>
  <c r="A946" i="24"/>
  <c r="A947" i="24"/>
  <c r="A948" i="24"/>
  <c r="A949" i="24"/>
  <c r="A950" i="24"/>
  <c r="A951" i="24"/>
  <c r="A952" i="24"/>
  <c r="A953" i="24"/>
  <c r="A954" i="24"/>
  <c r="A955" i="24"/>
  <c r="A956" i="24"/>
  <c r="A957" i="24"/>
  <c r="A958" i="24"/>
  <c r="A959" i="24"/>
  <c r="A960" i="24"/>
  <c r="A961" i="24"/>
  <c r="A962" i="24"/>
  <c r="A963" i="24"/>
  <c r="A964" i="24"/>
  <c r="A965" i="24"/>
  <c r="A966" i="24"/>
  <c r="A967" i="24"/>
  <c r="A968" i="24"/>
  <c r="A969" i="24"/>
  <c r="A970" i="24"/>
  <c r="A971" i="24"/>
  <c r="A972" i="24"/>
  <c r="A973" i="24"/>
  <c r="A974" i="24"/>
  <c r="A975" i="24"/>
  <c r="A976" i="24"/>
  <c r="A977" i="24"/>
  <c r="A978" i="24"/>
  <c r="A979" i="24"/>
  <c r="A980" i="24"/>
  <c r="A981" i="24"/>
  <c r="A982" i="24"/>
  <c r="A983" i="24"/>
  <c r="A984" i="24"/>
  <c r="A985" i="24"/>
  <c r="A986" i="24"/>
  <c r="A987" i="24"/>
  <c r="A988" i="24"/>
  <c r="A989" i="24"/>
  <c r="A990" i="24"/>
  <c r="A991" i="24"/>
  <c r="A992" i="24"/>
  <c r="A993" i="24"/>
  <c r="A994" i="24"/>
  <c r="A995" i="24"/>
  <c r="A996" i="24"/>
  <c r="A997" i="24"/>
  <c r="A998" i="24"/>
  <c r="A999" i="24"/>
  <c r="A1000" i="24"/>
  <c r="A1001" i="24"/>
  <c r="A1002" i="24"/>
  <c r="A1003" i="24"/>
  <c r="A1004" i="24"/>
  <c r="A1005" i="24"/>
  <c r="A1006" i="24"/>
  <c r="A1007" i="24"/>
  <c r="A1008" i="24"/>
  <c r="A1009" i="24"/>
  <c r="A1010" i="24"/>
  <c r="A1011" i="24"/>
  <c r="A1012" i="24"/>
  <c r="A1014" i="24"/>
  <c r="A1015" i="24"/>
  <c r="A1016" i="24"/>
  <c r="A1050" i="24"/>
  <c r="A1051" i="24"/>
  <c r="A1052" i="24"/>
  <c r="A1053" i="24"/>
  <c r="A1054" i="24"/>
  <c r="A1055" i="24"/>
  <c r="A1056" i="24"/>
  <c r="A1057" i="24"/>
  <c r="A1058" i="24"/>
  <c r="A1059" i="24"/>
  <c r="A1060" i="24"/>
  <c r="A1061" i="24"/>
  <c r="A1062" i="24"/>
  <c r="A1063" i="24"/>
  <c r="A1064" i="24"/>
  <c r="A1065" i="24"/>
  <c r="A1066" i="24"/>
  <c r="A1067" i="24"/>
  <c r="A1068" i="24"/>
  <c r="A1069" i="24"/>
  <c r="A1070" i="24"/>
  <c r="A1071" i="24"/>
  <c r="A1072" i="24"/>
  <c r="A1073" i="24"/>
  <c r="A1074" i="24"/>
  <c r="A1075" i="24"/>
  <c r="A1076" i="24"/>
  <c r="A1077" i="24"/>
  <c r="A1078" i="24"/>
  <c r="A1079" i="24"/>
  <c r="A1080" i="24"/>
  <c r="A1081" i="24"/>
  <c r="A1082" i="24"/>
  <c r="A1083" i="24"/>
  <c r="A1084" i="24"/>
  <c r="A1085" i="24"/>
  <c r="A1086" i="24"/>
  <c r="A1087" i="24"/>
  <c r="A1088" i="24"/>
  <c r="A1089" i="24"/>
  <c r="A1090" i="24"/>
  <c r="A1091" i="24"/>
  <c r="A1092" i="24"/>
  <c r="A1093" i="24"/>
  <c r="A1094" i="24"/>
  <c r="A1095" i="24"/>
  <c r="A1096" i="24"/>
  <c r="A1097" i="24"/>
  <c r="A1098" i="24"/>
  <c r="A1099" i="24"/>
  <c r="A1100" i="24"/>
  <c r="A1101" i="24"/>
  <c r="A1117" i="24"/>
  <c r="A1148" i="24"/>
  <c r="A1149" i="24"/>
  <c r="A1150" i="24"/>
  <c r="A1169" i="24"/>
  <c r="A1170" i="24"/>
  <c r="A1172" i="24"/>
  <c r="A1174" i="24"/>
  <c r="A1175" i="24"/>
  <c r="A1176" i="24"/>
  <c r="A1229" i="24"/>
  <c r="A1230" i="24"/>
  <c r="A1231" i="24"/>
  <c r="A1232" i="24"/>
  <c r="A1233" i="24"/>
  <c r="A1234" i="24"/>
  <c r="A1235" i="24"/>
  <c r="A1236" i="24"/>
  <c r="A1237" i="24"/>
  <c r="A1238" i="24"/>
  <c r="A1240" i="24"/>
  <c r="A1241" i="24"/>
  <c r="A1242" i="24"/>
  <c r="A1243" i="24"/>
  <c r="A1244" i="24"/>
  <c r="A1245" i="24"/>
  <c r="A1246" i="24"/>
  <c r="A1247" i="24"/>
  <c r="A1248" i="24"/>
  <c r="A1249" i="24"/>
  <c r="A1250" i="24"/>
  <c r="A1251" i="24"/>
  <c r="A1252" i="24"/>
  <c r="A1253" i="24"/>
  <c r="A1254" i="24"/>
  <c r="A1255" i="24"/>
  <c r="A1256" i="24"/>
  <c r="A1257" i="24"/>
  <c r="A1258" i="24"/>
  <c r="A1259" i="24"/>
  <c r="A1260" i="24"/>
  <c r="A1261" i="24"/>
  <c r="A1262" i="24"/>
  <c r="A1263" i="24"/>
  <c r="A1264" i="24"/>
  <c r="A1265" i="24"/>
  <c r="A1266" i="24"/>
  <c r="A1267" i="24"/>
  <c r="A1268" i="24"/>
  <c r="A1269" i="24"/>
  <c r="A1270" i="24"/>
  <c r="A1271" i="24"/>
  <c r="A1272" i="24"/>
  <c r="A1273" i="24"/>
  <c r="A1274" i="24"/>
  <c r="A1275" i="24"/>
  <c r="A1276" i="24"/>
  <c r="A1277" i="24"/>
  <c r="A1280" i="24"/>
  <c r="A1282" i="24"/>
  <c r="A1283" i="24"/>
  <c r="A1284" i="24"/>
  <c r="A1285" i="24"/>
  <c r="A1286" i="24"/>
  <c r="A1287" i="24"/>
  <c r="A1288" i="24"/>
  <c r="A1289" i="24"/>
  <c r="A1290" i="24"/>
  <c r="A1291" i="24"/>
  <c r="A1293" i="24"/>
  <c r="A1294" i="24"/>
  <c r="A1295" i="24"/>
  <c r="A1296" i="24"/>
  <c r="A1297" i="24"/>
  <c r="A1298" i="24"/>
  <c r="A1299" i="24"/>
  <c r="A1300" i="24"/>
  <c r="A1301" i="24"/>
  <c r="A1302" i="24"/>
  <c r="A1303" i="24"/>
  <c r="A1304" i="24"/>
  <c r="A1305" i="24"/>
  <c r="A1306" i="24"/>
  <c r="A1307" i="24"/>
  <c r="A1308" i="24"/>
  <c r="A1309" i="24"/>
  <c r="A1310" i="24"/>
  <c r="A1311" i="24"/>
  <c r="A1312" i="24"/>
  <c r="A1313" i="24"/>
  <c r="A1314" i="24"/>
  <c r="A1315" i="24"/>
  <c r="A1316" i="24"/>
  <c r="A1317" i="24"/>
  <c r="A1318" i="24"/>
  <c r="A1319" i="24"/>
  <c r="A1320" i="24"/>
  <c r="A1321" i="24"/>
  <c r="A1322" i="24"/>
  <c r="A1323" i="24"/>
  <c r="A1324" i="24"/>
  <c r="A1325" i="24"/>
  <c r="A1326" i="24"/>
  <c r="A1327" i="24"/>
  <c r="A1328" i="24"/>
  <c r="A1329" i="24"/>
  <c r="A1330" i="24"/>
  <c r="A1331" i="24"/>
  <c r="A1332" i="24"/>
  <c r="A1333" i="24"/>
  <c r="A1334" i="24"/>
  <c r="A1335" i="24"/>
  <c r="A1336" i="24"/>
  <c r="A1337" i="24"/>
  <c r="A1338" i="24"/>
  <c r="A1339" i="24"/>
  <c r="A1340" i="24"/>
  <c r="A1341" i="24"/>
  <c r="A1342" i="24"/>
  <c r="A1343" i="24"/>
  <c r="A1344" i="24"/>
  <c r="A1345" i="24"/>
  <c r="A1346" i="24"/>
  <c r="A1347" i="24"/>
  <c r="A1348" i="24"/>
  <c r="A1349" i="24"/>
  <c r="A1350" i="24"/>
  <c r="A1351" i="24"/>
  <c r="A1352" i="24"/>
  <c r="A1353" i="24"/>
  <c r="A1354" i="24"/>
  <c r="A1355" i="24"/>
  <c r="A1356" i="24"/>
  <c r="A1357" i="24"/>
  <c r="A1358" i="24"/>
  <c r="A1359" i="24"/>
  <c r="A1360" i="24"/>
  <c r="A1361" i="24"/>
  <c r="A1362" i="24"/>
  <c r="A1363" i="24"/>
  <c r="A1364" i="24"/>
  <c r="A1365" i="24"/>
  <c r="A1366" i="24"/>
  <c r="A1367" i="24"/>
  <c r="A1372" i="24"/>
  <c r="A1373" i="24"/>
  <c r="A1374" i="24"/>
  <c r="A1375" i="24"/>
  <c r="A1376" i="24"/>
  <c r="A1377" i="24"/>
  <c r="A1378" i="24"/>
  <c r="A1379" i="24"/>
  <c r="A1380" i="24"/>
  <c r="A1381" i="24"/>
  <c r="A1387" i="24"/>
  <c r="A1388" i="24"/>
  <c r="A1389" i="24"/>
  <c r="A1390" i="24"/>
  <c r="A1391" i="24"/>
  <c r="A1392" i="24"/>
  <c r="A1393" i="24"/>
  <c r="A1394" i="24"/>
  <c r="A1395" i="24"/>
  <c r="A1396" i="24"/>
  <c r="A1397" i="24"/>
  <c r="A1398" i="24"/>
  <c r="A1399" i="24"/>
  <c r="A1400" i="24"/>
  <c r="A1401" i="24"/>
  <c r="A1402" i="24"/>
  <c r="A1403" i="24"/>
  <c r="A1404" i="24"/>
  <c r="A1405" i="24"/>
  <c r="A1406" i="24"/>
  <c r="A1407" i="24"/>
  <c r="A1408" i="24"/>
  <c r="A1409" i="24"/>
  <c r="A1410" i="24"/>
  <c r="A1411" i="24"/>
  <c r="A1412" i="24"/>
  <c r="A1413" i="24"/>
  <c r="A1414" i="24"/>
  <c r="A1415" i="24"/>
  <c r="A1416" i="24"/>
  <c r="A1417" i="24"/>
  <c r="A1418" i="24"/>
  <c r="A1419" i="24"/>
  <c r="A1420" i="24"/>
  <c r="A1421" i="24"/>
  <c r="A1422" i="24"/>
  <c r="A1423" i="24"/>
  <c r="A1424" i="24"/>
  <c r="A1425" i="24"/>
  <c r="A1426" i="24"/>
  <c r="A1427" i="24"/>
  <c r="A1428" i="24"/>
  <c r="A1429" i="24"/>
  <c r="A1430" i="24"/>
  <c r="A1431" i="24"/>
  <c r="A1432" i="24"/>
  <c r="A1433" i="24"/>
  <c r="A1434" i="24"/>
  <c r="A1435" i="24"/>
  <c r="A1436" i="24"/>
  <c r="A1437" i="24"/>
  <c r="A1439" i="24"/>
  <c r="A1440" i="24"/>
  <c r="A1441" i="24"/>
  <c r="A1442" i="24"/>
  <c r="A1443" i="24"/>
  <c r="A1444" i="24"/>
  <c r="A1445" i="24"/>
  <c r="A1446" i="24"/>
  <c r="A1447" i="24"/>
  <c r="A1448" i="24"/>
  <c r="A1450" i="24"/>
  <c r="A1451" i="24"/>
  <c r="A1452" i="24"/>
  <c r="A1453" i="24"/>
  <c r="A1454" i="24"/>
  <c r="A1455" i="24"/>
  <c r="A1456" i="24"/>
  <c r="A1457" i="24"/>
  <c r="A1458" i="24"/>
  <c r="A1459" i="24"/>
  <c r="A1460" i="24"/>
  <c r="A1461" i="24"/>
  <c r="A1462" i="24"/>
  <c r="A1463" i="24"/>
  <c r="A1464" i="24"/>
  <c r="A1465" i="24"/>
  <c r="A1466" i="24"/>
  <c r="A1467" i="24"/>
  <c r="A1468" i="24"/>
  <c r="A1469" i="24"/>
  <c r="A1470" i="24"/>
  <c r="A1471" i="24"/>
  <c r="A1472" i="24"/>
  <c r="A1473" i="24"/>
  <c r="A1474" i="24"/>
  <c r="A1475" i="24"/>
  <c r="A1476" i="24"/>
  <c r="A1477" i="24"/>
  <c r="A1478" i="24"/>
  <c r="A1479" i="24"/>
  <c r="A1480" i="24"/>
  <c r="A1481" i="24"/>
  <c r="A1482" i="24"/>
  <c r="A1483" i="24"/>
  <c r="A1484" i="24"/>
  <c r="A1485" i="24"/>
  <c r="A1486" i="24"/>
  <c r="A1487" i="24"/>
  <c r="A1489" i="24"/>
  <c r="A1490" i="24"/>
  <c r="A1491" i="24"/>
  <c r="A1492" i="24"/>
  <c r="A1493" i="24"/>
  <c r="A1494" i="24"/>
  <c r="A1495" i="24"/>
  <c r="A1496" i="24"/>
  <c r="A1497" i="24"/>
  <c r="A1498" i="24"/>
  <c r="A1500" i="24"/>
  <c r="A1501" i="24"/>
  <c r="A1502" i="24"/>
  <c r="A1503" i="24"/>
  <c r="A1504" i="24"/>
  <c r="A1505" i="24"/>
  <c r="A1506" i="24"/>
  <c r="A1507" i="24"/>
  <c r="A1508" i="24"/>
  <c r="A1509" i="24"/>
  <c r="A1510" i="24"/>
  <c r="A1511" i="24"/>
  <c r="A1512" i="24"/>
  <c r="A1513" i="24"/>
  <c r="A1514" i="24"/>
  <c r="A1515" i="24"/>
  <c r="A1516" i="24"/>
  <c r="A1517" i="24"/>
  <c r="A1518" i="24"/>
  <c r="A1519" i="24"/>
  <c r="A1520" i="24"/>
  <c r="A1521" i="24"/>
  <c r="A1522" i="24"/>
  <c r="A1523" i="24"/>
  <c r="A1524" i="24"/>
  <c r="A1525" i="24"/>
  <c r="A1526" i="24"/>
  <c r="A1527" i="24"/>
  <c r="A1528" i="24"/>
  <c r="A1529" i="24"/>
  <c r="A1530" i="24"/>
  <c r="A1531" i="24"/>
  <c r="A1532" i="24"/>
  <c r="A1533" i="24"/>
  <c r="A1534" i="24"/>
  <c r="A1535" i="24"/>
  <c r="A1536" i="24"/>
  <c r="A1537" i="24"/>
  <c r="A1538" i="24"/>
  <c r="A1539" i="24"/>
  <c r="A1540" i="24"/>
  <c r="A1541" i="24"/>
  <c r="A1543" i="24"/>
  <c r="A1594" i="24"/>
  <c r="A1598" i="24"/>
  <c r="A1599" i="24"/>
  <c r="A1600" i="24"/>
  <c r="A1601" i="24"/>
  <c r="A1602" i="24"/>
  <c r="A1603" i="24"/>
  <c r="A1604" i="24"/>
  <c r="K101" i="5" l="1"/>
  <c r="M11" i="23" l="1"/>
  <c r="N11" i="23" s="1"/>
  <c r="K102" i="5"/>
  <c r="G240" i="1" l="1"/>
  <c r="A272" i="24" s="1"/>
  <c r="H57" i="23" l="1"/>
  <c r="G5" i="19" l="1"/>
  <c r="G6" i="19"/>
  <c r="G7" i="19"/>
  <c r="G8"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4" i="19" l="1"/>
  <c r="M10" i="23" s="1"/>
  <c r="N10" i="23" s="1"/>
  <c r="E26" i="11" l="1"/>
  <c r="E5" i="19"/>
  <c r="A452" i="24" s="1"/>
  <c r="C5" i="1"/>
  <c r="C396" i="1" l="1"/>
  <c r="I5" i="1"/>
  <c r="K95" i="5"/>
  <c r="C412" i="1"/>
  <c r="E139" i="1" l="1"/>
  <c r="A178" i="24" s="1"/>
  <c r="M8" i="23"/>
  <c r="N8" i="23" s="1"/>
  <c r="M9" i="23"/>
  <c r="N9" i="23" s="1"/>
  <c r="O9" i="23" s="1"/>
  <c r="M7" i="23"/>
  <c r="M6" i="23"/>
  <c r="N6" i="23" s="1"/>
  <c r="N7" i="23" l="1"/>
  <c r="O7" i="23" s="1"/>
  <c r="O8" i="23"/>
  <c r="O6" i="23" l="1"/>
  <c r="R5" i="11"/>
  <c r="I57" i="23"/>
  <c r="H56" i="23"/>
  <c r="I56" i="23" s="1"/>
  <c r="B6" i="23"/>
  <c r="B7" i="23" s="1"/>
  <c r="B8" i="23" s="1"/>
  <c r="B9" i="23" s="1"/>
  <c r="B10" i="23" s="1"/>
  <c r="B11" i="23" s="1"/>
  <c r="B12" i="23" s="1"/>
  <c r="B13" i="23" s="1"/>
  <c r="B14" i="23" s="1"/>
  <c r="B15" i="23" s="1"/>
  <c r="B16" i="23" s="1"/>
  <c r="B17" i="23" s="1"/>
  <c r="B18" i="23" s="1"/>
  <c r="B19" i="23" s="1"/>
  <c r="B20" i="23" s="1"/>
  <c r="B21" i="23" s="1"/>
  <c r="B22" i="23" s="1"/>
  <c r="B23" i="23" s="1"/>
  <c r="B24" i="23" s="1"/>
  <c r="B25" i="23" s="1"/>
  <c r="B26" i="23" s="1"/>
  <c r="B27" i="23" s="1"/>
  <c r="B28" i="23" s="1"/>
  <c r="B29" i="23" s="1"/>
  <c r="B30" i="23" s="1"/>
  <c r="B31" i="23" s="1"/>
  <c r="B32" i="23" s="1"/>
  <c r="B33" i="23" s="1"/>
  <c r="B34" i="23" s="1"/>
  <c r="B35" i="23" s="1"/>
  <c r="B36" i="23" s="1"/>
  <c r="B37" i="23" s="1"/>
  <c r="B38" i="23" s="1"/>
  <c r="B39" i="23" s="1"/>
  <c r="B40" i="23" s="1"/>
  <c r="B41" i="23" s="1"/>
  <c r="B42" i="23" s="1"/>
  <c r="B43" i="23" s="1"/>
  <c r="B44" i="23" s="1"/>
  <c r="B45" i="23" s="1"/>
  <c r="B46" i="23" s="1"/>
  <c r="B47" i="23" s="1"/>
  <c r="B48" i="23" s="1"/>
  <c r="B49" i="23" s="1"/>
  <c r="B50" i="23" s="1"/>
  <c r="B51" i="23" s="1"/>
  <c r="B52" i="23" s="1"/>
  <c r="B53" i="23" s="1"/>
  <c r="B54" i="23" s="1"/>
  <c r="B55" i="23" s="1"/>
  <c r="B56" i="23" s="1"/>
  <c r="B57" i="23" s="1"/>
  <c r="E6" i="19"/>
  <c r="E7" i="19"/>
  <c r="E8" i="19"/>
  <c r="E9" i="19"/>
  <c r="E10" i="19"/>
  <c r="E11" i="19"/>
  <c r="E12" i="19"/>
  <c r="E13" i="19"/>
  <c r="E14" i="19"/>
  <c r="E15"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D6" i="19"/>
  <c r="D7" i="19"/>
  <c r="D8" i="19"/>
  <c r="D9" i="19"/>
  <c r="D10" i="19"/>
  <c r="D11" i="19"/>
  <c r="D12" i="19"/>
  <c r="D13" i="19"/>
  <c r="D14" i="19"/>
  <c r="D15" i="19"/>
  <c r="D16" i="19"/>
  <c r="D17" i="19"/>
  <c r="D18" i="19"/>
  <c r="D19" i="19"/>
  <c r="D20" i="19"/>
  <c r="D21" i="19"/>
  <c r="D22" i="19"/>
  <c r="F22" i="19" s="1"/>
  <c r="C22" i="23" s="1"/>
  <c r="E22" i="23" s="1"/>
  <c r="G22" i="23" s="1"/>
  <c r="D23" i="19"/>
  <c r="D24" i="19"/>
  <c r="D25" i="19"/>
  <c r="D26" i="19"/>
  <c r="F26" i="19" s="1"/>
  <c r="C26" i="23" s="1"/>
  <c r="E26" i="23" s="1"/>
  <c r="G26" i="23" s="1"/>
  <c r="D27" i="19"/>
  <c r="D28" i="19"/>
  <c r="D29" i="19"/>
  <c r="D30" i="19"/>
  <c r="F30" i="19" s="1"/>
  <c r="C30" i="23" s="1"/>
  <c r="E30" i="23" s="1"/>
  <c r="G30" i="23" s="1"/>
  <c r="D31" i="19"/>
  <c r="D32" i="19"/>
  <c r="D33" i="19"/>
  <c r="D34" i="19"/>
  <c r="F34" i="19" s="1"/>
  <c r="C34" i="23" s="1"/>
  <c r="E34" i="23" s="1"/>
  <c r="G34" i="23" s="1"/>
  <c r="D35" i="19"/>
  <c r="D36" i="19"/>
  <c r="D37" i="19"/>
  <c r="D38" i="19"/>
  <c r="F38" i="19" s="1"/>
  <c r="C38" i="23" s="1"/>
  <c r="E38" i="23" s="1"/>
  <c r="G38" i="23" s="1"/>
  <c r="D39" i="19"/>
  <c r="D40" i="19"/>
  <c r="D41" i="19"/>
  <c r="D42" i="19"/>
  <c r="F42" i="19" s="1"/>
  <c r="C42" i="23" s="1"/>
  <c r="E42" i="23" s="1"/>
  <c r="G42" i="23" s="1"/>
  <c r="D43" i="19"/>
  <c r="D44" i="19"/>
  <c r="D45" i="19"/>
  <c r="D46" i="19"/>
  <c r="F46" i="19" s="1"/>
  <c r="C46" i="23" s="1"/>
  <c r="E46" i="23" s="1"/>
  <c r="G46" i="23" s="1"/>
  <c r="D47" i="19"/>
  <c r="D48" i="19"/>
  <c r="D49" i="19"/>
  <c r="D50" i="19"/>
  <c r="F50" i="19" s="1"/>
  <c r="C50" i="23" s="1"/>
  <c r="E50" i="23" s="1"/>
  <c r="G50" i="23" s="1"/>
  <c r="D51" i="19"/>
  <c r="D52" i="19"/>
  <c r="D53" i="19"/>
  <c r="D54" i="19"/>
  <c r="F54" i="19" s="1"/>
  <c r="C54" i="23" s="1"/>
  <c r="E54" i="23" s="1"/>
  <c r="G54" i="23" s="1"/>
  <c r="D5" i="19"/>
  <c r="A451" i="24" s="1"/>
  <c r="F60" i="5"/>
  <c r="F59" i="5"/>
  <c r="F58" i="5"/>
  <c r="E20" i="11"/>
  <c r="J56" i="23" l="1"/>
  <c r="F18" i="19"/>
  <c r="C18" i="23" s="1"/>
  <c r="E18" i="23" s="1"/>
  <c r="G18" i="23" s="1"/>
  <c r="F14" i="19"/>
  <c r="C14" i="23" s="1"/>
  <c r="E14" i="23" s="1"/>
  <c r="G14" i="23" s="1"/>
  <c r="F10" i="19"/>
  <c r="C10" i="23" s="1"/>
  <c r="E10" i="23" s="1"/>
  <c r="G10" i="23" s="1"/>
  <c r="F6" i="19"/>
  <c r="C6" i="23" s="1"/>
  <c r="D6" i="23" s="1"/>
  <c r="F6" i="23" s="1"/>
  <c r="F5" i="19"/>
  <c r="A904" i="24" s="1"/>
  <c r="F52" i="19"/>
  <c r="C52" i="23" s="1"/>
  <c r="D52" i="23" s="1"/>
  <c r="F52" i="23" s="1"/>
  <c r="F48" i="19"/>
  <c r="C48" i="23" s="1"/>
  <c r="E48" i="23" s="1"/>
  <c r="G48" i="23" s="1"/>
  <c r="F44" i="19"/>
  <c r="C44" i="23" s="1"/>
  <c r="D44" i="23" s="1"/>
  <c r="F44" i="23" s="1"/>
  <c r="F40" i="19"/>
  <c r="C40" i="23" s="1"/>
  <c r="E40" i="23" s="1"/>
  <c r="G40" i="23" s="1"/>
  <c r="F36" i="19"/>
  <c r="C36" i="23" s="1"/>
  <c r="D36" i="23" s="1"/>
  <c r="F36" i="23" s="1"/>
  <c r="F32" i="19"/>
  <c r="C32" i="23" s="1"/>
  <c r="E32" i="23" s="1"/>
  <c r="G32" i="23" s="1"/>
  <c r="F28" i="19"/>
  <c r="C28" i="23" s="1"/>
  <c r="D28" i="23" s="1"/>
  <c r="F28" i="23" s="1"/>
  <c r="F24" i="19"/>
  <c r="C24" i="23" s="1"/>
  <c r="E24" i="23" s="1"/>
  <c r="G24" i="23" s="1"/>
  <c r="F20" i="19"/>
  <c r="C20" i="23" s="1"/>
  <c r="D20" i="23" s="1"/>
  <c r="F20" i="23" s="1"/>
  <c r="D48" i="23"/>
  <c r="F48" i="23" s="1"/>
  <c r="D14" i="23"/>
  <c r="F14" i="23" s="1"/>
  <c r="F9" i="19"/>
  <c r="C9" i="23" s="1"/>
  <c r="E9" i="23" s="1"/>
  <c r="G9" i="23" s="1"/>
  <c r="F51" i="19"/>
  <c r="C51" i="23" s="1"/>
  <c r="D51" i="23" s="1"/>
  <c r="F51" i="23" s="1"/>
  <c r="F47" i="19"/>
  <c r="C47" i="23" s="1"/>
  <c r="D47" i="23" s="1"/>
  <c r="F47" i="23" s="1"/>
  <c r="F43" i="19"/>
  <c r="C43" i="23" s="1"/>
  <c r="D43" i="23" s="1"/>
  <c r="F43" i="23" s="1"/>
  <c r="F39" i="19"/>
  <c r="C39" i="23" s="1"/>
  <c r="D39" i="23" s="1"/>
  <c r="F39" i="23" s="1"/>
  <c r="F35" i="19"/>
  <c r="C35" i="23" s="1"/>
  <c r="D35" i="23" s="1"/>
  <c r="F35" i="23" s="1"/>
  <c r="F31" i="19"/>
  <c r="C31" i="23" s="1"/>
  <c r="D31" i="23" s="1"/>
  <c r="F31" i="23" s="1"/>
  <c r="F27" i="19"/>
  <c r="C27" i="23" s="1"/>
  <c r="D27" i="23" s="1"/>
  <c r="F27" i="23" s="1"/>
  <c r="F23" i="19"/>
  <c r="C23" i="23" s="1"/>
  <c r="D23" i="23" s="1"/>
  <c r="F23" i="23" s="1"/>
  <c r="F15" i="19"/>
  <c r="C15" i="23" s="1"/>
  <c r="D15" i="23" s="1"/>
  <c r="F15" i="23" s="1"/>
  <c r="F11" i="19"/>
  <c r="C11" i="23" s="1"/>
  <c r="D11" i="23" s="1"/>
  <c r="F11" i="23" s="1"/>
  <c r="F7" i="19"/>
  <c r="C7" i="23" s="1"/>
  <c r="D7" i="23" s="1"/>
  <c r="F7" i="23" s="1"/>
  <c r="E52" i="23"/>
  <c r="G52" i="23" s="1"/>
  <c r="D54" i="23"/>
  <c r="F54" i="23" s="1"/>
  <c r="H54" i="23" s="1"/>
  <c r="I54" i="23" s="1"/>
  <c r="J54" i="23" s="1"/>
  <c r="D46" i="23"/>
  <c r="F46" i="23" s="1"/>
  <c r="H46" i="23" s="1"/>
  <c r="I46" i="23" s="1"/>
  <c r="D38" i="23"/>
  <c r="F38" i="23" s="1"/>
  <c r="H38" i="23" s="1"/>
  <c r="I38" i="23" s="1"/>
  <c r="D30" i="23"/>
  <c r="F30" i="23" s="1"/>
  <c r="H30" i="23" s="1"/>
  <c r="I30" i="23" s="1"/>
  <c r="D22" i="23"/>
  <c r="F22" i="23" s="1"/>
  <c r="H22" i="23" s="1"/>
  <c r="I22" i="23" s="1"/>
  <c r="D50" i="23"/>
  <c r="F50" i="23" s="1"/>
  <c r="H50" i="23" s="1"/>
  <c r="I50" i="23" s="1"/>
  <c r="D42" i="23"/>
  <c r="F42" i="23" s="1"/>
  <c r="H42" i="23" s="1"/>
  <c r="I42" i="23" s="1"/>
  <c r="D34" i="23"/>
  <c r="F34" i="23" s="1"/>
  <c r="H34" i="23" s="1"/>
  <c r="I34" i="23" s="1"/>
  <c r="D26" i="23"/>
  <c r="F26" i="23" s="1"/>
  <c r="H26" i="23" s="1"/>
  <c r="I26" i="23" s="1"/>
  <c r="F53" i="19"/>
  <c r="C53" i="23" s="1"/>
  <c r="F49" i="19"/>
  <c r="C49" i="23" s="1"/>
  <c r="F45" i="19"/>
  <c r="C45" i="23" s="1"/>
  <c r="F41" i="19"/>
  <c r="C41" i="23" s="1"/>
  <c r="F37" i="19"/>
  <c r="C37" i="23" s="1"/>
  <c r="F33" i="19"/>
  <c r="C33" i="23" s="1"/>
  <c r="F29" i="19"/>
  <c r="C29" i="23" s="1"/>
  <c r="F25" i="19"/>
  <c r="C25" i="23" s="1"/>
  <c r="F21" i="19"/>
  <c r="C21" i="23" s="1"/>
  <c r="F17" i="19"/>
  <c r="C17" i="23" s="1"/>
  <c r="F13" i="19"/>
  <c r="C13" i="23" s="1"/>
  <c r="F8" i="19"/>
  <c r="C8" i="23" s="1"/>
  <c r="F12" i="19"/>
  <c r="C12" i="23" s="1"/>
  <c r="F16" i="19"/>
  <c r="C16" i="23" s="1"/>
  <c r="F19" i="19"/>
  <c r="C19" i="23" s="1"/>
  <c r="D226" i="1"/>
  <c r="D222" i="1"/>
  <c r="D218" i="1"/>
  <c r="D202" i="1"/>
  <c r="D201" i="1"/>
  <c r="D228" i="1"/>
  <c r="D224" i="1"/>
  <c r="D220" i="1"/>
  <c r="D216" i="1"/>
  <c r="D212" i="1"/>
  <c r="D208" i="1"/>
  <c r="D204" i="1"/>
  <c r="D200" i="1"/>
  <c r="D196" i="1"/>
  <c r="D188" i="1"/>
  <c r="R9" i="11"/>
  <c r="R6" i="11"/>
  <c r="R8" i="11"/>
  <c r="R7" i="11"/>
  <c r="H52" i="23" l="1"/>
  <c r="I52" i="23" s="1"/>
  <c r="H48" i="23"/>
  <c r="I48" i="23" s="1"/>
  <c r="D10" i="23"/>
  <c r="F10" i="23" s="1"/>
  <c r="H10" i="23" s="1"/>
  <c r="I10" i="23" s="1"/>
  <c r="D184" i="1"/>
  <c r="E11" i="23"/>
  <c r="G11" i="23" s="1"/>
  <c r="H11" i="23" s="1"/>
  <c r="I11" i="23" s="1"/>
  <c r="D18" i="23"/>
  <c r="F18" i="23" s="1"/>
  <c r="H18" i="23" s="1"/>
  <c r="I18" i="23" s="1"/>
  <c r="D192" i="1"/>
  <c r="E6" i="23"/>
  <c r="G6" i="23" s="1"/>
  <c r="H6" i="23" s="1"/>
  <c r="I6" i="23" s="1"/>
  <c r="D180" i="1"/>
  <c r="A1449" i="24" s="1"/>
  <c r="D197" i="1"/>
  <c r="D210" i="1"/>
  <c r="D9" i="23"/>
  <c r="F9" i="23" s="1"/>
  <c r="H9" i="23" s="1"/>
  <c r="I9" i="23" s="1"/>
  <c r="E36" i="23"/>
  <c r="G36" i="23" s="1"/>
  <c r="H36" i="23" s="1"/>
  <c r="I36" i="23" s="1"/>
  <c r="D213" i="1"/>
  <c r="D183" i="1"/>
  <c r="E39" i="23"/>
  <c r="G39" i="23" s="1"/>
  <c r="H39" i="23" s="1"/>
  <c r="I39" i="23" s="1"/>
  <c r="H14" i="23"/>
  <c r="I14" i="23" s="1"/>
  <c r="D194" i="1"/>
  <c r="E20" i="23"/>
  <c r="G20" i="23" s="1"/>
  <c r="H20" i="23" s="1"/>
  <c r="I20" i="23" s="1"/>
  <c r="D217" i="1"/>
  <c r="E7" i="23"/>
  <c r="G7" i="23" s="1"/>
  <c r="H7" i="23" s="1"/>
  <c r="I7" i="23" s="1"/>
  <c r="C5" i="23"/>
  <c r="E5" i="23" s="1"/>
  <c r="G5" i="23" s="1"/>
  <c r="E43" i="23"/>
  <c r="G43" i="23" s="1"/>
  <c r="H43" i="23" s="1"/>
  <c r="I43" i="23" s="1"/>
  <c r="D189" i="1"/>
  <c r="D206" i="1"/>
  <c r="D32" i="23"/>
  <c r="F32" i="23" s="1"/>
  <c r="H32" i="23" s="1"/>
  <c r="I32" i="23" s="1"/>
  <c r="D179" i="1"/>
  <c r="D185" i="1"/>
  <c r="E31" i="23"/>
  <c r="G31" i="23" s="1"/>
  <c r="H31" i="23" s="1"/>
  <c r="I31" i="23" s="1"/>
  <c r="D186" i="1"/>
  <c r="E28" i="23"/>
  <c r="G28" i="23" s="1"/>
  <c r="H28" i="23" s="1"/>
  <c r="I28" i="23" s="1"/>
  <c r="E44" i="23"/>
  <c r="G44" i="23" s="1"/>
  <c r="H44" i="23" s="1"/>
  <c r="I44" i="23" s="1"/>
  <c r="D221" i="1"/>
  <c r="E47" i="23"/>
  <c r="G47" i="23" s="1"/>
  <c r="H47" i="23" s="1"/>
  <c r="I47" i="23" s="1"/>
  <c r="D205" i="1"/>
  <c r="D198" i="1"/>
  <c r="D214" i="1"/>
  <c r="E51" i="23"/>
  <c r="G51" i="23" s="1"/>
  <c r="H51" i="23" s="1"/>
  <c r="I51" i="23" s="1"/>
  <c r="D40" i="23"/>
  <c r="F40" i="23" s="1"/>
  <c r="H40" i="23" s="1"/>
  <c r="I40" i="23" s="1"/>
  <c r="E15" i="23"/>
  <c r="G15" i="23" s="1"/>
  <c r="H15" i="23" s="1"/>
  <c r="I15" i="23" s="1"/>
  <c r="D24" i="23"/>
  <c r="F24" i="23" s="1"/>
  <c r="H24" i="23" s="1"/>
  <c r="I24" i="23" s="1"/>
  <c r="D209" i="1"/>
  <c r="D225" i="1"/>
  <c r="E23" i="23"/>
  <c r="G23" i="23" s="1"/>
  <c r="H23" i="23" s="1"/>
  <c r="I23" i="23" s="1"/>
  <c r="E35" i="23"/>
  <c r="G35" i="23" s="1"/>
  <c r="H35" i="23" s="1"/>
  <c r="I35" i="23" s="1"/>
  <c r="D215" i="1"/>
  <c r="D181" i="1"/>
  <c r="D227" i="1"/>
  <c r="E27" i="23"/>
  <c r="G27" i="23" s="1"/>
  <c r="H27" i="23" s="1"/>
  <c r="I27" i="23" s="1"/>
  <c r="D223" i="1"/>
  <c r="D12" i="23"/>
  <c r="F12" i="23" s="1"/>
  <c r="E12" i="23"/>
  <c r="G12" i="23" s="1"/>
  <c r="E17" i="23"/>
  <c r="G17" i="23" s="1"/>
  <c r="D17" i="23"/>
  <c r="F17" i="23" s="1"/>
  <c r="E33" i="23"/>
  <c r="G33" i="23" s="1"/>
  <c r="D33" i="23"/>
  <c r="F33" i="23" s="1"/>
  <c r="E45" i="23"/>
  <c r="G45" i="23" s="1"/>
  <c r="D45" i="23"/>
  <c r="F45" i="23" s="1"/>
  <c r="D8" i="23"/>
  <c r="F8" i="23" s="1"/>
  <c r="E8" i="23"/>
  <c r="G8" i="23" s="1"/>
  <c r="E21" i="23"/>
  <c r="G21" i="23" s="1"/>
  <c r="D21" i="23"/>
  <c r="F21" i="23" s="1"/>
  <c r="E37" i="23"/>
  <c r="G37" i="23" s="1"/>
  <c r="D37" i="23"/>
  <c r="F37" i="23" s="1"/>
  <c r="E49" i="23"/>
  <c r="G49" i="23" s="1"/>
  <c r="D49" i="23"/>
  <c r="F49" i="23" s="1"/>
  <c r="D19" i="23"/>
  <c r="F19" i="23" s="1"/>
  <c r="E19" i="23"/>
  <c r="G19" i="23" s="1"/>
  <c r="E25" i="23"/>
  <c r="G25" i="23" s="1"/>
  <c r="D25" i="23"/>
  <c r="F25" i="23" s="1"/>
  <c r="E41" i="23"/>
  <c r="G41" i="23" s="1"/>
  <c r="D41" i="23"/>
  <c r="F41" i="23" s="1"/>
  <c r="D16" i="23"/>
  <c r="F16" i="23" s="1"/>
  <c r="E16" i="23"/>
  <c r="G16" i="23" s="1"/>
  <c r="E13" i="23"/>
  <c r="G13" i="23" s="1"/>
  <c r="D13" i="23"/>
  <c r="F13" i="23" s="1"/>
  <c r="E29" i="23"/>
  <c r="G29" i="23" s="1"/>
  <c r="D29" i="23"/>
  <c r="F29" i="23" s="1"/>
  <c r="E53" i="23"/>
  <c r="G53" i="23" s="1"/>
  <c r="D53" i="23"/>
  <c r="F53" i="23" s="1"/>
  <c r="D190" i="1"/>
  <c r="D199" i="1"/>
  <c r="D191" i="1"/>
  <c r="D207" i="1"/>
  <c r="D182" i="1"/>
  <c r="D187" i="1"/>
  <c r="D195" i="1"/>
  <c r="D203" i="1"/>
  <c r="D211" i="1"/>
  <c r="D219" i="1"/>
  <c r="D193" i="1"/>
  <c r="B60" i="5"/>
  <c r="A149" i="24" s="1"/>
  <c r="B59" i="5"/>
  <c r="A147" i="24" s="1"/>
  <c r="B58" i="5"/>
  <c r="A145" i="24" s="1"/>
  <c r="J185" i="1"/>
  <c r="G9" i="2"/>
  <c r="E6" i="2"/>
  <c r="D6" i="2"/>
  <c r="F3" i="2"/>
  <c r="H3" i="9"/>
  <c r="H4" i="9" s="1"/>
  <c r="G3" i="9"/>
  <c r="G4" i="9" s="1"/>
  <c r="F3" i="9"/>
  <c r="F4" i="9" s="1"/>
  <c r="D4" i="10"/>
  <c r="G3" i="10"/>
  <c r="F3" i="10"/>
  <c r="F4" i="10" s="1"/>
  <c r="AX43" i="7"/>
  <c r="AX42" i="7"/>
  <c r="AX41" i="7"/>
  <c r="AX40" i="7"/>
  <c r="AX20" i="7"/>
  <c r="BA20" i="7" s="1"/>
  <c r="AZ20" i="7" s="1"/>
  <c r="AY19" i="7"/>
  <c r="BA19" i="7" s="1"/>
  <c r="AZ19" i="7" s="1"/>
  <c r="AY18" i="7"/>
  <c r="AX18" i="7"/>
  <c r="AV17" i="7"/>
  <c r="BM7" i="7"/>
  <c r="E25" i="11"/>
  <c r="F25" i="11" s="1"/>
  <c r="E24" i="11"/>
  <c r="F24" i="11" s="1"/>
  <c r="E23" i="11"/>
  <c r="F23" i="11" s="1"/>
  <c r="E22" i="11"/>
  <c r="F22" i="11" s="1"/>
  <c r="E21" i="11"/>
  <c r="F21" i="11" s="1"/>
  <c r="F20" i="11"/>
  <c r="E17" i="11"/>
  <c r="F17" i="11" s="1"/>
  <c r="E16" i="11"/>
  <c r="F16" i="11" s="1"/>
  <c r="E15" i="11"/>
  <c r="F15" i="11" s="1"/>
  <c r="E13" i="11"/>
  <c r="F13" i="11" s="1"/>
  <c r="E5" i="11"/>
  <c r="F5" i="11" s="1"/>
  <c r="C94" i="5"/>
  <c r="C93" i="5"/>
  <c r="C92" i="5"/>
  <c r="H91" i="5"/>
  <c r="D88" i="5"/>
  <c r="H88" i="5" s="1"/>
  <c r="A271" i="24" s="1"/>
  <c r="K84" i="5"/>
  <c r="J84" i="5"/>
  <c r="K82" i="5"/>
  <c r="J82" i="5"/>
  <c r="K80" i="5"/>
  <c r="J80" i="5"/>
  <c r="K78" i="5"/>
  <c r="J78" i="5"/>
  <c r="J58" i="5"/>
  <c r="F54" i="5"/>
  <c r="E54" i="5"/>
  <c r="D54" i="5"/>
  <c r="C54" i="5" a="1"/>
  <c r="C54" i="5" s="1"/>
  <c r="B54" i="5"/>
  <c r="F53" i="5"/>
  <c r="I53" i="5" s="1"/>
  <c r="E53" i="5"/>
  <c r="B53" i="5"/>
  <c r="F52" i="5"/>
  <c r="E52" i="5"/>
  <c r="D52" i="5"/>
  <c r="C52" i="5" a="1"/>
  <c r="C52" i="5" s="1"/>
  <c r="B52" i="5"/>
  <c r="F51" i="5"/>
  <c r="E51" i="5"/>
  <c r="B51" i="5"/>
  <c r="F50" i="5"/>
  <c r="I50" i="5" s="1"/>
  <c r="E50" i="5"/>
  <c r="D50" i="5"/>
  <c r="C50" i="5" a="1"/>
  <c r="C50" i="5" s="1"/>
  <c r="B50" i="5"/>
  <c r="F49" i="5"/>
  <c r="E49" i="5"/>
  <c r="B49" i="5"/>
  <c r="F48" i="5"/>
  <c r="I48" i="5" s="1"/>
  <c r="E48" i="5"/>
  <c r="D48" i="5"/>
  <c r="C48" i="5" a="1"/>
  <c r="C48" i="5" s="1"/>
  <c r="B48" i="5"/>
  <c r="F47" i="5"/>
  <c r="I47" i="5" s="1"/>
  <c r="E47" i="5"/>
  <c r="B47" i="5"/>
  <c r="F46" i="5"/>
  <c r="I46" i="5" s="1"/>
  <c r="E46" i="5"/>
  <c r="D46" i="5"/>
  <c r="C46" i="5" a="1"/>
  <c r="C46" i="5" s="1"/>
  <c r="B46" i="5"/>
  <c r="F45" i="5"/>
  <c r="I45" i="5" s="1"/>
  <c r="E45" i="5"/>
  <c r="B45" i="5"/>
  <c r="F44" i="5"/>
  <c r="I44" i="5" s="1"/>
  <c r="E44" i="5"/>
  <c r="D44" i="5"/>
  <c r="C44" i="5" a="1"/>
  <c r="C44" i="5" s="1"/>
  <c r="B44" i="5"/>
  <c r="F43" i="5"/>
  <c r="I43" i="5" s="1"/>
  <c r="E43" i="5"/>
  <c r="B43" i="5"/>
  <c r="F42" i="5"/>
  <c r="I42" i="5" s="1"/>
  <c r="E42" i="5"/>
  <c r="D42" i="5"/>
  <c r="C42" i="5" a="1"/>
  <c r="C42" i="5" s="1"/>
  <c r="B42" i="5"/>
  <c r="F41" i="5"/>
  <c r="I41" i="5" s="1"/>
  <c r="E41" i="5"/>
  <c r="B41" i="5"/>
  <c r="F40" i="5"/>
  <c r="I40" i="5" s="1"/>
  <c r="E40" i="5"/>
  <c r="B40" i="5"/>
  <c r="F39" i="5"/>
  <c r="E39" i="5"/>
  <c r="D39" i="5"/>
  <c r="C39" i="5" a="1"/>
  <c r="C39" i="5" s="1"/>
  <c r="B39" i="5"/>
  <c r="F38" i="5"/>
  <c r="E38" i="5"/>
  <c r="D38" i="5"/>
  <c r="C38" i="5" a="1"/>
  <c r="C38" i="5" s="1"/>
  <c r="B38" i="5"/>
  <c r="F37" i="5"/>
  <c r="E37" i="5"/>
  <c r="B37" i="5"/>
  <c r="F36" i="5"/>
  <c r="E36" i="5"/>
  <c r="D36" i="5"/>
  <c r="C36" i="5" a="1"/>
  <c r="C36" i="5" s="1"/>
  <c r="B36" i="5"/>
  <c r="F35" i="5"/>
  <c r="I35" i="5" s="1"/>
  <c r="E35" i="5"/>
  <c r="B35" i="5"/>
  <c r="F34" i="5"/>
  <c r="I34" i="5" s="1"/>
  <c r="E34" i="5"/>
  <c r="D34" i="5"/>
  <c r="C34" i="5" a="1"/>
  <c r="C34" i="5" s="1"/>
  <c r="B34" i="5"/>
  <c r="F33" i="5"/>
  <c r="I33" i="5" s="1"/>
  <c r="E33" i="5"/>
  <c r="B33" i="5"/>
  <c r="F32" i="5"/>
  <c r="I32" i="5" s="1"/>
  <c r="E32" i="5"/>
  <c r="D32" i="5"/>
  <c r="C32" i="5" a="1"/>
  <c r="C32" i="5" s="1"/>
  <c r="B32" i="5"/>
  <c r="F31" i="5"/>
  <c r="I31" i="5" s="1"/>
  <c r="E31" i="5"/>
  <c r="D31" i="5"/>
  <c r="B31" i="5"/>
  <c r="F30" i="5"/>
  <c r="I30" i="5" s="1"/>
  <c r="E30" i="5"/>
  <c r="D30" i="5"/>
  <c r="C30" i="5" a="1"/>
  <c r="C30" i="5" s="1"/>
  <c r="B30" i="5"/>
  <c r="F29" i="5"/>
  <c r="E29" i="5"/>
  <c r="B29" i="5"/>
  <c r="F28" i="5"/>
  <c r="I28" i="5" s="1"/>
  <c r="E28" i="5"/>
  <c r="D28" i="5"/>
  <c r="C28" i="5" a="1"/>
  <c r="C28" i="5" s="1"/>
  <c r="B28" i="5"/>
  <c r="F27" i="5"/>
  <c r="I27" i="5" s="1"/>
  <c r="E27" i="5"/>
  <c r="D27" i="5"/>
  <c r="C27" i="5" a="1"/>
  <c r="C27" i="5" s="1"/>
  <c r="B27" i="5"/>
  <c r="F26" i="5"/>
  <c r="I26" i="5" s="1"/>
  <c r="E26" i="5"/>
  <c r="D26" i="5"/>
  <c r="C26" i="5" a="1"/>
  <c r="C26" i="5" s="1"/>
  <c r="B26" i="5"/>
  <c r="F25" i="5"/>
  <c r="I25" i="5" s="1"/>
  <c r="E25" i="5"/>
  <c r="B25" i="5"/>
  <c r="F24" i="5"/>
  <c r="I24" i="5" s="1"/>
  <c r="E24" i="5"/>
  <c r="C24" i="5" a="1"/>
  <c r="C24" i="5" s="1"/>
  <c r="B24" i="5"/>
  <c r="F23" i="5"/>
  <c r="E23" i="5"/>
  <c r="D23" i="5"/>
  <c r="C23" i="5" a="1"/>
  <c r="C23" i="5" s="1"/>
  <c r="B23" i="5"/>
  <c r="F22" i="5"/>
  <c r="I22" i="5" s="1"/>
  <c r="E22" i="5"/>
  <c r="D22" i="5"/>
  <c r="C22" i="5" a="1"/>
  <c r="C22" i="5" s="1"/>
  <c r="B22" i="5"/>
  <c r="F21" i="5"/>
  <c r="E21" i="5"/>
  <c r="B21" i="5"/>
  <c r="F20" i="5"/>
  <c r="I20" i="5" s="1"/>
  <c r="J20" i="5" s="1"/>
  <c r="E20" i="5"/>
  <c r="D20" i="5"/>
  <c r="C20" i="5" a="1"/>
  <c r="C20" i="5" s="1"/>
  <c r="B20" i="5"/>
  <c r="F19" i="5"/>
  <c r="I19" i="5" s="1"/>
  <c r="E19" i="5"/>
  <c r="B19" i="5"/>
  <c r="F18" i="5"/>
  <c r="E18" i="5"/>
  <c r="B18" i="5"/>
  <c r="F17" i="5"/>
  <c r="E17" i="5"/>
  <c r="B17" i="5"/>
  <c r="F16" i="5"/>
  <c r="I16" i="5" s="1"/>
  <c r="E16" i="5"/>
  <c r="B16" i="5"/>
  <c r="F15" i="5"/>
  <c r="E15" i="5"/>
  <c r="B15" i="5"/>
  <c r="F14" i="5"/>
  <c r="I14" i="5" s="1"/>
  <c r="E14" i="5"/>
  <c r="D14" i="5"/>
  <c r="C14" i="5" a="1"/>
  <c r="C14" i="5" s="1"/>
  <c r="B14" i="5"/>
  <c r="F13" i="5"/>
  <c r="I13" i="5" s="1"/>
  <c r="E13" i="5"/>
  <c r="B13" i="5"/>
  <c r="F12" i="5"/>
  <c r="E12" i="5"/>
  <c r="B12" i="5"/>
  <c r="F11" i="5"/>
  <c r="I11" i="5" s="1"/>
  <c r="E11" i="5"/>
  <c r="D11" i="5"/>
  <c r="C11" i="5" a="1"/>
  <c r="C11" i="5" s="1"/>
  <c r="B11" i="5"/>
  <c r="F10" i="5"/>
  <c r="I10" i="5" s="1"/>
  <c r="E10" i="5"/>
  <c r="D10" i="5"/>
  <c r="C10" i="5" a="1"/>
  <c r="C10" i="5" s="1"/>
  <c r="B10" i="5"/>
  <c r="F9" i="5"/>
  <c r="I9" i="5" s="1"/>
  <c r="E9" i="5"/>
  <c r="C9" i="5" a="1"/>
  <c r="C9" i="5" s="1"/>
  <c r="B9" i="5"/>
  <c r="F8" i="5"/>
  <c r="I8" i="5" s="1"/>
  <c r="E8" i="5"/>
  <c r="B8" i="5"/>
  <c r="F7" i="5"/>
  <c r="I7" i="5" s="1"/>
  <c r="E7" i="5"/>
  <c r="B7" i="5"/>
  <c r="F6" i="5"/>
  <c r="I6" i="5" s="1"/>
  <c r="E6" i="5"/>
  <c r="D6" i="5"/>
  <c r="B6" i="5"/>
  <c r="F5" i="5"/>
  <c r="I5" i="5" s="1"/>
  <c r="E5" i="5"/>
  <c r="B5" i="5"/>
  <c r="A5" i="5" s="1"/>
  <c r="N54" i="18"/>
  <c r="J54" i="18"/>
  <c r="E54" i="18"/>
  <c r="D54" i="18"/>
  <c r="C54" i="18"/>
  <c r="N53" i="18"/>
  <c r="J53" i="18"/>
  <c r="E53" i="18"/>
  <c r="C53" i="18"/>
  <c r="N52" i="18"/>
  <c r="J52" i="18"/>
  <c r="E52" i="18"/>
  <c r="D52" i="18"/>
  <c r="C52" i="18"/>
  <c r="N51" i="18"/>
  <c r="J51" i="18"/>
  <c r="E51" i="18"/>
  <c r="C51" i="18"/>
  <c r="N50" i="18"/>
  <c r="J50" i="18"/>
  <c r="E50" i="18"/>
  <c r="D50" i="18"/>
  <c r="C50" i="18"/>
  <c r="N49" i="18"/>
  <c r="J49" i="18"/>
  <c r="E49" i="18"/>
  <c r="C49" i="18"/>
  <c r="N48" i="18"/>
  <c r="J48" i="18"/>
  <c r="E48" i="18"/>
  <c r="D48" i="18"/>
  <c r="C48" i="18"/>
  <c r="N47" i="18"/>
  <c r="J47" i="18"/>
  <c r="E47" i="18"/>
  <c r="C47" i="18"/>
  <c r="N46" i="18"/>
  <c r="J46" i="18"/>
  <c r="E46" i="18"/>
  <c r="D46" i="18"/>
  <c r="C46" i="18"/>
  <c r="N45" i="18"/>
  <c r="J45" i="18"/>
  <c r="E45" i="18"/>
  <c r="C45" i="18"/>
  <c r="N44" i="18"/>
  <c r="J44" i="18"/>
  <c r="E44" i="18"/>
  <c r="D44" i="18"/>
  <c r="C44" i="18"/>
  <c r="N43" i="18"/>
  <c r="J43" i="18"/>
  <c r="E43" i="18"/>
  <c r="C43" i="18"/>
  <c r="N42" i="18"/>
  <c r="J42" i="18"/>
  <c r="E42" i="18"/>
  <c r="D42" i="18"/>
  <c r="C42" i="18"/>
  <c r="N41" i="18"/>
  <c r="J41" i="18"/>
  <c r="E41" i="18"/>
  <c r="C41" i="18"/>
  <c r="N40" i="18"/>
  <c r="J40" i="18"/>
  <c r="E40" i="18"/>
  <c r="C40" i="18"/>
  <c r="N39" i="18"/>
  <c r="J39" i="18"/>
  <c r="E39" i="18"/>
  <c r="D39" i="18"/>
  <c r="C39" i="18"/>
  <c r="N38" i="18"/>
  <c r="J38" i="18"/>
  <c r="E38" i="18"/>
  <c r="D38" i="18"/>
  <c r="C38" i="18"/>
  <c r="N37" i="18"/>
  <c r="J37" i="18"/>
  <c r="E37" i="18"/>
  <c r="C37" i="18"/>
  <c r="N36" i="18"/>
  <c r="J36" i="18"/>
  <c r="E36" i="18"/>
  <c r="D36" i="18"/>
  <c r="C36" i="18"/>
  <c r="N35" i="18"/>
  <c r="J35" i="18"/>
  <c r="E35" i="18"/>
  <c r="C35" i="18"/>
  <c r="N34" i="18"/>
  <c r="J34" i="18"/>
  <c r="E34" i="18"/>
  <c r="D34" i="18"/>
  <c r="C34" i="18"/>
  <c r="N33" i="18"/>
  <c r="J33" i="18"/>
  <c r="E33" i="18"/>
  <c r="C33" i="18"/>
  <c r="N32" i="18"/>
  <c r="J32" i="18"/>
  <c r="E32" i="18"/>
  <c r="D32" i="18"/>
  <c r="C32" i="18"/>
  <c r="N31" i="18"/>
  <c r="J31" i="18"/>
  <c r="E31" i="18"/>
  <c r="D31" i="18"/>
  <c r="C31" i="18"/>
  <c r="N30" i="18"/>
  <c r="J30" i="18"/>
  <c r="E30" i="18"/>
  <c r="D30" i="18"/>
  <c r="C30" i="18"/>
  <c r="N29" i="18"/>
  <c r="J29" i="18"/>
  <c r="E29" i="18"/>
  <c r="C29" i="18"/>
  <c r="N28" i="18"/>
  <c r="J28" i="18"/>
  <c r="E28" i="18"/>
  <c r="D28" i="18"/>
  <c r="C28" i="18"/>
  <c r="N27" i="18"/>
  <c r="J27" i="18"/>
  <c r="E27" i="18"/>
  <c r="D27" i="18"/>
  <c r="C27" i="18"/>
  <c r="N26" i="18"/>
  <c r="J26" i="18"/>
  <c r="E26" i="18"/>
  <c r="D26" i="18"/>
  <c r="C26" i="18"/>
  <c r="N25" i="18"/>
  <c r="J25" i="18"/>
  <c r="E25" i="18"/>
  <c r="C25" i="18"/>
  <c r="N24" i="18"/>
  <c r="J24" i="18"/>
  <c r="E24" i="18"/>
  <c r="C24" i="18"/>
  <c r="N23" i="18"/>
  <c r="J23" i="18"/>
  <c r="E23" i="18"/>
  <c r="D23" i="18"/>
  <c r="C23" i="18"/>
  <c r="N22" i="18"/>
  <c r="J22" i="18"/>
  <c r="E22" i="18"/>
  <c r="D22" i="18"/>
  <c r="C22" i="18"/>
  <c r="N21" i="18"/>
  <c r="J21" i="18"/>
  <c r="E21" i="18"/>
  <c r="C21" i="18"/>
  <c r="N20" i="18"/>
  <c r="J20" i="18"/>
  <c r="E20" i="18"/>
  <c r="D20" i="18"/>
  <c r="C20" i="18"/>
  <c r="N19" i="18"/>
  <c r="J19" i="18"/>
  <c r="E19" i="18"/>
  <c r="C19" i="18"/>
  <c r="N18" i="18"/>
  <c r="J18" i="18"/>
  <c r="E18" i="18"/>
  <c r="C18" i="18"/>
  <c r="N17" i="18"/>
  <c r="J17" i="18"/>
  <c r="E17" i="18"/>
  <c r="C17" i="18"/>
  <c r="N16" i="18"/>
  <c r="J16" i="18"/>
  <c r="E16" i="18"/>
  <c r="C16" i="18"/>
  <c r="N15" i="18"/>
  <c r="J15" i="18"/>
  <c r="E15" i="18"/>
  <c r="C15" i="18"/>
  <c r="N14" i="18"/>
  <c r="J14" i="18"/>
  <c r="E14" i="18"/>
  <c r="D14" i="18"/>
  <c r="C14" i="18"/>
  <c r="N13" i="18"/>
  <c r="J13" i="18"/>
  <c r="E13" i="18"/>
  <c r="C13" i="18"/>
  <c r="N12" i="18"/>
  <c r="J12" i="18"/>
  <c r="E12" i="18"/>
  <c r="C12" i="18"/>
  <c r="N11" i="18"/>
  <c r="J11" i="18"/>
  <c r="E11" i="18"/>
  <c r="D11" i="18"/>
  <c r="C11" i="18"/>
  <c r="N10" i="18"/>
  <c r="J10" i="18"/>
  <c r="E10" i="18"/>
  <c r="D10" i="18"/>
  <c r="C10" i="18"/>
  <c r="N9" i="18"/>
  <c r="J9" i="18"/>
  <c r="E9" i="18"/>
  <c r="C9" i="18"/>
  <c r="N8" i="18"/>
  <c r="J8" i="18"/>
  <c r="E8" i="18"/>
  <c r="C8" i="18"/>
  <c r="N7" i="18"/>
  <c r="J7" i="18"/>
  <c r="E7" i="18"/>
  <c r="C7" i="18"/>
  <c r="N6" i="18"/>
  <c r="J6" i="18"/>
  <c r="E6" i="18"/>
  <c r="D6" i="18"/>
  <c r="C6" i="18"/>
  <c r="N5" i="18"/>
  <c r="J5" i="18"/>
  <c r="E5" i="18"/>
  <c r="C5" i="18"/>
  <c r="B5" i="18"/>
  <c r="G393" i="1"/>
  <c r="E393" i="1"/>
  <c r="C393" i="1"/>
  <c r="G390" i="1"/>
  <c r="C390" i="1"/>
  <c r="D371" i="1"/>
  <c r="C371" i="1"/>
  <c r="F370" i="1"/>
  <c r="D369" i="1"/>
  <c r="C369" i="1"/>
  <c r="F368" i="1"/>
  <c r="D367" i="1"/>
  <c r="C367" i="1"/>
  <c r="F366" i="1"/>
  <c r="D365" i="1"/>
  <c r="C365" i="1"/>
  <c r="F364" i="1"/>
  <c r="D363" i="1"/>
  <c r="C363" i="1"/>
  <c r="F362" i="1"/>
  <c r="D361" i="1"/>
  <c r="C361" i="1"/>
  <c r="D358" i="1"/>
  <c r="E358" i="1" s="1"/>
  <c r="D353" i="1"/>
  <c r="D352" i="1"/>
  <c r="D351" i="1"/>
  <c r="D350" i="1"/>
  <c r="E349" i="1"/>
  <c r="E348" i="1"/>
  <c r="E347" i="1"/>
  <c r="E346" i="1"/>
  <c r="E345" i="1"/>
  <c r="E344" i="1"/>
  <c r="E343" i="1"/>
  <c r="E342" i="1"/>
  <c r="D341" i="1"/>
  <c r="D340" i="1"/>
  <c r="D339" i="1"/>
  <c r="D338" i="1"/>
  <c r="D336" i="1"/>
  <c r="D335" i="1"/>
  <c r="D334" i="1"/>
  <c r="D333" i="1"/>
  <c r="C327" i="1"/>
  <c r="C326" i="1"/>
  <c r="C325" i="1"/>
  <c r="C324" i="1"/>
  <c r="C323" i="1"/>
  <c r="C322" i="1"/>
  <c r="C321" i="1"/>
  <c r="C320" i="1"/>
  <c r="C319" i="1"/>
  <c r="C318" i="1"/>
  <c r="C317" i="1"/>
  <c r="C316" i="1"/>
  <c r="E245" i="1"/>
  <c r="C245" i="1"/>
  <c r="H240" i="1"/>
  <c r="F229" i="1"/>
  <c r="A1542" i="24" s="1"/>
  <c r="C229" i="1"/>
  <c r="A1279" i="24" s="1"/>
  <c r="J228" i="1"/>
  <c r="G228" i="1"/>
  <c r="G227" i="1"/>
  <c r="J226" i="1"/>
  <c r="G226" i="1"/>
  <c r="J225" i="1"/>
  <c r="G225" i="1"/>
  <c r="J224" i="1"/>
  <c r="G224" i="1"/>
  <c r="G223" i="1"/>
  <c r="J222" i="1"/>
  <c r="G222" i="1"/>
  <c r="G221" i="1"/>
  <c r="J220" i="1"/>
  <c r="G220" i="1"/>
  <c r="G219" i="1"/>
  <c r="J218" i="1"/>
  <c r="G218" i="1"/>
  <c r="G217" i="1"/>
  <c r="J216" i="1"/>
  <c r="G216" i="1"/>
  <c r="G215" i="1"/>
  <c r="G214" i="1"/>
  <c r="J213" i="1"/>
  <c r="G213" i="1"/>
  <c r="J212" i="1"/>
  <c r="G212" i="1"/>
  <c r="G211" i="1"/>
  <c r="J210" i="1"/>
  <c r="G210" i="1"/>
  <c r="G209" i="1"/>
  <c r="J208" i="1"/>
  <c r="G208" i="1"/>
  <c r="G207" i="1"/>
  <c r="J206" i="1"/>
  <c r="G206" i="1"/>
  <c r="J205" i="1"/>
  <c r="G205" i="1"/>
  <c r="J204" i="1"/>
  <c r="G204" i="1"/>
  <c r="G203" i="1"/>
  <c r="J202" i="1"/>
  <c r="G202" i="1"/>
  <c r="J201" i="1"/>
  <c r="G201" i="1"/>
  <c r="J200" i="1"/>
  <c r="G200" i="1"/>
  <c r="G199" i="1"/>
  <c r="J198" i="1"/>
  <c r="G198" i="1"/>
  <c r="J197" i="1"/>
  <c r="G197" i="1"/>
  <c r="J196" i="1"/>
  <c r="G196" i="1"/>
  <c r="G195" i="1"/>
  <c r="J194" i="1"/>
  <c r="G194" i="1"/>
  <c r="G193" i="1"/>
  <c r="G192" i="1"/>
  <c r="G191" i="1"/>
  <c r="G190" i="1"/>
  <c r="G189" i="1"/>
  <c r="J188" i="1"/>
  <c r="G188" i="1"/>
  <c r="G187" i="1"/>
  <c r="G186" i="1"/>
  <c r="G185" i="1"/>
  <c r="J184" i="1"/>
  <c r="G184" i="1"/>
  <c r="G183" i="1"/>
  <c r="G182" i="1"/>
  <c r="J181" i="1"/>
  <c r="G181" i="1"/>
  <c r="G180" i="1"/>
  <c r="A1239" i="24" s="1"/>
  <c r="G179" i="1"/>
  <c r="A1228" i="24" s="1"/>
  <c r="E170" i="1"/>
  <c r="E169" i="1"/>
  <c r="E168" i="1"/>
  <c r="E167" i="1"/>
  <c r="E166" i="1"/>
  <c r="E165" i="1"/>
  <c r="E164" i="1"/>
  <c r="E163" i="1"/>
  <c r="E159" i="1"/>
  <c r="E158" i="1"/>
  <c r="E157" i="1"/>
  <c r="E156" i="1"/>
  <c r="E155" i="1"/>
  <c r="E154" i="1"/>
  <c r="E153" i="1"/>
  <c r="E152" i="1"/>
  <c r="E151" i="1"/>
  <c r="E150" i="1"/>
  <c r="E149" i="1"/>
  <c r="E148" i="1"/>
  <c r="E147" i="1"/>
  <c r="C139" i="1"/>
  <c r="D136" i="1"/>
  <c r="D135" i="1"/>
  <c r="D134" i="1"/>
  <c r="D124" i="1"/>
  <c r="E7" i="11" s="1"/>
  <c r="F7" i="11" s="1"/>
  <c r="B124" i="1"/>
  <c r="H123" i="1"/>
  <c r="G123" i="1"/>
  <c r="Z10" i="7" s="1"/>
  <c r="F123" i="1"/>
  <c r="AA10" i="7" s="1"/>
  <c r="H122" i="1"/>
  <c r="G122" i="1"/>
  <c r="Z9" i="7" s="1"/>
  <c r="F122" i="1"/>
  <c r="AA9" i="7" s="1"/>
  <c r="H121" i="1"/>
  <c r="G121" i="1"/>
  <c r="Z8" i="7" s="1"/>
  <c r="F121" i="1"/>
  <c r="AA8" i="7" s="1"/>
  <c r="H120" i="1"/>
  <c r="G120" i="1"/>
  <c r="Z7" i="7" s="1"/>
  <c r="F120" i="1"/>
  <c r="AA7" i="7" s="1"/>
  <c r="H119" i="1"/>
  <c r="G119" i="1"/>
  <c r="Z6" i="7" s="1"/>
  <c r="F119" i="1"/>
  <c r="AA6" i="7" s="1"/>
  <c r="H118" i="1"/>
  <c r="G118" i="1"/>
  <c r="Z5" i="7" s="1"/>
  <c r="F118" i="1"/>
  <c r="AA5" i="7" s="1"/>
  <c r="H117" i="1"/>
  <c r="G117" i="1"/>
  <c r="Z4" i="7" s="1"/>
  <c r="F117" i="1"/>
  <c r="AA4" i="7" s="1"/>
  <c r="H116" i="1"/>
  <c r="G116" i="1"/>
  <c r="F116" i="1"/>
  <c r="AA3" i="7" s="1"/>
  <c r="H115" i="1"/>
  <c r="G115" i="1"/>
  <c r="Z2" i="7" s="1"/>
  <c r="F115" i="1"/>
  <c r="AA2" i="7" s="1"/>
  <c r="H114" i="1"/>
  <c r="G114" i="1"/>
  <c r="F114" i="1"/>
  <c r="AA1" i="7" s="1"/>
  <c r="H111" i="1"/>
  <c r="G111" i="1"/>
  <c r="F111" i="1"/>
  <c r="G100" i="1"/>
  <c r="A363" i="24" s="1"/>
  <c r="I89" i="1"/>
  <c r="H89" i="1"/>
  <c r="G89" i="1"/>
  <c r="F89" i="1"/>
  <c r="I88" i="1"/>
  <c r="H88" i="1"/>
  <c r="G88" i="1"/>
  <c r="F88" i="1"/>
  <c r="I87" i="1"/>
  <c r="H87" i="1"/>
  <c r="G87" i="1"/>
  <c r="F87" i="1"/>
  <c r="F86" i="1"/>
  <c r="F85" i="1"/>
  <c r="E85" i="1"/>
  <c r="D85" i="1"/>
  <c r="G72" i="1"/>
  <c r="E72" i="1"/>
  <c r="C72" i="1"/>
  <c r="G64" i="1"/>
  <c r="E64" i="1"/>
  <c r="C64" i="1"/>
  <c r="G56" i="1"/>
  <c r="E56" i="1"/>
  <c r="C56" i="1"/>
  <c r="G48" i="1"/>
  <c r="E48" i="1"/>
  <c r="C48" i="1"/>
  <c r="G40" i="1"/>
  <c r="A905" i="24" s="1"/>
  <c r="E40" i="1"/>
  <c r="A906" i="24" s="1"/>
  <c r="C40" i="1"/>
  <c r="E29" i="1"/>
  <c r="G20" i="1"/>
  <c r="E20" i="1"/>
  <c r="C20" i="1"/>
  <c r="G5" i="1"/>
  <c r="E5" i="1"/>
  <c r="C6" i="5" l="1" a="1"/>
  <c r="C6" i="5" s="1"/>
  <c r="A1292" i="24" s="1"/>
  <c r="J180" i="1"/>
  <c r="A1499" i="24" s="1"/>
  <c r="J179" i="1"/>
  <c r="A1488" i="24" s="1"/>
  <c r="A1438" i="24"/>
  <c r="D9" i="18"/>
  <c r="D18" i="18"/>
  <c r="D9" i="5"/>
  <c r="J183" i="1"/>
  <c r="C18" i="5" a="1"/>
  <c r="C18" i="5" s="1"/>
  <c r="D18" i="5"/>
  <c r="C88" i="1"/>
  <c r="J192" i="1"/>
  <c r="C12" i="5" a="1"/>
  <c r="C12" i="5" s="1"/>
  <c r="S80" i="20"/>
  <c r="S78" i="20"/>
  <c r="D5" i="18"/>
  <c r="S91" i="20"/>
  <c r="D43" i="5"/>
  <c r="D5" i="23"/>
  <c r="F5" i="23" s="1"/>
  <c r="H5" i="23" s="1"/>
  <c r="I5" i="23" s="1"/>
  <c r="C15" i="5" a="1"/>
  <c r="C15" i="5" s="1"/>
  <c r="J186" i="1"/>
  <c r="C5" i="5"/>
  <c r="A1281" i="24" s="1"/>
  <c r="J182" i="1"/>
  <c r="J217" i="1"/>
  <c r="D15" i="18"/>
  <c r="D43" i="18"/>
  <c r="D5" i="5"/>
  <c r="G5" i="5" s="1"/>
  <c r="C31" i="5" a="1"/>
  <c r="C31" i="5" s="1"/>
  <c r="D276" i="1" a="1"/>
  <c r="D276" i="1" s="1"/>
  <c r="A1118" i="24" s="1"/>
  <c r="J189" i="1"/>
  <c r="D15" i="5"/>
  <c r="C43" i="5" a="1"/>
  <c r="C43" i="5" s="1"/>
  <c r="D35" i="18"/>
  <c r="D33" i="5"/>
  <c r="C41" i="5" a="1"/>
  <c r="C41" i="5" s="1"/>
  <c r="J214" i="1"/>
  <c r="J221" i="1"/>
  <c r="D40" i="18"/>
  <c r="C7" i="5" a="1"/>
  <c r="C7" i="5" s="1"/>
  <c r="D12" i="5"/>
  <c r="G12" i="5" s="1"/>
  <c r="D21" i="5"/>
  <c r="G21" i="5" s="1"/>
  <c r="C40" i="5" a="1"/>
  <c r="C40" i="5" s="1"/>
  <c r="C47" i="5" a="1"/>
  <c r="C47" i="5" s="1"/>
  <c r="D47" i="18"/>
  <c r="D7" i="5"/>
  <c r="G7" i="5" s="1"/>
  <c r="D40" i="5"/>
  <c r="G40" i="5" s="1"/>
  <c r="D47" i="5"/>
  <c r="G47" i="5" s="1"/>
  <c r="D7" i="18"/>
  <c r="D12" i="18"/>
  <c r="C33" i="5" a="1"/>
  <c r="C33" i="5" s="1"/>
  <c r="D53" i="5"/>
  <c r="G53" i="5" s="1"/>
  <c r="J203" i="1"/>
  <c r="J207" i="1"/>
  <c r="J209" i="1"/>
  <c r="J227" i="1"/>
  <c r="D53" i="18"/>
  <c r="C35" i="5" a="1"/>
  <c r="C35" i="5" s="1"/>
  <c r="D33" i="18"/>
  <c r="D35" i="5"/>
  <c r="G35" i="5" s="1"/>
  <c r="C53" i="5" a="1"/>
  <c r="C53" i="5" s="1"/>
  <c r="C13" i="5" a="1"/>
  <c r="C13" i="5" s="1"/>
  <c r="D24" i="5"/>
  <c r="G24" i="5" s="1"/>
  <c r="C25" i="5" a="1"/>
  <c r="C25" i="5" s="1"/>
  <c r="J199" i="1"/>
  <c r="D24" i="18"/>
  <c r="D49" i="18"/>
  <c r="C49" i="5" a="1"/>
  <c r="C49" i="5" s="1"/>
  <c r="J223" i="1"/>
  <c r="C45" i="5" a="1"/>
  <c r="C45" i="5" s="1"/>
  <c r="D49" i="5"/>
  <c r="G49" i="5" s="1"/>
  <c r="J215" i="1"/>
  <c r="D41" i="18"/>
  <c r="C8" i="5" a="1"/>
  <c r="C8" i="5" s="1"/>
  <c r="D41" i="5"/>
  <c r="G41" i="5" s="1"/>
  <c r="C51" i="5" a="1"/>
  <c r="C51" i="5" s="1"/>
  <c r="D51" i="18"/>
  <c r="D51" i="5"/>
  <c r="G51" i="5" s="1"/>
  <c r="J193" i="1"/>
  <c r="J195" i="1"/>
  <c r="D19" i="5"/>
  <c r="G19" i="5" s="1"/>
  <c r="D21" i="18"/>
  <c r="C21" i="5" a="1"/>
  <c r="C21" i="5" s="1"/>
  <c r="D8" i="18"/>
  <c r="D19" i="18"/>
  <c r="C19" i="5" a="1"/>
  <c r="C19" i="5" s="1"/>
  <c r="H29" i="23"/>
  <c r="I29" i="23" s="1"/>
  <c r="H25" i="23"/>
  <c r="I25" i="23" s="1"/>
  <c r="H49" i="23"/>
  <c r="I49" i="23" s="1"/>
  <c r="H21" i="23"/>
  <c r="I21" i="23" s="1"/>
  <c r="H45" i="23"/>
  <c r="I45" i="23" s="1"/>
  <c r="H17" i="23"/>
  <c r="I17" i="23" s="1"/>
  <c r="C309" i="1"/>
  <c r="F15" i="18"/>
  <c r="C307" i="1"/>
  <c r="D366" i="1"/>
  <c r="E366" i="1" s="1"/>
  <c r="D368" i="1"/>
  <c r="E368" i="1" s="1"/>
  <c r="C15" i="2"/>
  <c r="C312" i="1"/>
  <c r="D364" i="1"/>
  <c r="E364" i="1" s="1"/>
  <c r="D370" i="1"/>
  <c r="E370" i="1" s="1"/>
  <c r="E88" i="1"/>
  <c r="C140" i="1"/>
  <c r="E333" i="1"/>
  <c r="D25" i="18"/>
  <c r="D13" i="5"/>
  <c r="G13" i="5" s="1"/>
  <c r="D25" i="5"/>
  <c r="G25" i="5" s="1"/>
  <c r="D45" i="5"/>
  <c r="G45" i="5" s="1"/>
  <c r="C18" i="2"/>
  <c r="C37" i="5" a="1"/>
  <c r="C37" i="5" s="1"/>
  <c r="D16" i="5"/>
  <c r="G16" i="5" s="1"/>
  <c r="M5" i="23"/>
  <c r="C29" i="5" a="1"/>
  <c r="C29" i="5" s="1"/>
  <c r="J187" i="1"/>
  <c r="J219" i="1"/>
  <c r="C313" i="1"/>
  <c r="D13" i="18"/>
  <c r="D45" i="18"/>
  <c r="C12" i="2"/>
  <c r="C17" i="5" a="1"/>
  <c r="C17" i="5" s="1"/>
  <c r="F11" i="18"/>
  <c r="D362" i="1"/>
  <c r="E362" i="1" s="1"/>
  <c r="H8" i="5"/>
  <c r="E335" i="1"/>
  <c r="G51" i="18"/>
  <c r="S95" i="20"/>
  <c r="S102" i="20"/>
  <c r="E334" i="1"/>
  <c r="F7" i="18"/>
  <c r="G12" i="18"/>
  <c r="F14" i="18"/>
  <c r="H21" i="5"/>
  <c r="G16" i="18"/>
  <c r="H50" i="5"/>
  <c r="F6" i="18"/>
  <c r="G8" i="18"/>
  <c r="F10" i="18"/>
  <c r="F18" i="18"/>
  <c r="H19" i="23"/>
  <c r="I19" i="23" s="1"/>
  <c r="D360" i="1"/>
  <c r="E360" i="1" s="1"/>
  <c r="E87" i="5"/>
  <c r="E338" i="1"/>
  <c r="G293" i="1"/>
  <c r="H12" i="23"/>
  <c r="I12" i="23" s="1"/>
  <c r="H16" i="23"/>
  <c r="I16" i="23" s="1"/>
  <c r="H53" i="23"/>
  <c r="I53" i="23" s="1"/>
  <c r="H13" i="23"/>
  <c r="I13" i="23" s="1"/>
  <c r="H41" i="23"/>
  <c r="I41" i="23" s="1"/>
  <c r="H37" i="23"/>
  <c r="I37" i="23" s="1"/>
  <c r="H33" i="23"/>
  <c r="I33" i="23" s="1"/>
  <c r="H8" i="23"/>
  <c r="D16" i="18"/>
  <c r="J191" i="1"/>
  <c r="J211" i="1"/>
  <c r="D8" i="5"/>
  <c r="C16" i="5" a="1"/>
  <c r="C16" i="5" s="1"/>
  <c r="J190" i="1"/>
  <c r="D17" i="18"/>
  <c r="D29" i="18"/>
  <c r="D37" i="18"/>
  <c r="D17" i="5"/>
  <c r="G17" i="5" s="1"/>
  <c r="D29" i="5"/>
  <c r="G29" i="5" s="1"/>
  <c r="D37" i="5"/>
  <c r="G37" i="5" s="1"/>
  <c r="S116" i="20"/>
  <c r="S117" i="20"/>
  <c r="S106" i="20"/>
  <c r="S119" i="20"/>
  <c r="S101" i="20"/>
  <c r="S82" i="20"/>
  <c r="S90" i="20"/>
  <c r="S114" i="20"/>
  <c r="S124" i="20"/>
  <c r="S96" i="20"/>
  <c r="S104" i="20"/>
  <c r="S112" i="20"/>
  <c r="S93" i="20"/>
  <c r="S105" i="20"/>
  <c r="S99" i="20"/>
  <c r="S103" i="20"/>
  <c r="S111" i="20"/>
  <c r="S118" i="20"/>
  <c r="S121" i="20"/>
  <c r="G18" i="5"/>
  <c r="S26" i="20"/>
  <c r="S113" i="20"/>
  <c r="S87" i="20"/>
  <c r="J85" i="5"/>
  <c r="C2" i="20"/>
  <c r="V5" i="5" s="1"/>
  <c r="E2" i="20"/>
  <c r="X5" i="5" s="1"/>
  <c r="Z1" i="7"/>
  <c r="E9" i="11"/>
  <c r="E3" i="10"/>
  <c r="E4" i="10" s="1"/>
  <c r="E340" i="1"/>
  <c r="C314" i="1"/>
  <c r="BA18" i="7"/>
  <c r="AZ18" i="7" s="1"/>
  <c r="AX36" i="7" s="1"/>
  <c r="E341" i="1" s="1"/>
  <c r="Z3" i="7"/>
  <c r="AA11" i="7"/>
  <c r="B11" i="20"/>
  <c r="E8" i="11"/>
  <c r="F8" i="11" s="1"/>
  <c r="J3" i="9"/>
  <c r="E336" i="1"/>
  <c r="C310" i="1"/>
  <c r="F19" i="18"/>
  <c r="G20" i="18"/>
  <c r="F22" i="18"/>
  <c r="F23" i="18"/>
  <c r="G24" i="18"/>
  <c r="F26" i="18"/>
  <c r="F27" i="18"/>
  <c r="G28" i="18"/>
  <c r="F30" i="18"/>
  <c r="G30" i="18"/>
  <c r="G33" i="18"/>
  <c r="F33" i="18"/>
  <c r="F38" i="18"/>
  <c r="G38" i="18"/>
  <c r="G41" i="18"/>
  <c r="F41" i="18"/>
  <c r="F46" i="18"/>
  <c r="G46" i="18"/>
  <c r="H18" i="5"/>
  <c r="G5" i="18"/>
  <c r="G9" i="18"/>
  <c r="G13" i="18"/>
  <c r="G17" i="18"/>
  <c r="G21" i="18"/>
  <c r="G25" i="18"/>
  <c r="G29" i="18"/>
  <c r="G31" i="18"/>
  <c r="F31" i="18"/>
  <c r="F36" i="18"/>
  <c r="G36" i="18"/>
  <c r="G39" i="18"/>
  <c r="F39" i="18"/>
  <c r="F44" i="18"/>
  <c r="G44" i="18"/>
  <c r="G47" i="18"/>
  <c r="F47" i="18"/>
  <c r="F53" i="18"/>
  <c r="G53" i="18"/>
  <c r="S81" i="20"/>
  <c r="F5" i="18"/>
  <c r="G6" i="18"/>
  <c r="F8" i="18"/>
  <c r="F9" i="18"/>
  <c r="G10" i="18"/>
  <c r="F12" i="18"/>
  <c r="F13" i="18"/>
  <c r="H13" i="18" s="1"/>
  <c r="G14" i="18"/>
  <c r="F16" i="18"/>
  <c r="F17" i="18"/>
  <c r="G18" i="18"/>
  <c r="F20" i="18"/>
  <c r="F21" i="18"/>
  <c r="G22" i="18"/>
  <c r="F24" i="18"/>
  <c r="F25" i="18"/>
  <c r="G26" i="18"/>
  <c r="F28" i="18"/>
  <c r="F29" i="18"/>
  <c r="H29" i="18" s="1"/>
  <c r="F34" i="18"/>
  <c r="G34" i="18"/>
  <c r="G37" i="18"/>
  <c r="F37" i="18"/>
  <c r="F42" i="18"/>
  <c r="G42" i="18"/>
  <c r="G45" i="18"/>
  <c r="F45" i="18"/>
  <c r="G49" i="18"/>
  <c r="H13" i="5"/>
  <c r="H52" i="5"/>
  <c r="H15" i="5"/>
  <c r="H17" i="5"/>
  <c r="H19" i="5"/>
  <c r="H23" i="5"/>
  <c r="H25" i="5"/>
  <c r="H27" i="5"/>
  <c r="H29" i="5"/>
  <c r="H31" i="5"/>
  <c r="H33" i="5"/>
  <c r="H35" i="5"/>
  <c r="H37" i="5"/>
  <c r="H39" i="5"/>
  <c r="H41" i="5"/>
  <c r="H43" i="5"/>
  <c r="H45" i="5"/>
  <c r="E6" i="11"/>
  <c r="F6" i="11" s="1"/>
  <c r="E3" i="9"/>
  <c r="E4" i="9" s="1"/>
  <c r="M1" i="7"/>
  <c r="M2" i="7" s="1"/>
  <c r="G294" i="1"/>
  <c r="H5" i="5"/>
  <c r="H7" i="5"/>
  <c r="H9" i="5"/>
  <c r="H11" i="5"/>
  <c r="C308" i="1"/>
  <c r="C315" i="1"/>
  <c r="H12" i="5"/>
  <c r="H14" i="5"/>
  <c r="H16" i="5"/>
  <c r="H20" i="5"/>
  <c r="H22" i="5"/>
  <c r="H24" i="5"/>
  <c r="H26" i="5"/>
  <c r="H28" i="5"/>
  <c r="H30" i="5"/>
  <c r="H32" i="5"/>
  <c r="H34" i="5"/>
  <c r="H36" i="5"/>
  <c r="H38" i="5"/>
  <c r="H40" i="5"/>
  <c r="H42" i="5"/>
  <c r="H44" i="5"/>
  <c r="H46" i="5"/>
  <c r="H48" i="5"/>
  <c r="H54" i="5"/>
  <c r="G229" i="1"/>
  <c r="A1597" i="24" s="1"/>
  <c r="G7" i="18"/>
  <c r="G11" i="18"/>
  <c r="G15" i="18"/>
  <c r="G19" i="18"/>
  <c r="G23" i="18"/>
  <c r="G27" i="18"/>
  <c r="F32" i="18"/>
  <c r="G32" i="18"/>
  <c r="G35" i="18"/>
  <c r="F35" i="18"/>
  <c r="F40" i="18"/>
  <c r="G40" i="18"/>
  <c r="G43" i="18"/>
  <c r="F43" i="18"/>
  <c r="F48" i="18"/>
  <c r="G48" i="18"/>
  <c r="S6" i="20"/>
  <c r="S77" i="20"/>
  <c r="I12" i="5"/>
  <c r="S83" i="20" s="1"/>
  <c r="S14" i="20"/>
  <c r="S85" i="20"/>
  <c r="F50" i="18"/>
  <c r="G50" i="18"/>
  <c r="H6" i="5"/>
  <c r="H10" i="5"/>
  <c r="S27" i="20"/>
  <c r="H47" i="5"/>
  <c r="H49" i="5"/>
  <c r="H51" i="5"/>
  <c r="H53" i="5"/>
  <c r="F49" i="18"/>
  <c r="F52" i="18"/>
  <c r="G52" i="18"/>
  <c r="S98" i="20"/>
  <c r="F51" i="18"/>
  <c r="F54" i="18"/>
  <c r="G54" i="18"/>
  <c r="S76" i="20"/>
  <c r="S79" i="20"/>
  <c r="S13" i="20"/>
  <c r="S84" i="20"/>
  <c r="S44" i="20"/>
  <c r="S115" i="20"/>
  <c r="S7" i="20"/>
  <c r="G4" i="10"/>
  <c r="S97" i="20"/>
  <c r="T20" i="20"/>
  <c r="S31" i="20"/>
  <c r="S33" i="20"/>
  <c r="S35" i="20"/>
  <c r="G48" i="5"/>
  <c r="S9" i="20"/>
  <c r="C96" i="20"/>
  <c r="S32" i="20"/>
  <c r="S40" i="20"/>
  <c r="T91" i="20"/>
  <c r="E339" i="1"/>
  <c r="J27" i="5"/>
  <c r="L27" i="20" s="1"/>
  <c r="G33" i="5"/>
  <c r="G39" i="5"/>
  <c r="K48" i="20"/>
  <c r="J8" i="5"/>
  <c r="D79" i="20" s="1"/>
  <c r="G9" i="5"/>
  <c r="S19" i="20"/>
  <c r="J24" i="5"/>
  <c r="D95" i="20" s="1"/>
  <c r="S28" i="20"/>
  <c r="S30" i="20"/>
  <c r="G32" i="5"/>
  <c r="J32" i="5"/>
  <c r="J40" i="5"/>
  <c r="D111" i="20" s="1"/>
  <c r="S53" i="20"/>
  <c r="A6" i="5"/>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S10" i="20"/>
  <c r="S16" i="20"/>
  <c r="S34" i="20"/>
  <c r="G42" i="5"/>
  <c r="S42" i="20"/>
  <c r="S47" i="20"/>
  <c r="B23" i="20"/>
  <c r="B43" i="20"/>
  <c r="S8" i="20"/>
  <c r="S22" i="20"/>
  <c r="S50" i="20"/>
  <c r="B27" i="20"/>
  <c r="S48" i="20"/>
  <c r="D2" i="20"/>
  <c r="W5" i="5" s="1"/>
  <c r="S11" i="20"/>
  <c r="B22" i="20"/>
  <c r="B24" i="20"/>
  <c r="I37" i="5"/>
  <c r="K37" i="20" s="1"/>
  <c r="S46" i="20"/>
  <c r="I17" i="5"/>
  <c r="K17" i="20" s="1"/>
  <c r="I21" i="5"/>
  <c r="C92" i="20" s="1"/>
  <c r="B39" i="20"/>
  <c r="I51" i="5"/>
  <c r="K122" i="20" s="1"/>
  <c r="S5" i="20"/>
  <c r="B30" i="20"/>
  <c r="I36" i="5"/>
  <c r="J36" i="5" s="1"/>
  <c r="I38" i="5"/>
  <c r="K109" i="20" s="1"/>
  <c r="S43" i="20"/>
  <c r="J43" i="5"/>
  <c r="L114" i="20" s="1"/>
  <c r="B48" i="20"/>
  <c r="I18" i="5"/>
  <c r="K89" i="20" s="1"/>
  <c r="S24" i="20"/>
  <c r="I29" i="5"/>
  <c r="S100" i="20" s="1"/>
  <c r="B34" i="20"/>
  <c r="S41" i="20"/>
  <c r="C112" i="20"/>
  <c r="B42" i="20"/>
  <c r="S45" i="20"/>
  <c r="B3" i="5"/>
  <c r="C84" i="20"/>
  <c r="G15" i="5"/>
  <c r="K96" i="20"/>
  <c r="J45" i="5"/>
  <c r="L116" i="20" s="1"/>
  <c r="J47" i="5"/>
  <c r="L118" i="20" s="1"/>
  <c r="B12" i="20"/>
  <c r="B20" i="20"/>
  <c r="B28" i="20"/>
  <c r="B32" i="20"/>
  <c r="B36" i="20"/>
  <c r="B40" i="20"/>
  <c r="B44" i="20"/>
  <c r="B52" i="20"/>
  <c r="S25" i="20"/>
  <c r="B9" i="20"/>
  <c r="E3" i="5"/>
  <c r="J7" i="5"/>
  <c r="D78" i="20" s="1"/>
  <c r="J9" i="5"/>
  <c r="D80" i="20" s="1"/>
  <c r="J13" i="5"/>
  <c r="D84" i="20" s="1"/>
  <c r="J14" i="5"/>
  <c r="D85" i="20" s="1"/>
  <c r="J16" i="5"/>
  <c r="L16" i="20" s="1"/>
  <c r="G23" i="5"/>
  <c r="J25" i="5"/>
  <c r="L25" i="20" s="1"/>
  <c r="G26" i="5"/>
  <c r="J26" i="5"/>
  <c r="L26" i="20" s="1"/>
  <c r="G31" i="5"/>
  <c r="J31" i="5"/>
  <c r="L31" i="20" s="1"/>
  <c r="I52" i="5"/>
  <c r="K52" i="20" s="1"/>
  <c r="K16" i="20"/>
  <c r="J22" i="5"/>
  <c r="L22" i="20" s="1"/>
  <c r="J33" i="5"/>
  <c r="L33" i="20" s="1"/>
  <c r="J41" i="5"/>
  <c r="L112" i="20" s="1"/>
  <c r="J42" i="5"/>
  <c r="C116" i="20"/>
  <c r="J53" i="5"/>
  <c r="B10" i="20"/>
  <c r="B14" i="20"/>
  <c r="B18" i="20"/>
  <c r="B26" i="20"/>
  <c r="B38" i="20"/>
  <c r="B46" i="20"/>
  <c r="B50" i="20"/>
  <c r="B54" i="20"/>
  <c r="S20" i="20"/>
  <c r="K85" i="5"/>
  <c r="K90" i="20"/>
  <c r="K19" i="20"/>
  <c r="C90" i="20"/>
  <c r="J19" i="5"/>
  <c r="K82" i="20"/>
  <c r="K11" i="20"/>
  <c r="C82" i="20"/>
  <c r="J11" i="5"/>
  <c r="L20" i="20"/>
  <c r="D91" i="20"/>
  <c r="L91" i="20"/>
  <c r="K121" i="20"/>
  <c r="C121" i="20"/>
  <c r="K50" i="20"/>
  <c r="J50" i="5"/>
  <c r="K81" i="20"/>
  <c r="C81" i="20"/>
  <c r="K10" i="20"/>
  <c r="J10" i="5"/>
  <c r="K106" i="20"/>
  <c r="K35" i="20"/>
  <c r="C106" i="20"/>
  <c r="J35" i="5"/>
  <c r="K76" i="20"/>
  <c r="C76" i="20"/>
  <c r="K5" i="20"/>
  <c r="K6" i="20"/>
  <c r="C77" i="20"/>
  <c r="J5" i="5"/>
  <c r="J6" i="5"/>
  <c r="G10" i="5"/>
  <c r="G11" i="5"/>
  <c r="G14" i="5"/>
  <c r="F3" i="5"/>
  <c r="G6" i="5"/>
  <c r="K7" i="20"/>
  <c r="C78" i="20"/>
  <c r="K78" i="20"/>
  <c r="C79" i="20"/>
  <c r="K79" i="20"/>
  <c r="K8" i="20"/>
  <c r="I15" i="5"/>
  <c r="K99" i="20"/>
  <c r="C99" i="20"/>
  <c r="K28" i="20"/>
  <c r="K31" i="20"/>
  <c r="K102" i="20"/>
  <c r="C102" i="20"/>
  <c r="K105" i="20"/>
  <c r="C105" i="20"/>
  <c r="K34" i="20"/>
  <c r="C115" i="20"/>
  <c r="K44" i="20"/>
  <c r="K115" i="20"/>
  <c r="K9" i="20"/>
  <c r="K80" i="20"/>
  <c r="K85" i="20"/>
  <c r="K14" i="20"/>
  <c r="C85" i="20"/>
  <c r="G22" i="5"/>
  <c r="K95" i="20"/>
  <c r="C95" i="20"/>
  <c r="K24" i="20"/>
  <c r="K27" i="20"/>
  <c r="K98" i="20"/>
  <c r="C98" i="20"/>
  <c r="G28" i="5"/>
  <c r="K30" i="20"/>
  <c r="K101" i="20"/>
  <c r="C101" i="20"/>
  <c r="G38" i="5"/>
  <c r="K111" i="20"/>
  <c r="C111" i="20"/>
  <c r="K40" i="20"/>
  <c r="K43" i="20"/>
  <c r="C114" i="20"/>
  <c r="K114" i="20"/>
  <c r="G44" i="5"/>
  <c r="K117" i="20"/>
  <c r="K46" i="20"/>
  <c r="C117" i="20"/>
  <c r="G50" i="5"/>
  <c r="K91" i="20"/>
  <c r="C91" i="20"/>
  <c r="K20" i="20"/>
  <c r="I23" i="5"/>
  <c r="K97" i="20"/>
  <c r="C97" i="20"/>
  <c r="K26" i="20"/>
  <c r="G34" i="5"/>
  <c r="J34" i="5"/>
  <c r="I39" i="5"/>
  <c r="K113" i="20"/>
  <c r="C113" i="20"/>
  <c r="K42" i="20"/>
  <c r="K118" i="20"/>
  <c r="K47" i="20"/>
  <c r="C118" i="20"/>
  <c r="K77" i="20"/>
  <c r="K87" i="20"/>
  <c r="C87" i="20"/>
  <c r="G20" i="5"/>
  <c r="K22" i="20"/>
  <c r="K93" i="20"/>
  <c r="C93" i="20"/>
  <c r="G27" i="5"/>
  <c r="J28" i="5"/>
  <c r="G30" i="5"/>
  <c r="J30" i="5"/>
  <c r="C103" i="20"/>
  <c r="K103" i="20"/>
  <c r="K32" i="20"/>
  <c r="G36" i="5"/>
  <c r="G43" i="5"/>
  <c r="J44" i="5"/>
  <c r="G46" i="5"/>
  <c r="J46" i="5"/>
  <c r="I49" i="5"/>
  <c r="G52" i="5"/>
  <c r="C80" i="20"/>
  <c r="K25" i="20"/>
  <c r="K33" i="20"/>
  <c r="K104" i="20"/>
  <c r="K41" i="20"/>
  <c r="K112" i="20"/>
  <c r="K45" i="20"/>
  <c r="K116" i="20"/>
  <c r="K119" i="20"/>
  <c r="C119" i="20"/>
  <c r="K124" i="20"/>
  <c r="K53" i="20"/>
  <c r="C104" i="20"/>
  <c r="K13" i="20"/>
  <c r="K84" i="20"/>
  <c r="J48" i="5"/>
  <c r="I54" i="5"/>
  <c r="G54" i="5"/>
  <c r="C124" i="20"/>
  <c r="J81" i="5"/>
  <c r="H90" i="5"/>
  <c r="A1368" i="24" s="1"/>
  <c r="E390" i="1"/>
  <c r="A181" i="24" s="1"/>
  <c r="E140" i="1"/>
  <c r="A180" i="24" s="1"/>
  <c r="E244" i="1"/>
  <c r="A164" i="24" s="1"/>
  <c r="E396" i="1"/>
  <c r="A276" i="24" s="1"/>
  <c r="G396" i="1"/>
  <c r="A171" i="24" s="1"/>
  <c r="F26" i="11"/>
  <c r="G21" i="11" s="1"/>
  <c r="I136" i="1"/>
  <c r="BK6" i="7"/>
  <c r="BK7" i="7"/>
  <c r="BL6" i="7"/>
  <c r="I7" i="1"/>
  <c r="I6" i="1"/>
  <c r="BL7" i="7"/>
  <c r="K81" i="5"/>
  <c r="B6" i="20" l="1"/>
  <c r="B15" i="20"/>
  <c r="U91" i="20"/>
  <c r="V91" i="20" s="1"/>
  <c r="B41" i="20"/>
  <c r="H55" i="23"/>
  <c r="I55" i="23" s="1"/>
  <c r="J43" i="23" s="1"/>
  <c r="B5" i="20"/>
  <c r="B57" i="20" s="1" a="1"/>
  <c r="B57" i="20" s="1"/>
  <c r="B33" i="20"/>
  <c r="D277" i="1" a="1"/>
  <c r="D277" i="1" s="1"/>
  <c r="A1125" i="24" s="1"/>
  <c r="C276" i="1"/>
  <c r="A1102" i="24" s="1"/>
  <c r="B31" i="20"/>
  <c r="B53" i="20"/>
  <c r="B49" i="20"/>
  <c r="B19" i="20"/>
  <c r="B45" i="20"/>
  <c r="B35" i="20"/>
  <c r="B13" i="20"/>
  <c r="B8" i="20"/>
  <c r="B47" i="20"/>
  <c r="B25" i="20"/>
  <c r="B7" i="20"/>
  <c r="B51" i="20"/>
  <c r="B21" i="20"/>
  <c r="F381" i="1"/>
  <c r="A443" i="24" s="1"/>
  <c r="B16" i="20"/>
  <c r="H16" i="18"/>
  <c r="K16" i="18" s="1"/>
  <c r="O16" i="18" s="1"/>
  <c r="L95" i="20"/>
  <c r="M95" i="20" s="1"/>
  <c r="N95" i="20" s="1"/>
  <c r="B29" i="20"/>
  <c r="D114" i="20"/>
  <c r="E114" i="20" s="1"/>
  <c r="F114" i="20" s="1"/>
  <c r="F375" i="1"/>
  <c r="A262" i="24" s="1"/>
  <c r="C123" i="20"/>
  <c r="D98" i="20"/>
  <c r="E98" i="20" s="1"/>
  <c r="F98" i="20" s="1"/>
  <c r="U20" i="20"/>
  <c r="V20" i="20" s="1"/>
  <c r="E375" i="1"/>
  <c r="A261" i="24" s="1"/>
  <c r="B17" i="20"/>
  <c r="B37" i="20"/>
  <c r="E378" i="1"/>
  <c r="A595" i="24" s="1"/>
  <c r="H21" i="18"/>
  <c r="F376" i="1"/>
  <c r="A269" i="24" s="1"/>
  <c r="F379" i="1"/>
  <c r="A13" i="24" s="1"/>
  <c r="E380" i="1"/>
  <c r="A160" i="24" s="1"/>
  <c r="E379" i="1"/>
  <c r="A12" i="24" s="1"/>
  <c r="L79" i="20"/>
  <c r="M79" i="20" s="1"/>
  <c r="N79" i="20" s="1"/>
  <c r="E374" i="1"/>
  <c r="A4" i="24" s="1"/>
  <c r="F374" i="1"/>
  <c r="A5" i="24" s="1"/>
  <c r="E376" i="1"/>
  <c r="A268" i="24" s="1"/>
  <c r="F377" i="1"/>
  <c r="A27" i="24" s="1"/>
  <c r="L41" i="20"/>
  <c r="M41" i="20" s="1"/>
  <c r="N41" i="20" s="1"/>
  <c r="H51" i="18"/>
  <c r="K51" i="18" s="1"/>
  <c r="O51" i="18" s="1"/>
  <c r="D116" i="20"/>
  <c r="E116" i="20" s="1"/>
  <c r="F116" i="20" s="1"/>
  <c r="L13" i="20"/>
  <c r="M13" i="20" s="1"/>
  <c r="N13" i="20" s="1"/>
  <c r="N5" i="23"/>
  <c r="M17" i="23"/>
  <c r="K92" i="20"/>
  <c r="K21" i="20"/>
  <c r="K108" i="20"/>
  <c r="L43" i="20"/>
  <c r="M43" i="20" s="1"/>
  <c r="N43" i="20" s="1"/>
  <c r="H20" i="18"/>
  <c r="K20" i="18" s="1"/>
  <c r="O20" i="18" s="1"/>
  <c r="L45" i="20"/>
  <c r="M45" i="20" s="1"/>
  <c r="N45" i="20" s="1"/>
  <c r="L24" i="20"/>
  <c r="M24" i="20" s="1"/>
  <c r="N24" i="20" s="1"/>
  <c r="H40" i="18"/>
  <c r="K40" i="18" s="1"/>
  <c r="O40" i="18" s="1"/>
  <c r="H36" i="18"/>
  <c r="H38" i="18"/>
  <c r="K38" i="18" s="1"/>
  <c r="O38" i="18" s="1"/>
  <c r="F380" i="1"/>
  <c r="A161" i="24" s="1"/>
  <c r="L8" i="20"/>
  <c r="M8" i="20" s="1"/>
  <c r="N8" i="20" s="1"/>
  <c r="H49" i="18"/>
  <c r="H12" i="18"/>
  <c r="K12" i="18" s="1"/>
  <c r="O12" i="18" s="1"/>
  <c r="H6" i="18"/>
  <c r="K6" i="18" s="1"/>
  <c r="O6" i="18" s="1"/>
  <c r="H34" i="18"/>
  <c r="C108" i="20"/>
  <c r="C107" i="20"/>
  <c r="L98" i="20"/>
  <c r="M98" i="20" s="1"/>
  <c r="N98" i="20" s="1"/>
  <c r="H8" i="18"/>
  <c r="K8" i="18" s="1"/>
  <c r="O8" i="18" s="1"/>
  <c r="D97" i="20"/>
  <c r="E97" i="20" s="1"/>
  <c r="F97" i="20" s="1"/>
  <c r="H50" i="18"/>
  <c r="K50" i="18" s="1"/>
  <c r="O50" i="18" s="1"/>
  <c r="H35" i="18"/>
  <c r="K35" i="18" s="1"/>
  <c r="O35" i="18" s="1"/>
  <c r="H47" i="18"/>
  <c r="H31" i="18"/>
  <c r="K31" i="18" s="1"/>
  <c r="O31" i="18" s="1"/>
  <c r="H33" i="18"/>
  <c r="K33" i="18" s="1"/>
  <c r="O33" i="18" s="1"/>
  <c r="H23" i="18"/>
  <c r="K23" i="18" s="1"/>
  <c r="O23" i="18" s="1"/>
  <c r="D3" i="5"/>
  <c r="H54" i="18"/>
  <c r="K54" i="18" s="1"/>
  <c r="O54" i="18" s="1"/>
  <c r="H45" i="18"/>
  <c r="K45" i="18" s="1"/>
  <c r="O45" i="18" s="1"/>
  <c r="H24" i="18"/>
  <c r="H3" i="10"/>
  <c r="I106" i="1" s="1"/>
  <c r="A518" i="24" s="1"/>
  <c r="E381" i="1"/>
  <c r="A442" i="24" s="1"/>
  <c r="F378" i="1"/>
  <c r="A596" i="24" s="1"/>
  <c r="E377" i="1"/>
  <c r="A26" i="24" s="1"/>
  <c r="I8" i="23"/>
  <c r="I3" i="9"/>
  <c r="E100" i="1" s="1"/>
  <c r="A361" i="24" s="1"/>
  <c r="G8" i="5"/>
  <c r="H9" i="2" s="1"/>
  <c r="A1596" i="24" s="1"/>
  <c r="K123" i="20"/>
  <c r="L40" i="20"/>
  <c r="M40" i="20" s="1"/>
  <c r="N40" i="20" s="1"/>
  <c r="L97" i="20"/>
  <c r="M97" i="20" s="1"/>
  <c r="N97" i="20" s="1"/>
  <c r="K18" i="20"/>
  <c r="K12" i="20"/>
  <c r="L9" i="20"/>
  <c r="M9" i="20" s="1"/>
  <c r="N9" i="20" s="1"/>
  <c r="C89" i="20"/>
  <c r="L80" i="20"/>
  <c r="M80" i="20" s="1"/>
  <c r="N80" i="20" s="1"/>
  <c r="D87" i="20"/>
  <c r="E87" i="20" s="1"/>
  <c r="F87" i="20" s="1"/>
  <c r="C83" i="20"/>
  <c r="D112" i="20"/>
  <c r="E112" i="20" s="1"/>
  <c r="F112" i="20" s="1"/>
  <c r="D104" i="20"/>
  <c r="E104" i="20" s="1"/>
  <c r="F104" i="20" s="1"/>
  <c r="L47" i="20"/>
  <c r="M47" i="20" s="1"/>
  <c r="N47" i="20" s="1"/>
  <c r="L111" i="20"/>
  <c r="M111" i="20" s="1"/>
  <c r="N111" i="20" s="1"/>
  <c r="K83" i="20"/>
  <c r="S12" i="20"/>
  <c r="K38" i="20"/>
  <c r="K107" i="20"/>
  <c r="K36" i="20"/>
  <c r="F9" i="11"/>
  <c r="H3" i="5"/>
  <c r="H5" i="18"/>
  <c r="K5" i="18" s="1"/>
  <c r="T36" i="20"/>
  <c r="T107" i="20"/>
  <c r="L107" i="20"/>
  <c r="S49" i="20"/>
  <c r="S120" i="20"/>
  <c r="T34" i="20"/>
  <c r="U34" i="20" s="1"/>
  <c r="V34" i="20" s="1"/>
  <c r="T105" i="20"/>
  <c r="U105" i="20" s="1"/>
  <c r="V105" i="20" s="1"/>
  <c r="T50" i="20"/>
  <c r="U50" i="20" s="1"/>
  <c r="V50" i="20" s="1"/>
  <c r="T121" i="20"/>
  <c r="U121" i="20" s="1"/>
  <c r="V121" i="20" s="1"/>
  <c r="H10" i="18"/>
  <c r="K10" i="18" s="1"/>
  <c r="O10" i="18" s="1"/>
  <c r="T46" i="20"/>
  <c r="U46" i="20" s="1"/>
  <c r="V46" i="20" s="1"/>
  <c r="T117" i="20"/>
  <c r="U117" i="20" s="1"/>
  <c r="V117" i="20" s="1"/>
  <c r="S23" i="20"/>
  <c r="S94" i="20"/>
  <c r="S15" i="20"/>
  <c r="S86" i="20"/>
  <c r="T5" i="20"/>
  <c r="U5" i="20" s="1"/>
  <c r="V5" i="20" s="1"/>
  <c r="T76" i="20"/>
  <c r="T41" i="20"/>
  <c r="U41" i="20" s="1"/>
  <c r="V41" i="20" s="1"/>
  <c r="T112" i="20"/>
  <c r="U112" i="20" s="1"/>
  <c r="V112" i="20" s="1"/>
  <c r="S52" i="20"/>
  <c r="S123" i="20"/>
  <c r="T26" i="20"/>
  <c r="U26" i="20" s="1"/>
  <c r="V26" i="20" s="1"/>
  <c r="T97" i="20"/>
  <c r="U97" i="20" s="1"/>
  <c r="V97" i="20" s="1"/>
  <c r="T9" i="20"/>
  <c r="U9" i="20" s="1"/>
  <c r="V9" i="20" s="1"/>
  <c r="T80" i="20"/>
  <c r="U80" i="20" s="1"/>
  <c r="V80" i="20" s="1"/>
  <c r="T45" i="20"/>
  <c r="U45" i="20" s="1"/>
  <c r="V45" i="20" s="1"/>
  <c r="T116" i="20"/>
  <c r="U116" i="20" s="1"/>
  <c r="V116" i="20" s="1"/>
  <c r="S18" i="20"/>
  <c r="S89" i="20"/>
  <c r="K51" i="20"/>
  <c r="S122" i="20"/>
  <c r="T24" i="20"/>
  <c r="U24" i="20" s="1"/>
  <c r="V24" i="20" s="1"/>
  <c r="T95" i="20"/>
  <c r="U95" i="20" s="1"/>
  <c r="V95" i="20" s="1"/>
  <c r="T8" i="20"/>
  <c r="U8" i="20" s="1"/>
  <c r="V8" i="20" s="1"/>
  <c r="T79" i="20"/>
  <c r="U79" i="20" s="1"/>
  <c r="V79" i="20" s="1"/>
  <c r="J12" i="5"/>
  <c r="D12" i="20" s="1"/>
  <c r="H43" i="18"/>
  <c r="K43" i="18" s="1"/>
  <c r="O43" i="18" s="1"/>
  <c r="H32" i="18"/>
  <c r="K32" i="18" s="1"/>
  <c r="O32" i="18" s="1"/>
  <c r="H37" i="18"/>
  <c r="K37" i="18" s="1"/>
  <c r="O37" i="18" s="1"/>
  <c r="H25" i="18"/>
  <c r="K25" i="18" s="1"/>
  <c r="O25" i="18" s="1"/>
  <c r="H9" i="18"/>
  <c r="K9" i="18" s="1"/>
  <c r="O9" i="18" s="1"/>
  <c r="H53" i="18"/>
  <c r="K53" i="18" s="1"/>
  <c r="O53" i="18" s="1"/>
  <c r="H44" i="18"/>
  <c r="K44" i="18" s="1"/>
  <c r="O44" i="18" s="1"/>
  <c r="K36" i="18"/>
  <c r="O36" i="18" s="1"/>
  <c r="H46" i="18"/>
  <c r="K46" i="18" s="1"/>
  <c r="O46" i="18" s="1"/>
  <c r="H27" i="18"/>
  <c r="K27" i="18" s="1"/>
  <c r="O27" i="18" s="1"/>
  <c r="H22" i="18"/>
  <c r="K22" i="18" s="1"/>
  <c r="O22" i="18" s="1"/>
  <c r="H15" i="18"/>
  <c r="K15" i="18" s="1"/>
  <c r="O15" i="18" s="1"/>
  <c r="H7" i="18"/>
  <c r="K7" i="18" s="1"/>
  <c r="O7" i="18" s="1"/>
  <c r="T28" i="20"/>
  <c r="U28" i="20" s="1"/>
  <c r="V28" i="20" s="1"/>
  <c r="T99" i="20"/>
  <c r="U99" i="20" s="1"/>
  <c r="V99" i="20" s="1"/>
  <c r="T6" i="20"/>
  <c r="U6" i="20" s="1"/>
  <c r="V6" i="20" s="1"/>
  <c r="T77" i="20"/>
  <c r="U77" i="20" s="1"/>
  <c r="V77" i="20" s="1"/>
  <c r="T53" i="20"/>
  <c r="U53" i="20" s="1"/>
  <c r="V53" i="20" s="1"/>
  <c r="T124" i="20"/>
  <c r="U124" i="20" s="1"/>
  <c r="V124" i="20" s="1"/>
  <c r="T42" i="20"/>
  <c r="U42" i="20" s="1"/>
  <c r="V42" i="20" s="1"/>
  <c r="T113" i="20"/>
  <c r="U113" i="20" s="1"/>
  <c r="V113" i="20" s="1"/>
  <c r="T13" i="20"/>
  <c r="U13" i="20" s="1"/>
  <c r="V13" i="20" s="1"/>
  <c r="T84" i="20"/>
  <c r="U84" i="20" s="1"/>
  <c r="V84" i="20" s="1"/>
  <c r="T47" i="20"/>
  <c r="U47" i="20" s="1"/>
  <c r="V47" i="20" s="1"/>
  <c r="T118" i="20"/>
  <c r="U118" i="20" s="1"/>
  <c r="V118" i="20" s="1"/>
  <c r="S38" i="20"/>
  <c r="S109" i="20"/>
  <c r="T32" i="20"/>
  <c r="U32" i="20" s="1"/>
  <c r="V32" i="20" s="1"/>
  <c r="T103" i="20"/>
  <c r="U103" i="20" s="1"/>
  <c r="V103" i="20" s="1"/>
  <c r="S54" i="20"/>
  <c r="S125" i="20"/>
  <c r="T48" i="20"/>
  <c r="U48" i="20" s="1"/>
  <c r="V48" i="20" s="1"/>
  <c r="T119" i="20"/>
  <c r="U119" i="20" s="1"/>
  <c r="V119" i="20" s="1"/>
  <c r="T30" i="20"/>
  <c r="U30" i="20" s="1"/>
  <c r="V30" i="20" s="1"/>
  <c r="T101" i="20"/>
  <c r="U101" i="20" s="1"/>
  <c r="V101" i="20" s="1"/>
  <c r="L124" i="20"/>
  <c r="M124" i="20" s="1"/>
  <c r="N124" i="20" s="1"/>
  <c r="L32" i="20"/>
  <c r="M32" i="20" s="1"/>
  <c r="N32" i="20" s="1"/>
  <c r="D118" i="20"/>
  <c r="E118" i="20" s="1"/>
  <c r="F118" i="20" s="1"/>
  <c r="L42" i="20"/>
  <c r="M42" i="20" s="1"/>
  <c r="N42" i="20" s="1"/>
  <c r="T35" i="20"/>
  <c r="U35" i="20" s="1"/>
  <c r="V35" i="20" s="1"/>
  <c r="T106" i="20"/>
  <c r="U106" i="20" s="1"/>
  <c r="V106" i="20" s="1"/>
  <c r="T33" i="20"/>
  <c r="U33" i="20" s="1"/>
  <c r="V33" i="20" s="1"/>
  <c r="T104" i="20"/>
  <c r="U104" i="20" s="1"/>
  <c r="V104" i="20" s="1"/>
  <c r="T31" i="20"/>
  <c r="U31" i="20" s="1"/>
  <c r="V31" i="20" s="1"/>
  <c r="T102" i="20"/>
  <c r="U102" i="20" s="1"/>
  <c r="V102" i="20" s="1"/>
  <c r="T16" i="20"/>
  <c r="U16" i="20" s="1"/>
  <c r="V16" i="20" s="1"/>
  <c r="T87" i="20"/>
  <c r="U87" i="20" s="1"/>
  <c r="V87" i="20" s="1"/>
  <c r="T7" i="20"/>
  <c r="U7" i="20" s="1"/>
  <c r="V7" i="20" s="1"/>
  <c r="T78" i="20"/>
  <c r="U78" i="20" s="1"/>
  <c r="V78" i="20" s="1"/>
  <c r="T43" i="20"/>
  <c r="U43" i="20" s="1"/>
  <c r="V43" i="20" s="1"/>
  <c r="T114" i="20"/>
  <c r="U114" i="20" s="1"/>
  <c r="V114" i="20" s="1"/>
  <c r="S36" i="20"/>
  <c r="S107" i="20"/>
  <c r="S21" i="20"/>
  <c r="S92" i="20"/>
  <c r="T40" i="20"/>
  <c r="U40" i="20" s="1"/>
  <c r="V40" i="20" s="1"/>
  <c r="T111" i="20"/>
  <c r="U111" i="20" s="1"/>
  <c r="V111" i="20" s="1"/>
  <c r="E10" i="11"/>
  <c r="F10" i="11" s="1"/>
  <c r="I58" i="5"/>
  <c r="A2" i="24" s="1"/>
  <c r="K49" i="18"/>
  <c r="O49" i="18" s="1"/>
  <c r="K29" i="18"/>
  <c r="O29" i="18" s="1"/>
  <c r="K21" i="18"/>
  <c r="O21" i="18" s="1"/>
  <c r="K13" i="18"/>
  <c r="O13" i="18" s="1"/>
  <c r="H26" i="18"/>
  <c r="K26" i="18" s="1"/>
  <c r="O26" i="18" s="1"/>
  <c r="S39" i="20"/>
  <c r="S110" i="20"/>
  <c r="T44" i="20"/>
  <c r="U44" i="20" s="1"/>
  <c r="V44" i="20" s="1"/>
  <c r="T115" i="20"/>
  <c r="U115" i="20" s="1"/>
  <c r="V115" i="20" s="1"/>
  <c r="D124" i="20"/>
  <c r="E124" i="20" s="1"/>
  <c r="F124" i="20" s="1"/>
  <c r="L113" i="20"/>
  <c r="M113" i="20" s="1"/>
  <c r="N113" i="20" s="1"/>
  <c r="T10" i="20"/>
  <c r="U10" i="20" s="1"/>
  <c r="V10" i="20" s="1"/>
  <c r="T81" i="20"/>
  <c r="U81" i="20" s="1"/>
  <c r="V81" i="20" s="1"/>
  <c r="T11" i="20"/>
  <c r="U11" i="20" s="1"/>
  <c r="V11" i="20" s="1"/>
  <c r="T82" i="20"/>
  <c r="U82" i="20" s="1"/>
  <c r="V82" i="20" s="1"/>
  <c r="T19" i="20"/>
  <c r="U19" i="20" s="1"/>
  <c r="V19" i="20" s="1"/>
  <c r="T90" i="20"/>
  <c r="U90" i="20" s="1"/>
  <c r="V90" i="20" s="1"/>
  <c r="T22" i="20"/>
  <c r="U22" i="20" s="1"/>
  <c r="V22" i="20" s="1"/>
  <c r="T93" i="20"/>
  <c r="U93" i="20" s="1"/>
  <c r="V93" i="20" s="1"/>
  <c r="T25" i="20"/>
  <c r="U25" i="20" s="1"/>
  <c r="V25" i="20" s="1"/>
  <c r="T96" i="20"/>
  <c r="U96" i="20" s="1"/>
  <c r="V96" i="20" s="1"/>
  <c r="T14" i="20"/>
  <c r="U14" i="20" s="1"/>
  <c r="V14" i="20" s="1"/>
  <c r="T85" i="20"/>
  <c r="U85" i="20" s="1"/>
  <c r="V85" i="20" s="1"/>
  <c r="S17" i="20"/>
  <c r="S88" i="20"/>
  <c r="S37" i="20"/>
  <c r="S108" i="20"/>
  <c r="T27" i="20"/>
  <c r="U27" i="20" s="1"/>
  <c r="V27" i="20" s="1"/>
  <c r="T98" i="20"/>
  <c r="U98" i="20" s="1"/>
  <c r="V98" i="20" s="1"/>
  <c r="H52" i="18"/>
  <c r="K52" i="18" s="1"/>
  <c r="O52" i="18" s="1"/>
  <c r="H48" i="18"/>
  <c r="K48" i="18" s="1"/>
  <c r="O48" i="18" s="1"/>
  <c r="H42" i="18"/>
  <c r="K42" i="18" s="1"/>
  <c r="O42" i="18" s="1"/>
  <c r="K34" i="18"/>
  <c r="O34" i="18" s="1"/>
  <c r="H28" i="18"/>
  <c r="K28" i="18" s="1"/>
  <c r="O28" i="18" s="1"/>
  <c r="H17" i="18"/>
  <c r="K17" i="18" s="1"/>
  <c r="O17" i="18" s="1"/>
  <c r="K47" i="18"/>
  <c r="O47" i="18" s="1"/>
  <c r="H39" i="18"/>
  <c r="K39" i="18" s="1"/>
  <c r="O39" i="18" s="1"/>
  <c r="H41" i="18"/>
  <c r="K41" i="18" s="1"/>
  <c r="O41" i="18" s="1"/>
  <c r="H30" i="18"/>
  <c r="K30" i="18" s="1"/>
  <c r="O30" i="18" s="1"/>
  <c r="K24" i="18"/>
  <c r="O24" i="18" s="1"/>
  <c r="H19" i="18"/>
  <c r="K19" i="18" s="1"/>
  <c r="O19" i="18" s="1"/>
  <c r="H11" i="18"/>
  <c r="K11" i="18" s="1"/>
  <c r="O11" i="18" s="1"/>
  <c r="H14" i="18"/>
  <c r="K14" i="18" s="1"/>
  <c r="O14" i="18" s="1"/>
  <c r="H18" i="18"/>
  <c r="K18" i="18" s="1"/>
  <c r="O18" i="18" s="1"/>
  <c r="D96" i="20"/>
  <c r="E96" i="20" s="1"/>
  <c r="F96" i="20" s="1"/>
  <c r="D107" i="20"/>
  <c r="C122" i="20"/>
  <c r="L103" i="20"/>
  <c r="M103" i="20" s="1"/>
  <c r="N103" i="20" s="1"/>
  <c r="D93" i="20"/>
  <c r="E93" i="20" s="1"/>
  <c r="F93" i="20" s="1"/>
  <c r="L96" i="20"/>
  <c r="M96" i="20" s="1"/>
  <c r="N96" i="20" s="1"/>
  <c r="L53" i="20"/>
  <c r="M53" i="20" s="1"/>
  <c r="N53" i="20" s="1"/>
  <c r="L36" i="20"/>
  <c r="L93" i="20"/>
  <c r="M93" i="20" s="1"/>
  <c r="N93" i="20" s="1"/>
  <c r="D113" i="20"/>
  <c r="E113" i="20" s="1"/>
  <c r="F113" i="20" s="1"/>
  <c r="L85" i="20"/>
  <c r="M85" i="20" s="1"/>
  <c r="N85" i="20" s="1"/>
  <c r="L84" i="20"/>
  <c r="M84" i="20" s="1"/>
  <c r="N84" i="20" s="1"/>
  <c r="D102" i="20"/>
  <c r="E102" i="20" s="1"/>
  <c r="F102" i="20" s="1"/>
  <c r="D103" i="20"/>
  <c r="E103" i="20" s="1"/>
  <c r="F103" i="20" s="1"/>
  <c r="L14" i="20"/>
  <c r="M14" i="20" s="1"/>
  <c r="N14" i="20" s="1"/>
  <c r="D14" i="20"/>
  <c r="C26" i="20"/>
  <c r="C8" i="20"/>
  <c r="C35" i="20"/>
  <c r="C11" i="20"/>
  <c r="C5" i="20"/>
  <c r="C45" i="20"/>
  <c r="C52" i="20"/>
  <c r="C21" i="20"/>
  <c r="C29" i="20"/>
  <c r="D25" i="20"/>
  <c r="C16" i="20"/>
  <c r="D53" i="20"/>
  <c r="C47" i="20"/>
  <c r="D45" i="20"/>
  <c r="E45" i="20" s="1"/>
  <c r="F45" i="20" s="1"/>
  <c r="D43" i="20"/>
  <c r="C24" i="20"/>
  <c r="D42" i="20"/>
  <c r="D47" i="20"/>
  <c r="C44" i="20"/>
  <c r="C31" i="20"/>
  <c r="C33" i="20"/>
  <c r="C25" i="20"/>
  <c r="D36" i="20"/>
  <c r="D41" i="20"/>
  <c r="C32" i="20"/>
  <c r="C22" i="20"/>
  <c r="C43" i="20"/>
  <c r="C40" i="20"/>
  <c r="C30" i="20"/>
  <c r="C14" i="20"/>
  <c r="C9" i="20"/>
  <c r="D26" i="20"/>
  <c r="D40" i="20"/>
  <c r="D20" i="20"/>
  <c r="C48" i="20"/>
  <c r="C37" i="20"/>
  <c r="C42" i="20"/>
  <c r="C36" i="20"/>
  <c r="C7" i="20"/>
  <c r="C19" i="20"/>
  <c r="C13" i="20"/>
  <c r="C53" i="20"/>
  <c r="C20" i="20"/>
  <c r="C34" i="20"/>
  <c r="D24" i="20"/>
  <c r="D13" i="20"/>
  <c r="D9" i="20"/>
  <c r="C6" i="20"/>
  <c r="C50" i="20"/>
  <c r="C41" i="20"/>
  <c r="D32" i="20"/>
  <c r="D27" i="20"/>
  <c r="C46" i="20"/>
  <c r="C27" i="20"/>
  <c r="D22" i="20"/>
  <c r="C28" i="20"/>
  <c r="C18" i="20"/>
  <c r="C12" i="20"/>
  <c r="D8" i="20"/>
  <c r="C10" i="20"/>
  <c r="M16" i="20"/>
  <c r="N16" i="20" s="1"/>
  <c r="E84" i="20"/>
  <c r="F84" i="20" s="1"/>
  <c r="C100" i="20"/>
  <c r="S29" i="20"/>
  <c r="C88" i="20"/>
  <c r="C17" i="20"/>
  <c r="D33" i="20"/>
  <c r="D16" i="20"/>
  <c r="D31" i="20"/>
  <c r="L7" i="20"/>
  <c r="M7" i="20" s="1"/>
  <c r="N7" i="20" s="1"/>
  <c r="J29" i="5"/>
  <c r="T100" i="20" s="1"/>
  <c r="U100" i="20" s="1"/>
  <c r="V100" i="20" s="1"/>
  <c r="J38" i="5"/>
  <c r="T109" i="20" s="1"/>
  <c r="J17" i="5"/>
  <c r="T88" i="20" s="1"/>
  <c r="K29" i="20"/>
  <c r="C109" i="20"/>
  <c r="K100" i="20"/>
  <c r="K88" i="20"/>
  <c r="C38" i="20"/>
  <c r="L104" i="20"/>
  <c r="M104" i="20" s="1"/>
  <c r="N104" i="20" s="1"/>
  <c r="L87" i="20"/>
  <c r="M87" i="20" s="1"/>
  <c r="N87" i="20" s="1"/>
  <c r="L102" i="20"/>
  <c r="M102" i="20" s="1"/>
  <c r="N102" i="20" s="1"/>
  <c r="D7" i="20"/>
  <c r="J15" i="5"/>
  <c r="J18" i="5"/>
  <c r="T89" i="20" s="1"/>
  <c r="C51" i="20"/>
  <c r="S51" i="20"/>
  <c r="J37" i="5"/>
  <c r="T108" i="20" s="1"/>
  <c r="L78" i="20"/>
  <c r="M78" i="20" s="1"/>
  <c r="N78" i="20" s="1"/>
  <c r="J52" i="5"/>
  <c r="T123" i="20" s="1"/>
  <c r="J51" i="5"/>
  <c r="T122" i="20" s="1"/>
  <c r="J21" i="5"/>
  <c r="T92" i="20" s="1"/>
  <c r="E78" i="20"/>
  <c r="F78" i="20" s="1"/>
  <c r="M118" i="20"/>
  <c r="N118" i="20" s="1"/>
  <c r="M25" i="20"/>
  <c r="N25" i="20" s="1"/>
  <c r="M20" i="20"/>
  <c r="N20" i="20" s="1"/>
  <c r="E91" i="20"/>
  <c r="F91" i="20" s="1"/>
  <c r="E85" i="20"/>
  <c r="F85" i="20" s="1"/>
  <c r="M22" i="20"/>
  <c r="N22" i="20" s="1"/>
  <c r="E111" i="20"/>
  <c r="F111" i="20" s="1"/>
  <c r="M33" i="20"/>
  <c r="N33" i="20" s="1"/>
  <c r="M26" i="20"/>
  <c r="N26" i="20" s="1"/>
  <c r="E79" i="20"/>
  <c r="F79" i="20" s="1"/>
  <c r="M114" i="20"/>
  <c r="N114" i="20" s="1"/>
  <c r="BM6" i="7"/>
  <c r="M112" i="20"/>
  <c r="N112" i="20" s="1"/>
  <c r="E95" i="20"/>
  <c r="F95" i="20" s="1"/>
  <c r="E80" i="20"/>
  <c r="F80" i="20" s="1"/>
  <c r="K125" i="20"/>
  <c r="K54" i="20"/>
  <c r="C54" i="20"/>
  <c r="C125" i="20"/>
  <c r="J54" i="5"/>
  <c r="L101" i="20"/>
  <c r="M101" i="20" s="1"/>
  <c r="N101" i="20" s="1"/>
  <c r="D101" i="20"/>
  <c r="E101" i="20" s="1"/>
  <c r="F101" i="20" s="1"/>
  <c r="L30" i="20"/>
  <c r="M30" i="20" s="1"/>
  <c r="N30" i="20" s="1"/>
  <c r="D30" i="20"/>
  <c r="L77" i="20"/>
  <c r="M77" i="20" s="1"/>
  <c r="D77" i="20"/>
  <c r="E77" i="20" s="1"/>
  <c r="F77" i="20" s="1"/>
  <c r="L6" i="20"/>
  <c r="M6" i="20" s="1"/>
  <c r="N6" i="20" s="1"/>
  <c r="D6" i="20"/>
  <c r="D106" i="20"/>
  <c r="E106" i="20" s="1"/>
  <c r="F106" i="20" s="1"/>
  <c r="L35" i="20"/>
  <c r="M35" i="20" s="1"/>
  <c r="N35" i="20" s="1"/>
  <c r="D35" i="20"/>
  <c r="L106" i="20"/>
  <c r="M106" i="20" s="1"/>
  <c r="N106" i="20" s="1"/>
  <c r="K120" i="20"/>
  <c r="K49" i="20"/>
  <c r="C49" i="20"/>
  <c r="C120" i="20"/>
  <c r="L44" i="20"/>
  <c r="M44" i="20" s="1"/>
  <c r="N44" i="20" s="1"/>
  <c r="L115" i="20"/>
  <c r="M115" i="20" s="1"/>
  <c r="N115" i="20" s="1"/>
  <c r="D115" i="20"/>
  <c r="E115" i="20" s="1"/>
  <c r="F115" i="20" s="1"/>
  <c r="D44" i="20"/>
  <c r="K23" i="20"/>
  <c r="K94" i="20"/>
  <c r="C94" i="20"/>
  <c r="C23" i="20"/>
  <c r="D5" i="20"/>
  <c r="L5" i="20"/>
  <c r="L76" i="20"/>
  <c r="M76" i="20" s="1"/>
  <c r="N76" i="20" s="1"/>
  <c r="D76" i="20"/>
  <c r="J23" i="5"/>
  <c r="M91" i="20"/>
  <c r="N91" i="20" s="1"/>
  <c r="D82" i="20"/>
  <c r="E82" i="20" s="1"/>
  <c r="F82" i="20" s="1"/>
  <c r="L82" i="20"/>
  <c r="M82" i="20" s="1"/>
  <c r="N82" i="20" s="1"/>
  <c r="L11" i="20"/>
  <c r="M11" i="20" s="1"/>
  <c r="N11" i="20" s="1"/>
  <c r="D11" i="20"/>
  <c r="L48" i="20"/>
  <c r="M48" i="20" s="1"/>
  <c r="N48" i="20" s="1"/>
  <c r="D119" i="20"/>
  <c r="E119" i="20" s="1"/>
  <c r="F119" i="20" s="1"/>
  <c r="L119" i="20"/>
  <c r="M119" i="20" s="1"/>
  <c r="N119" i="20" s="1"/>
  <c r="D48" i="20"/>
  <c r="M116" i="20"/>
  <c r="N116" i="20" s="1"/>
  <c r="J49" i="5"/>
  <c r="L28" i="20"/>
  <c r="M28" i="20" s="1"/>
  <c r="N28" i="20" s="1"/>
  <c r="L99" i="20"/>
  <c r="M99" i="20" s="1"/>
  <c r="N99" i="20" s="1"/>
  <c r="D99" i="20"/>
  <c r="E99" i="20" s="1"/>
  <c r="F99" i="20" s="1"/>
  <c r="D28" i="20"/>
  <c r="K110" i="20"/>
  <c r="K39" i="20"/>
  <c r="C110" i="20"/>
  <c r="C39" i="20"/>
  <c r="K86" i="20"/>
  <c r="K15" i="20"/>
  <c r="C86" i="20"/>
  <c r="C15" i="20"/>
  <c r="D81" i="20"/>
  <c r="E81" i="20" s="1"/>
  <c r="F81" i="20" s="1"/>
  <c r="L10" i="20"/>
  <c r="M10" i="20" s="1"/>
  <c r="N10" i="20" s="1"/>
  <c r="L81" i="20"/>
  <c r="M81" i="20" s="1"/>
  <c r="N81" i="20" s="1"/>
  <c r="D10" i="20"/>
  <c r="J39" i="5"/>
  <c r="D117" i="20"/>
  <c r="E117" i="20" s="1"/>
  <c r="F117" i="20" s="1"/>
  <c r="L46" i="20"/>
  <c r="M46" i="20" s="1"/>
  <c r="N46" i="20" s="1"/>
  <c r="L117" i="20"/>
  <c r="M117" i="20" s="1"/>
  <c r="N117" i="20" s="1"/>
  <c r="D46" i="20"/>
  <c r="D105" i="20"/>
  <c r="E105" i="20" s="1"/>
  <c r="F105" i="20" s="1"/>
  <c r="L34" i="20"/>
  <c r="M34" i="20" s="1"/>
  <c r="N34" i="20" s="1"/>
  <c r="L105" i="20"/>
  <c r="M105" i="20" s="1"/>
  <c r="N105" i="20" s="1"/>
  <c r="D34" i="20"/>
  <c r="M27" i="20"/>
  <c r="N27" i="20" s="1"/>
  <c r="M31" i="20"/>
  <c r="N31" i="20" s="1"/>
  <c r="D121" i="20"/>
  <c r="E121" i="20" s="1"/>
  <c r="F121" i="20" s="1"/>
  <c r="L50" i="20"/>
  <c r="M50" i="20" s="1"/>
  <c r="N50" i="20" s="1"/>
  <c r="D50" i="20"/>
  <c r="L121" i="20"/>
  <c r="M121" i="20" s="1"/>
  <c r="N121" i="20" s="1"/>
  <c r="D90" i="20"/>
  <c r="E90" i="20" s="1"/>
  <c r="F90" i="20" s="1"/>
  <c r="L90" i="20"/>
  <c r="M90" i="20" s="1"/>
  <c r="N90" i="20" s="1"/>
  <c r="L19" i="20"/>
  <c r="M19" i="20" s="1"/>
  <c r="N19" i="20" s="1"/>
  <c r="D19" i="20"/>
  <c r="G23" i="11"/>
  <c r="G20" i="11"/>
  <c r="G22" i="11"/>
  <c r="G24" i="11"/>
  <c r="G25" i="11"/>
  <c r="J9" i="23" l="1"/>
  <c r="J40" i="23"/>
  <c r="J21" i="23"/>
  <c r="J45" i="23"/>
  <c r="J14" i="23"/>
  <c r="J17" i="23"/>
  <c r="J11" i="23"/>
  <c r="J53" i="23"/>
  <c r="J34" i="23"/>
  <c r="J30" i="23"/>
  <c r="J31" i="23"/>
  <c r="J49" i="23"/>
  <c r="J32" i="23"/>
  <c r="J41" i="23"/>
  <c r="J13" i="23"/>
  <c r="J36" i="23"/>
  <c r="J10" i="23"/>
  <c r="J33" i="23"/>
  <c r="J15" i="23"/>
  <c r="J29" i="23"/>
  <c r="J27" i="23"/>
  <c r="J46" i="23"/>
  <c r="J51" i="23"/>
  <c r="J20" i="23"/>
  <c r="J16" i="23"/>
  <c r="J22" i="23"/>
  <c r="J44" i="23"/>
  <c r="J28" i="23"/>
  <c r="J50" i="23"/>
  <c r="J38" i="23"/>
  <c r="J25" i="23"/>
  <c r="J19" i="23"/>
  <c r="J12" i="23"/>
  <c r="J23" i="23"/>
  <c r="J52" i="23"/>
  <c r="J39" i="23"/>
  <c r="J24" i="23"/>
  <c r="J37" i="23"/>
  <c r="J47" i="23"/>
  <c r="J18" i="23"/>
  <c r="E43" i="20"/>
  <c r="F43" i="20" s="1"/>
  <c r="E25" i="20"/>
  <c r="F25" i="20" s="1"/>
  <c r="H25" i="20" s="1"/>
  <c r="J48" i="23"/>
  <c r="J55" i="23"/>
  <c r="E42" i="20"/>
  <c r="F42" i="20" s="1"/>
  <c r="H42" i="20" s="1"/>
  <c r="J42" i="23"/>
  <c r="H58" i="23"/>
  <c r="L22" i="23" s="1"/>
  <c r="A575" i="24" s="1"/>
  <c r="J26" i="23"/>
  <c r="J35" i="23"/>
  <c r="D375" i="1"/>
  <c r="A260" i="24" s="1"/>
  <c r="D376" i="1"/>
  <c r="A267" i="24" s="1"/>
  <c r="C277" i="1"/>
  <c r="A1109" i="24" s="1"/>
  <c r="D278" i="1" a="1"/>
  <c r="D278" i="1" s="1"/>
  <c r="A1126" i="24" s="1"/>
  <c r="B58" i="20" a="1"/>
  <c r="B58" i="20" s="1"/>
  <c r="B59" i="20" s="1" a="1"/>
  <c r="B59" i="20" s="1"/>
  <c r="B60" i="20" s="1" a="1"/>
  <c r="B60" i="20" s="1"/>
  <c r="D379" i="1"/>
  <c r="A11" i="24" s="1"/>
  <c r="P27" i="20"/>
  <c r="X9" i="20"/>
  <c r="X91" i="20"/>
  <c r="X34" i="20"/>
  <c r="H104" i="20"/>
  <c r="P46" i="20"/>
  <c r="H115" i="20"/>
  <c r="P6" i="20"/>
  <c r="P30" i="20"/>
  <c r="M36" i="20"/>
  <c r="N36" i="20" s="1"/>
  <c r="O36" i="20" s="1"/>
  <c r="X19" i="20"/>
  <c r="X10" i="20"/>
  <c r="H98" i="20"/>
  <c r="P10" i="20"/>
  <c r="P115" i="20"/>
  <c r="H77" i="20"/>
  <c r="P79" i="20"/>
  <c r="H114" i="20"/>
  <c r="P33" i="20"/>
  <c r="P103" i="20"/>
  <c r="H96" i="20"/>
  <c r="P14" i="20"/>
  <c r="P85" i="20"/>
  <c r="X20" i="20"/>
  <c r="P32" i="20"/>
  <c r="H117" i="20"/>
  <c r="D374" i="1"/>
  <c r="A3" i="24" s="1"/>
  <c r="P25" i="20"/>
  <c r="H84" i="20"/>
  <c r="X40" i="20"/>
  <c r="X31" i="20"/>
  <c r="X35" i="20"/>
  <c r="P124" i="20"/>
  <c r="X48" i="20"/>
  <c r="X6" i="20"/>
  <c r="H97" i="20"/>
  <c r="P45" i="20"/>
  <c r="D378" i="1"/>
  <c r="A594" i="24" s="1"/>
  <c r="E12" i="20"/>
  <c r="F12" i="20" s="1"/>
  <c r="H12" i="20" s="1"/>
  <c r="H81" i="20"/>
  <c r="H101" i="20"/>
  <c r="H103" i="20"/>
  <c r="P113" i="20"/>
  <c r="P42" i="20"/>
  <c r="D377" i="1"/>
  <c r="A25" i="24" s="1"/>
  <c r="D381" i="1"/>
  <c r="A441" i="24" s="1"/>
  <c r="P119" i="20"/>
  <c r="P44" i="20"/>
  <c r="P112" i="20"/>
  <c r="D380" i="1"/>
  <c r="A159" i="24" s="1"/>
  <c r="H119" i="20"/>
  <c r="P82" i="20"/>
  <c r="P101" i="20"/>
  <c r="H79" i="20"/>
  <c r="P26" i="20"/>
  <c r="P22" i="20"/>
  <c r="P7" i="20"/>
  <c r="E107" i="20"/>
  <c r="F107" i="20" s="1"/>
  <c r="G107" i="20" s="1"/>
  <c r="X14" i="20"/>
  <c r="H124" i="20"/>
  <c r="I393" i="1"/>
  <c r="A519" i="24" s="1"/>
  <c r="X43" i="20"/>
  <c r="X16" i="20"/>
  <c r="X30" i="20"/>
  <c r="X53" i="20"/>
  <c r="X41" i="20"/>
  <c r="H116" i="20"/>
  <c r="O5" i="23"/>
  <c r="N17" i="23" s="1"/>
  <c r="E384" i="1" a="1"/>
  <c r="E384" i="1" s="1"/>
  <c r="A169" i="24" s="1"/>
  <c r="J8" i="23"/>
  <c r="J6" i="23"/>
  <c r="J7" i="23"/>
  <c r="J5" i="23"/>
  <c r="W91" i="20"/>
  <c r="W14" i="20"/>
  <c r="Y14" i="20" s="1"/>
  <c r="W20" i="20"/>
  <c r="N3" i="18"/>
  <c r="A900" i="24" s="1"/>
  <c r="O90" i="20"/>
  <c r="G99" i="20"/>
  <c r="O48" i="20"/>
  <c r="G82" i="20"/>
  <c r="G80" i="20"/>
  <c r="O43" i="20"/>
  <c r="O9" i="20"/>
  <c r="O13" i="20"/>
  <c r="O16" i="20"/>
  <c r="O96" i="20"/>
  <c r="O80" i="20"/>
  <c r="O114" i="20"/>
  <c r="O118" i="20"/>
  <c r="O53" i="20"/>
  <c r="W22" i="20"/>
  <c r="W40" i="20"/>
  <c r="W48" i="20"/>
  <c r="W47" i="20"/>
  <c r="W26" i="20"/>
  <c r="O98" i="20"/>
  <c r="G95" i="20"/>
  <c r="G85" i="20"/>
  <c r="O20" i="20"/>
  <c r="G78" i="20"/>
  <c r="O41" i="20"/>
  <c r="G102" i="20"/>
  <c r="O93" i="20"/>
  <c r="G93" i="20"/>
  <c r="W27" i="20"/>
  <c r="W44" i="20"/>
  <c r="W33" i="20"/>
  <c r="G118" i="20"/>
  <c r="W30" i="20"/>
  <c r="W13" i="20"/>
  <c r="W9" i="20"/>
  <c r="W5" i="20"/>
  <c r="O106" i="20"/>
  <c r="O95" i="20"/>
  <c r="G111" i="20"/>
  <c r="O87" i="20"/>
  <c r="G112" i="20"/>
  <c r="W7" i="20"/>
  <c r="W32" i="20"/>
  <c r="W42" i="20"/>
  <c r="O47" i="20"/>
  <c r="G106" i="20"/>
  <c r="G87" i="20"/>
  <c r="O24" i="20"/>
  <c r="G91" i="20"/>
  <c r="O111" i="20"/>
  <c r="O102" i="20"/>
  <c r="O40" i="20"/>
  <c r="O84" i="20"/>
  <c r="H112" i="20"/>
  <c r="G96" i="20"/>
  <c r="X33" i="20"/>
  <c r="X44" i="20"/>
  <c r="M107" i="20"/>
  <c r="N107" i="20" s="1"/>
  <c r="O107" i="20" s="1"/>
  <c r="X47" i="20"/>
  <c r="U36" i="20"/>
  <c r="V36" i="20" s="1"/>
  <c r="X36" i="20" s="1"/>
  <c r="W35" i="20"/>
  <c r="W31" i="20"/>
  <c r="U92" i="20"/>
  <c r="V92" i="20" s="1"/>
  <c r="X92" i="20" s="1"/>
  <c r="W6" i="20"/>
  <c r="X22" i="20"/>
  <c r="X32" i="20"/>
  <c r="U108" i="20"/>
  <c r="V108" i="20" s="1"/>
  <c r="W108" i="20" s="1"/>
  <c r="X28" i="20"/>
  <c r="W28" i="20"/>
  <c r="W24" i="20"/>
  <c r="X24" i="20"/>
  <c r="X50" i="20"/>
  <c r="W50" i="20"/>
  <c r="U109" i="20"/>
  <c r="V109" i="20" s="1"/>
  <c r="X109" i="20" s="1"/>
  <c r="X26" i="20"/>
  <c r="W53" i="20"/>
  <c r="U122" i="20"/>
  <c r="V122" i="20" s="1"/>
  <c r="X122" i="20" s="1"/>
  <c r="X7" i="20"/>
  <c r="H113" i="20"/>
  <c r="G113" i="20"/>
  <c r="X115" i="20"/>
  <c r="W115" i="20"/>
  <c r="X84" i="20"/>
  <c r="W84" i="20"/>
  <c r="X8" i="20"/>
  <c r="W8" i="20"/>
  <c r="X100" i="20"/>
  <c r="W100" i="20"/>
  <c r="T49" i="20"/>
  <c r="U49" i="20" s="1"/>
  <c r="V49" i="20" s="1"/>
  <c r="W49" i="20" s="1"/>
  <c r="T120" i="20"/>
  <c r="U120" i="20" s="1"/>
  <c r="V120" i="20" s="1"/>
  <c r="X96" i="20"/>
  <c r="W96" i="20"/>
  <c r="X90" i="20"/>
  <c r="W90" i="20"/>
  <c r="W81" i="20"/>
  <c r="X81" i="20"/>
  <c r="X114" i="20"/>
  <c r="W114" i="20"/>
  <c r="X87" i="20"/>
  <c r="W87" i="20"/>
  <c r="X104" i="20"/>
  <c r="W104" i="20"/>
  <c r="W101" i="20"/>
  <c r="X101" i="20"/>
  <c r="X124" i="20"/>
  <c r="W124" i="20"/>
  <c r="X99" i="20"/>
  <c r="W99" i="20"/>
  <c r="X98" i="20"/>
  <c r="W98" i="20"/>
  <c r="X79" i="20"/>
  <c r="W79" i="20"/>
  <c r="X116" i="20"/>
  <c r="W116" i="20"/>
  <c r="X97" i="20"/>
  <c r="W97" i="20"/>
  <c r="X112" i="20"/>
  <c r="W112" i="20"/>
  <c r="X117" i="20"/>
  <c r="W117" i="20"/>
  <c r="X105" i="20"/>
  <c r="W105" i="20"/>
  <c r="T54" i="20"/>
  <c r="U54" i="20" s="1"/>
  <c r="V54" i="20" s="1"/>
  <c r="X54" i="20" s="1"/>
  <c r="T125" i="20"/>
  <c r="U125" i="20" s="1"/>
  <c r="V125" i="20" s="1"/>
  <c r="E11" i="20"/>
  <c r="F11" i="20" s="1"/>
  <c r="H11" i="20" s="1"/>
  <c r="T15" i="20"/>
  <c r="U15" i="20" s="1"/>
  <c r="V15" i="20" s="1"/>
  <c r="T86" i="20"/>
  <c r="U86" i="20" s="1"/>
  <c r="V86" i="20" s="1"/>
  <c r="X13" i="20"/>
  <c r="W10" i="20"/>
  <c r="W16" i="20"/>
  <c r="W19" i="20"/>
  <c r="X27" i="20"/>
  <c r="X85" i="20"/>
  <c r="W85" i="20"/>
  <c r="X93" i="20"/>
  <c r="W93" i="20"/>
  <c r="X82" i="20"/>
  <c r="W82" i="20"/>
  <c r="K3" i="18"/>
  <c r="A1386" i="24" s="1"/>
  <c r="O5" i="18"/>
  <c r="X111" i="20"/>
  <c r="W111" i="20"/>
  <c r="U107" i="20"/>
  <c r="V107" i="20" s="1"/>
  <c r="X78" i="20"/>
  <c r="W78" i="20"/>
  <c r="X102" i="20"/>
  <c r="W102" i="20"/>
  <c r="X106" i="20"/>
  <c r="W106" i="20"/>
  <c r="X119" i="20"/>
  <c r="W119" i="20"/>
  <c r="X103" i="20"/>
  <c r="W103" i="20"/>
  <c r="X118" i="20"/>
  <c r="W118" i="20"/>
  <c r="X113" i="20"/>
  <c r="W113" i="20"/>
  <c r="X77" i="20"/>
  <c r="W77" i="20"/>
  <c r="W95" i="20"/>
  <c r="X95" i="20"/>
  <c r="U89" i="20"/>
  <c r="V89" i="20" s="1"/>
  <c r="X80" i="20"/>
  <c r="W80" i="20"/>
  <c r="U123" i="20"/>
  <c r="V123" i="20" s="1"/>
  <c r="X121" i="20"/>
  <c r="W121" i="20"/>
  <c r="T39" i="20"/>
  <c r="U39" i="20" s="1"/>
  <c r="V39" i="20" s="1"/>
  <c r="W39" i="20" s="1"/>
  <c r="T110" i="20"/>
  <c r="U110" i="20" s="1"/>
  <c r="V110" i="20" s="1"/>
  <c r="T23" i="20"/>
  <c r="U23" i="20" s="1"/>
  <c r="V23" i="20" s="1"/>
  <c r="W23" i="20" s="1"/>
  <c r="T94" i="20"/>
  <c r="U94" i="20" s="1"/>
  <c r="V94" i="20" s="1"/>
  <c r="W34" i="20"/>
  <c r="U88" i="20"/>
  <c r="V88" i="20" s="1"/>
  <c r="T12" i="20"/>
  <c r="U12" i="20" s="1"/>
  <c r="V12" i="20" s="1"/>
  <c r="T83" i="20"/>
  <c r="U83" i="20" s="1"/>
  <c r="V83" i="20" s="1"/>
  <c r="L12" i="20"/>
  <c r="M12" i="20" s="1"/>
  <c r="N12" i="20" s="1"/>
  <c r="P12" i="20" s="1"/>
  <c r="L83" i="20"/>
  <c r="M83" i="20" s="1"/>
  <c r="N83" i="20" s="1"/>
  <c r="O83" i="20" s="1"/>
  <c r="D83" i="20"/>
  <c r="E83" i="20" s="1"/>
  <c r="F83" i="20" s="1"/>
  <c r="G83" i="20" s="1"/>
  <c r="S74" i="20"/>
  <c r="U76" i="20"/>
  <c r="H78" i="20"/>
  <c r="P76" i="20"/>
  <c r="O76" i="20"/>
  <c r="E14" i="20"/>
  <c r="F14" i="20" s="1"/>
  <c r="G14" i="20" s="1"/>
  <c r="E47" i="20"/>
  <c r="F47" i="20" s="1"/>
  <c r="H47" i="20" s="1"/>
  <c r="E8" i="20"/>
  <c r="F8" i="20" s="1"/>
  <c r="G8" i="20" s="1"/>
  <c r="E26" i="20"/>
  <c r="F26" i="20" s="1"/>
  <c r="H26" i="20" s="1"/>
  <c r="P111" i="20"/>
  <c r="E44" i="20"/>
  <c r="F44" i="20" s="1"/>
  <c r="G44" i="20" s="1"/>
  <c r="D15" i="20"/>
  <c r="E15" i="20" s="1"/>
  <c r="F15" i="20" s="1"/>
  <c r="E35" i="20"/>
  <c r="F35" i="20" s="1"/>
  <c r="H35" i="20" s="1"/>
  <c r="L86" i="20"/>
  <c r="M86" i="20" s="1"/>
  <c r="N86" i="20" s="1"/>
  <c r="D86" i="20"/>
  <c r="E86" i="20" s="1"/>
  <c r="F86" i="20" s="1"/>
  <c r="X42" i="20"/>
  <c r="G84" i="20"/>
  <c r="E33" i="20"/>
  <c r="F33" i="20" s="1"/>
  <c r="G33" i="20" s="1"/>
  <c r="E48" i="20"/>
  <c r="F48" i="20" s="1"/>
  <c r="G48" i="20" s="1"/>
  <c r="E13" i="20"/>
  <c r="F13" i="20" s="1"/>
  <c r="G13" i="20" s="1"/>
  <c r="E36" i="20"/>
  <c r="F36" i="20" s="1"/>
  <c r="G36" i="20" s="1"/>
  <c r="E30" i="20"/>
  <c r="F30" i="20" s="1"/>
  <c r="H30" i="20" s="1"/>
  <c r="E16" i="20"/>
  <c r="F16" i="20" s="1"/>
  <c r="G16" i="20" s="1"/>
  <c r="E32" i="20"/>
  <c r="F32" i="20" s="1"/>
  <c r="H32" i="20" s="1"/>
  <c r="E9" i="20"/>
  <c r="F9" i="20" s="1"/>
  <c r="H9" i="20" s="1"/>
  <c r="E41" i="20"/>
  <c r="F41" i="20" s="1"/>
  <c r="G41" i="20" s="1"/>
  <c r="E53" i="20"/>
  <c r="F53" i="20" s="1"/>
  <c r="G53" i="20" s="1"/>
  <c r="E27" i="20"/>
  <c r="F27" i="20" s="1"/>
  <c r="H27" i="20" s="1"/>
  <c r="E7" i="20"/>
  <c r="F7" i="20" s="1"/>
  <c r="H7" i="20" s="1"/>
  <c r="E24" i="20"/>
  <c r="F24" i="20" s="1"/>
  <c r="H24" i="20" s="1"/>
  <c r="E20" i="20"/>
  <c r="F20" i="20" s="1"/>
  <c r="G20" i="20" s="1"/>
  <c r="E22" i="20"/>
  <c r="F22" i="20" s="1"/>
  <c r="H22" i="20" s="1"/>
  <c r="E31" i="20"/>
  <c r="F31" i="20" s="1"/>
  <c r="G31" i="20" s="1"/>
  <c r="E40" i="20"/>
  <c r="F40" i="20" s="1"/>
  <c r="H40" i="20" s="1"/>
  <c r="G25" i="20"/>
  <c r="G45" i="20"/>
  <c r="H45" i="20"/>
  <c r="E50" i="20"/>
  <c r="F50" i="20" s="1"/>
  <c r="H50" i="20" s="1"/>
  <c r="E6" i="20"/>
  <c r="F6" i="20" s="1"/>
  <c r="G6" i="20" s="1"/>
  <c r="E34" i="20"/>
  <c r="F34" i="20" s="1"/>
  <c r="G34" i="20" s="1"/>
  <c r="E19" i="20"/>
  <c r="F19" i="20" s="1"/>
  <c r="H19" i="20" s="1"/>
  <c r="E10" i="20"/>
  <c r="F10" i="20" s="1"/>
  <c r="H10" i="20" s="1"/>
  <c r="E28" i="20"/>
  <c r="F28" i="20" s="1"/>
  <c r="H28" i="20" s="1"/>
  <c r="E46" i="20"/>
  <c r="F46" i="20" s="1"/>
  <c r="H46" i="20" s="1"/>
  <c r="P41" i="20"/>
  <c r="O42" i="20"/>
  <c r="P13" i="20"/>
  <c r="H102" i="20"/>
  <c r="P40" i="20"/>
  <c r="P53" i="20"/>
  <c r="P16" i="20"/>
  <c r="P9" i="20"/>
  <c r="X5" i="20"/>
  <c r="W43" i="20"/>
  <c r="O113" i="20"/>
  <c r="S3" i="20"/>
  <c r="O22" i="20"/>
  <c r="H85" i="20"/>
  <c r="W41" i="20"/>
  <c r="O45" i="20"/>
  <c r="P78" i="20"/>
  <c r="O78" i="20"/>
  <c r="G98" i="20"/>
  <c r="W25" i="20"/>
  <c r="X25" i="20"/>
  <c r="W45" i="20"/>
  <c r="X45" i="20"/>
  <c r="T37" i="20"/>
  <c r="U37" i="20" s="1"/>
  <c r="V37" i="20" s="1"/>
  <c r="L37" i="20"/>
  <c r="M37" i="20" s="1"/>
  <c r="N37" i="20" s="1"/>
  <c r="D108" i="20"/>
  <c r="E108" i="20" s="1"/>
  <c r="F108" i="20" s="1"/>
  <c r="H108" i="20" s="1"/>
  <c r="L108" i="20"/>
  <c r="M108" i="20" s="1"/>
  <c r="N108" i="20" s="1"/>
  <c r="P108" i="20" s="1"/>
  <c r="D37" i="20"/>
  <c r="E37" i="20" s="1"/>
  <c r="F37" i="20" s="1"/>
  <c r="H37" i="20" s="1"/>
  <c r="T29" i="20"/>
  <c r="U29" i="20" s="1"/>
  <c r="V29" i="20" s="1"/>
  <c r="D100" i="20"/>
  <c r="E100" i="20" s="1"/>
  <c r="F100" i="20" s="1"/>
  <c r="L100" i="20"/>
  <c r="M100" i="20" s="1"/>
  <c r="N100" i="20" s="1"/>
  <c r="O100" i="20" s="1"/>
  <c r="L29" i="20"/>
  <c r="M29" i="20" s="1"/>
  <c r="N29" i="20" s="1"/>
  <c r="D29" i="20"/>
  <c r="E29" i="20" s="1"/>
  <c r="F29" i="20" s="1"/>
  <c r="O7" i="20"/>
  <c r="T52" i="20"/>
  <c r="U52" i="20" s="1"/>
  <c r="V52" i="20" s="1"/>
  <c r="L52" i="20"/>
  <c r="M52" i="20" s="1"/>
  <c r="N52" i="20" s="1"/>
  <c r="D52" i="20"/>
  <c r="E52" i="20" s="1"/>
  <c r="F52" i="20" s="1"/>
  <c r="H52" i="20" s="1"/>
  <c r="D123" i="20"/>
  <c r="E123" i="20" s="1"/>
  <c r="F123" i="20" s="1"/>
  <c r="L123" i="20"/>
  <c r="M123" i="20" s="1"/>
  <c r="N123" i="20" s="1"/>
  <c r="P123" i="20" s="1"/>
  <c r="X46" i="20"/>
  <c r="W46" i="20"/>
  <c r="T17" i="20"/>
  <c r="D88" i="20"/>
  <c r="E88" i="20" s="1"/>
  <c r="F88" i="20" s="1"/>
  <c r="L88" i="20"/>
  <c r="M88" i="20" s="1"/>
  <c r="N88" i="20" s="1"/>
  <c r="P88" i="20" s="1"/>
  <c r="D17" i="20"/>
  <c r="E17" i="20" s="1"/>
  <c r="F17" i="20" s="1"/>
  <c r="H17" i="20" s="1"/>
  <c r="L17" i="20"/>
  <c r="M17" i="20" s="1"/>
  <c r="N17" i="20" s="1"/>
  <c r="O17" i="20" s="1"/>
  <c r="T51" i="20"/>
  <c r="U51" i="20" s="1"/>
  <c r="V51" i="20" s="1"/>
  <c r="L51" i="20"/>
  <c r="M51" i="20" s="1"/>
  <c r="N51" i="20" s="1"/>
  <c r="O51" i="20" s="1"/>
  <c r="D51" i="20"/>
  <c r="E51" i="20" s="1"/>
  <c r="F51" i="20" s="1"/>
  <c r="L122" i="20"/>
  <c r="M122" i="20" s="1"/>
  <c r="N122" i="20" s="1"/>
  <c r="O122" i="20" s="1"/>
  <c r="D122" i="20"/>
  <c r="E122" i="20" s="1"/>
  <c r="F122" i="20" s="1"/>
  <c r="G122" i="20" s="1"/>
  <c r="T18" i="20"/>
  <c r="U18" i="20" s="1"/>
  <c r="V18" i="20" s="1"/>
  <c r="L89" i="20"/>
  <c r="M89" i="20" s="1"/>
  <c r="N89" i="20" s="1"/>
  <c r="O89" i="20" s="1"/>
  <c r="D89" i="20"/>
  <c r="E89" i="20" s="1"/>
  <c r="F89" i="20" s="1"/>
  <c r="G89" i="20" s="1"/>
  <c r="L18" i="20"/>
  <c r="M18" i="20" s="1"/>
  <c r="N18" i="20" s="1"/>
  <c r="P18" i="20" s="1"/>
  <c r="D18" i="20"/>
  <c r="E18" i="20" s="1"/>
  <c r="F18" i="20" s="1"/>
  <c r="G18" i="20" s="1"/>
  <c r="G116" i="20"/>
  <c r="L15" i="20"/>
  <c r="M15" i="20" s="1"/>
  <c r="N15" i="20" s="1"/>
  <c r="O15" i="20" s="1"/>
  <c r="P96" i="20"/>
  <c r="W11" i="20"/>
  <c r="X11" i="20"/>
  <c r="T38" i="20"/>
  <c r="U38" i="20" s="1"/>
  <c r="V38" i="20" s="1"/>
  <c r="D109" i="20"/>
  <c r="E109" i="20" s="1"/>
  <c r="F109" i="20" s="1"/>
  <c r="H109" i="20" s="1"/>
  <c r="L109" i="20"/>
  <c r="M109" i="20" s="1"/>
  <c r="N109" i="20" s="1"/>
  <c r="D38" i="20"/>
  <c r="E38" i="20" s="1"/>
  <c r="F38" i="20" s="1"/>
  <c r="H38" i="20" s="1"/>
  <c r="L38" i="20"/>
  <c r="M38" i="20" s="1"/>
  <c r="N38" i="20" s="1"/>
  <c r="P38" i="20" s="1"/>
  <c r="T21" i="20"/>
  <c r="U21" i="20" s="1"/>
  <c r="V21" i="20" s="1"/>
  <c r="L21" i="20"/>
  <c r="M21" i="20" s="1"/>
  <c r="N21" i="20" s="1"/>
  <c r="P21" i="20" s="1"/>
  <c r="D21" i="20"/>
  <c r="E21" i="20" s="1"/>
  <c r="F21" i="20" s="1"/>
  <c r="H21" i="20" s="1"/>
  <c r="D92" i="20"/>
  <c r="E92" i="20" s="1"/>
  <c r="F92" i="20" s="1"/>
  <c r="G92" i="20" s="1"/>
  <c r="L92" i="20"/>
  <c r="M92" i="20" s="1"/>
  <c r="N92" i="20" s="1"/>
  <c r="P92" i="20" s="1"/>
  <c r="G124" i="20"/>
  <c r="O25" i="20"/>
  <c r="H118" i="20"/>
  <c r="G97" i="20"/>
  <c r="G104" i="20"/>
  <c r="P118" i="20"/>
  <c r="H91" i="20"/>
  <c r="P24" i="20"/>
  <c r="P20" i="20"/>
  <c r="P47" i="20"/>
  <c r="O26" i="20"/>
  <c r="O33" i="20"/>
  <c r="H111" i="20"/>
  <c r="P114" i="20"/>
  <c r="P93" i="20"/>
  <c r="P80" i="20"/>
  <c r="G114" i="20"/>
  <c r="O10" i="20"/>
  <c r="P43" i="20"/>
  <c r="G79" i="20"/>
  <c r="O85" i="20"/>
  <c r="O46" i="20"/>
  <c r="O124" i="20"/>
  <c r="G103" i="20"/>
  <c r="H95" i="20"/>
  <c r="O6" i="20"/>
  <c r="O79" i="20"/>
  <c r="H93" i="20"/>
  <c r="G117" i="20"/>
  <c r="H80" i="20"/>
  <c r="H106" i="20"/>
  <c r="G101" i="20"/>
  <c r="P102" i="20"/>
  <c r="O14" i="20"/>
  <c r="P90" i="20"/>
  <c r="O82" i="20"/>
  <c r="O112" i="20"/>
  <c r="P87" i="20"/>
  <c r="O103" i="20"/>
  <c r="O30" i="20"/>
  <c r="O32" i="20"/>
  <c r="O81" i="20"/>
  <c r="P81" i="20"/>
  <c r="O105" i="20"/>
  <c r="P105" i="20"/>
  <c r="H87" i="20"/>
  <c r="P98" i="20"/>
  <c r="O119" i="20"/>
  <c r="P95" i="20"/>
  <c r="O27" i="20"/>
  <c r="C74" i="20"/>
  <c r="H99" i="20"/>
  <c r="H82" i="20"/>
  <c r="H121" i="20"/>
  <c r="G121" i="20"/>
  <c r="N77" i="20"/>
  <c r="G105" i="20"/>
  <c r="H105" i="20"/>
  <c r="O99" i="20"/>
  <c r="P99" i="20"/>
  <c r="O11" i="20"/>
  <c r="P11" i="20"/>
  <c r="O28" i="20"/>
  <c r="P28" i="20"/>
  <c r="H90" i="20"/>
  <c r="G90" i="20"/>
  <c r="O35" i="20"/>
  <c r="P35" i="20"/>
  <c r="P104" i="20"/>
  <c r="O104" i="20"/>
  <c r="K74" i="20"/>
  <c r="L94" i="20"/>
  <c r="M94" i="20" s="1"/>
  <c r="N94" i="20" s="1"/>
  <c r="D94" i="20"/>
  <c r="E94" i="20" s="1"/>
  <c r="F94" i="20" s="1"/>
  <c r="D23" i="20"/>
  <c r="E23" i="20" s="1"/>
  <c r="F23" i="20" s="1"/>
  <c r="L23" i="20"/>
  <c r="M23" i="20" s="1"/>
  <c r="N23" i="20" s="1"/>
  <c r="P84" i="20"/>
  <c r="O115" i="20"/>
  <c r="D110" i="20"/>
  <c r="D39" i="20"/>
  <c r="E39" i="20" s="1"/>
  <c r="F39" i="20" s="1"/>
  <c r="L110" i="20"/>
  <c r="M110" i="20" s="1"/>
  <c r="N110" i="20" s="1"/>
  <c r="L39" i="20"/>
  <c r="M39" i="20" s="1"/>
  <c r="N39" i="20" s="1"/>
  <c r="D120" i="20"/>
  <c r="E120" i="20" s="1"/>
  <c r="F120" i="20" s="1"/>
  <c r="L120" i="20"/>
  <c r="M120" i="20" s="1"/>
  <c r="N120" i="20" s="1"/>
  <c r="D49" i="20"/>
  <c r="E49" i="20" s="1"/>
  <c r="F49" i="20" s="1"/>
  <c r="L49" i="20"/>
  <c r="M49" i="20" s="1"/>
  <c r="N49" i="20" s="1"/>
  <c r="E5" i="20"/>
  <c r="P50" i="20"/>
  <c r="O50" i="20"/>
  <c r="O8" i="20"/>
  <c r="P8" i="20"/>
  <c r="O97" i="20"/>
  <c r="P97" i="20"/>
  <c r="K3" i="20"/>
  <c r="P106" i="20"/>
  <c r="P121" i="20"/>
  <c r="O121" i="20"/>
  <c r="O19" i="20"/>
  <c r="P19" i="20"/>
  <c r="C3" i="20"/>
  <c r="O116" i="20"/>
  <c r="P116" i="20"/>
  <c r="M5" i="20"/>
  <c r="N5" i="20" s="1"/>
  <c r="P5" i="20" s="1"/>
  <c r="O117" i="20"/>
  <c r="P117" i="20"/>
  <c r="G81" i="20"/>
  <c r="G77" i="20"/>
  <c r="O101" i="20"/>
  <c r="G119" i="20"/>
  <c r="G115" i="20"/>
  <c r="P48" i="20"/>
  <c r="O44" i="20"/>
  <c r="O31" i="20"/>
  <c r="P31" i="20"/>
  <c r="G43" i="20"/>
  <c r="H43" i="20"/>
  <c r="P34" i="20"/>
  <c r="O34" i="20"/>
  <c r="O91" i="20"/>
  <c r="P91" i="20"/>
  <c r="E76" i="20"/>
  <c r="D125" i="20"/>
  <c r="E125" i="20" s="1"/>
  <c r="F125" i="20" s="1"/>
  <c r="L54" i="20"/>
  <c r="D54" i="20"/>
  <c r="E54" i="20" s="1"/>
  <c r="F54" i="20" s="1"/>
  <c r="L125" i="20"/>
  <c r="M125" i="20" s="1"/>
  <c r="N125" i="20" s="1"/>
  <c r="Y9" i="20" l="1"/>
  <c r="H41" i="20"/>
  <c r="I41" i="20" s="1"/>
  <c r="G42" i="20"/>
  <c r="I42" i="20" s="1"/>
  <c r="P36" i="20"/>
  <c r="Q36" i="20" s="1"/>
  <c r="Q44" i="20"/>
  <c r="I104" i="20"/>
  <c r="Q82" i="20"/>
  <c r="Y32" i="20"/>
  <c r="C278" i="1"/>
  <c r="A1110" i="24" s="1"/>
  <c r="D279" i="1"/>
  <c r="A1127" i="24" s="1"/>
  <c r="Q27" i="20"/>
  <c r="Q46" i="20"/>
  <c r="Q45" i="20"/>
  <c r="Y91" i="20"/>
  <c r="Q6" i="20"/>
  <c r="Y34" i="20"/>
  <c r="Q30" i="20"/>
  <c r="I87" i="20"/>
  <c r="I115" i="20"/>
  <c r="Q115" i="20"/>
  <c r="Q14" i="20"/>
  <c r="Q33" i="20"/>
  <c r="I117" i="20"/>
  <c r="Y48" i="20"/>
  <c r="Y19" i="20"/>
  <c r="Y40" i="20"/>
  <c r="I77" i="20"/>
  <c r="Y31" i="20"/>
  <c r="I98" i="20"/>
  <c r="Y41" i="20"/>
  <c r="Q113" i="20"/>
  <c r="Q103" i="20"/>
  <c r="Q79" i="20"/>
  <c r="Q90" i="20"/>
  <c r="H107" i="20"/>
  <c r="I107" i="20" s="1"/>
  <c r="I124" i="20"/>
  <c r="Y10" i="20"/>
  <c r="Q85" i="20"/>
  <c r="I103" i="20"/>
  <c r="I79" i="20"/>
  <c r="Q124" i="20"/>
  <c r="I114" i="20"/>
  <c r="I84" i="20"/>
  <c r="I96" i="20"/>
  <c r="I81" i="20"/>
  <c r="Q10" i="20"/>
  <c r="Q42" i="20"/>
  <c r="Y16" i="20"/>
  <c r="Q32" i="20"/>
  <c r="I116" i="20"/>
  <c r="Q22" i="20"/>
  <c r="Y43" i="20"/>
  <c r="I119" i="20"/>
  <c r="Q119" i="20"/>
  <c r="Q25" i="20"/>
  <c r="Y5" i="20"/>
  <c r="Q41" i="20"/>
  <c r="Y35" i="20"/>
  <c r="Y20" i="20"/>
  <c r="Q26" i="20"/>
  <c r="I97" i="20"/>
  <c r="Y6" i="20"/>
  <c r="Y30" i="20"/>
  <c r="Y53" i="20"/>
  <c r="G12" i="20"/>
  <c r="I12" i="20" s="1"/>
  <c r="X108" i="20"/>
  <c r="Y108" i="20" s="1"/>
  <c r="I99" i="20"/>
  <c r="Q112" i="20"/>
  <c r="Q7" i="20"/>
  <c r="I85" i="20"/>
  <c r="W92" i="20"/>
  <c r="Y92" i="20" s="1"/>
  <c r="E383" i="1"/>
  <c r="A168" i="24" s="1"/>
  <c r="Q101" i="20"/>
  <c r="I101" i="20"/>
  <c r="Q102" i="20"/>
  <c r="I95" i="20"/>
  <c r="Q118" i="20"/>
  <c r="I118" i="20"/>
  <c r="Q16" i="20"/>
  <c r="Q87" i="20"/>
  <c r="I80" i="20"/>
  <c r="W109" i="20"/>
  <c r="Y109" i="20" s="1"/>
  <c r="P107" i="20"/>
  <c r="Q107" i="20" s="1"/>
  <c r="Q114" i="20"/>
  <c r="Q111" i="20"/>
  <c r="I106" i="20"/>
  <c r="I111" i="20"/>
  <c r="Q13" i="20"/>
  <c r="Y33" i="20"/>
  <c r="X39" i="20"/>
  <c r="Y39" i="20" s="1"/>
  <c r="Y7" i="20"/>
  <c r="Y24" i="20"/>
  <c r="I82" i="20"/>
  <c r="Q98" i="20"/>
  <c r="I93" i="20"/>
  <c r="W36" i="20"/>
  <c r="Y36" i="20" s="1"/>
  <c r="I78" i="20"/>
  <c r="Y22" i="20"/>
  <c r="L23" i="23"/>
  <c r="A1033" i="24" s="1"/>
  <c r="Y47" i="20"/>
  <c r="Q80" i="20"/>
  <c r="Q47" i="20"/>
  <c r="Y26" i="20"/>
  <c r="Q40" i="20"/>
  <c r="Q84" i="20"/>
  <c r="I102" i="20"/>
  <c r="Q20" i="20"/>
  <c r="Q48" i="20"/>
  <c r="Q106" i="20"/>
  <c r="Q43" i="20"/>
  <c r="Q24" i="20"/>
  <c r="Y27" i="20"/>
  <c r="Y13" i="20"/>
  <c r="I112" i="20"/>
  <c r="Q93" i="20"/>
  <c r="Q9" i="20"/>
  <c r="Q95" i="20"/>
  <c r="I91" i="20"/>
  <c r="Q96" i="20"/>
  <c r="Q53" i="20"/>
  <c r="Y42" i="20"/>
  <c r="Y44" i="20"/>
  <c r="H83" i="20"/>
  <c r="I83" i="20" s="1"/>
  <c r="Y28" i="20"/>
  <c r="G50" i="20"/>
  <c r="I50" i="20" s="1"/>
  <c r="X49" i="20"/>
  <c r="Y49" i="20" s="1"/>
  <c r="Y50" i="20"/>
  <c r="W122" i="20"/>
  <c r="Y122" i="20" s="1"/>
  <c r="X23" i="20"/>
  <c r="Y23" i="20" s="1"/>
  <c r="Y118" i="20"/>
  <c r="G11" i="20"/>
  <c r="I11" i="20" s="1"/>
  <c r="Y100" i="20"/>
  <c r="Y84" i="20"/>
  <c r="Y97" i="20"/>
  <c r="Y90" i="20"/>
  <c r="Y81" i="20"/>
  <c r="Y119" i="20"/>
  <c r="Y93" i="20"/>
  <c r="Y104" i="20"/>
  <c r="Y114" i="20"/>
  <c r="Y96" i="20"/>
  <c r="Y121" i="20"/>
  <c r="Y77" i="20"/>
  <c r="Y102" i="20"/>
  <c r="Y98" i="20"/>
  <c r="Y124" i="20"/>
  <c r="I113" i="20"/>
  <c r="Y87" i="20"/>
  <c r="Y113" i="20"/>
  <c r="Y103" i="20"/>
  <c r="Y106" i="20"/>
  <c r="Y78" i="20"/>
  <c r="Y105" i="20"/>
  <c r="Y112" i="20"/>
  <c r="Y116" i="20"/>
  <c r="Y79" i="20"/>
  <c r="Y99" i="20"/>
  <c r="Y8" i="20"/>
  <c r="Y115" i="20"/>
  <c r="Y80" i="20"/>
  <c r="X94" i="20"/>
  <c r="W94" i="20"/>
  <c r="X86" i="20"/>
  <c r="W86" i="20"/>
  <c r="X110" i="20"/>
  <c r="W110" i="20"/>
  <c r="W54" i="20"/>
  <c r="Y54" i="20" s="1"/>
  <c r="Y95" i="20"/>
  <c r="O12" i="20"/>
  <c r="Q12" i="20" s="1"/>
  <c r="W83" i="20"/>
  <c r="X83" i="20"/>
  <c r="W107" i="20"/>
  <c r="X107" i="20"/>
  <c r="X123" i="20"/>
  <c r="W123" i="20"/>
  <c r="P83" i="20"/>
  <c r="Q83" i="20" s="1"/>
  <c r="V76" i="20"/>
  <c r="U74" i="20"/>
  <c r="X88" i="20"/>
  <c r="W88" i="20"/>
  <c r="X125" i="20"/>
  <c r="W125" i="20"/>
  <c r="W12" i="20"/>
  <c r="X12" i="20"/>
  <c r="X120" i="20"/>
  <c r="W120" i="20"/>
  <c r="T74" i="20"/>
  <c r="X89" i="20"/>
  <c r="W89" i="20"/>
  <c r="Y111" i="20"/>
  <c r="Y82" i="20"/>
  <c r="Y85" i="20"/>
  <c r="O3" i="18"/>
  <c r="A1382" i="24" s="1"/>
  <c r="Y117" i="20"/>
  <c r="Y101" i="20"/>
  <c r="H8" i="20"/>
  <c r="I8" i="20" s="1"/>
  <c r="H16" i="20"/>
  <c r="I16" i="20" s="1"/>
  <c r="C57" i="20"/>
  <c r="Q276" i="1" s="1"/>
  <c r="A1154" i="24" s="1"/>
  <c r="H14" i="20"/>
  <c r="I14" i="20" s="1"/>
  <c r="G47" i="20"/>
  <c r="I47" i="20" s="1"/>
  <c r="H33" i="20"/>
  <c r="I33" i="20" s="1"/>
  <c r="G24" i="20"/>
  <c r="I24" i="20" s="1"/>
  <c r="G30" i="20"/>
  <c r="I30" i="20" s="1"/>
  <c r="G40" i="20"/>
  <c r="I40" i="20" s="1"/>
  <c r="G19" i="20"/>
  <c r="I19" i="20" s="1"/>
  <c r="H53" i="20"/>
  <c r="I53" i="20" s="1"/>
  <c r="H44" i="20"/>
  <c r="I44" i="20" s="1"/>
  <c r="G26" i="20"/>
  <c r="I26" i="20" s="1"/>
  <c r="G35" i="20"/>
  <c r="I35" i="20" s="1"/>
  <c r="H48" i="20"/>
  <c r="I48" i="20" s="1"/>
  <c r="G32" i="20"/>
  <c r="I32" i="20" s="1"/>
  <c r="O38" i="20"/>
  <c r="Q38" i="20" s="1"/>
  <c r="H31" i="20"/>
  <c r="I31" i="20" s="1"/>
  <c r="H34" i="20"/>
  <c r="I34" i="20" s="1"/>
  <c r="H36" i="20"/>
  <c r="I36" i="20" s="1"/>
  <c r="G7" i="20"/>
  <c r="I7" i="20" s="1"/>
  <c r="H13" i="20"/>
  <c r="I13" i="20" s="1"/>
  <c r="G9" i="20"/>
  <c r="I9" i="20" s="1"/>
  <c r="G27" i="20"/>
  <c r="I27" i="20" s="1"/>
  <c r="H6" i="20"/>
  <c r="I6" i="20" s="1"/>
  <c r="C59" i="20"/>
  <c r="Q278" i="1" s="1"/>
  <c r="I45" i="20"/>
  <c r="G10" i="20"/>
  <c r="I10" i="20" s="1"/>
  <c r="H20" i="20"/>
  <c r="I20" i="20" s="1"/>
  <c r="I25" i="20"/>
  <c r="C58" i="20"/>
  <c r="Q277" i="1" s="1"/>
  <c r="G22" i="20"/>
  <c r="I22" i="20" s="1"/>
  <c r="G46" i="20"/>
  <c r="I46" i="20" s="1"/>
  <c r="G28" i="20"/>
  <c r="I28" i="20" s="1"/>
  <c r="G17" i="20"/>
  <c r="I17" i="20" s="1"/>
  <c r="H122" i="20"/>
  <c r="I122" i="20" s="1"/>
  <c r="Q78" i="20"/>
  <c r="G21" i="20"/>
  <c r="I21" i="20" s="1"/>
  <c r="G37" i="20"/>
  <c r="I37" i="20" s="1"/>
  <c r="O18" i="20"/>
  <c r="Q18" i="20" s="1"/>
  <c r="O123" i="20"/>
  <c r="Q123" i="20" s="1"/>
  <c r="P100" i="20"/>
  <c r="Q100" i="20" s="1"/>
  <c r="Y45" i="20"/>
  <c r="H18" i="20"/>
  <c r="I18" i="20" s="1"/>
  <c r="P17" i="20"/>
  <c r="Q17" i="20" s="1"/>
  <c r="H92" i="20"/>
  <c r="I92" i="20" s="1"/>
  <c r="O21" i="20"/>
  <c r="Q21" i="20" s="1"/>
  <c r="Y25" i="20"/>
  <c r="O88" i="20"/>
  <c r="Q88" i="20" s="1"/>
  <c r="G38" i="20"/>
  <c r="I38" i="20" s="1"/>
  <c r="H89" i="20"/>
  <c r="I89" i="20" s="1"/>
  <c r="P122" i="20"/>
  <c r="Q122" i="20" s="1"/>
  <c r="G108" i="20"/>
  <c r="I108" i="20" s="1"/>
  <c r="Y46" i="20"/>
  <c r="X29" i="20"/>
  <c r="W29" i="20"/>
  <c r="O29" i="20"/>
  <c r="P29" i="20"/>
  <c r="H88" i="20"/>
  <c r="G88" i="20"/>
  <c r="P89" i="20"/>
  <c r="Q89" i="20" s="1"/>
  <c r="O92" i="20"/>
  <c r="Q92" i="20" s="1"/>
  <c r="Y11" i="20"/>
  <c r="X18" i="20"/>
  <c r="W18" i="20"/>
  <c r="O52" i="20"/>
  <c r="P52" i="20"/>
  <c r="W15" i="20"/>
  <c r="X15" i="20"/>
  <c r="P109" i="20"/>
  <c r="O109" i="20"/>
  <c r="G51" i="20"/>
  <c r="H51" i="20"/>
  <c r="O108" i="20"/>
  <c r="Q108" i="20" s="1"/>
  <c r="X38" i="20"/>
  <c r="W38" i="20"/>
  <c r="T3" i="20"/>
  <c r="U17" i="20"/>
  <c r="X52" i="20"/>
  <c r="W52" i="20"/>
  <c r="O37" i="20"/>
  <c r="P37" i="20"/>
  <c r="X21" i="20"/>
  <c r="W21" i="20"/>
  <c r="G29" i="20"/>
  <c r="H29" i="20"/>
  <c r="P51" i="20"/>
  <c r="Q51" i="20" s="1"/>
  <c r="G109" i="20"/>
  <c r="I109" i="20" s="1"/>
  <c r="G52" i="20"/>
  <c r="I52" i="20" s="1"/>
  <c r="X51" i="20"/>
  <c r="W51" i="20"/>
  <c r="H123" i="20"/>
  <c r="G123" i="20"/>
  <c r="H100" i="20"/>
  <c r="G100" i="20"/>
  <c r="X37" i="20"/>
  <c r="W37" i="20"/>
  <c r="P15" i="20"/>
  <c r="Q15" i="20" s="1"/>
  <c r="C60" i="20"/>
  <c r="Q279" i="1" s="1"/>
  <c r="B61" i="20" a="1"/>
  <c r="B61" i="20" s="1"/>
  <c r="F5" i="20"/>
  <c r="Q104" i="20"/>
  <c r="I90" i="20"/>
  <c r="Q11" i="20"/>
  <c r="I105" i="20"/>
  <c r="L3" i="20"/>
  <c r="Q19" i="20"/>
  <c r="Q34" i="20"/>
  <c r="Q105" i="20"/>
  <c r="Q81" i="20"/>
  <c r="I121" i="20"/>
  <c r="Q50" i="20"/>
  <c r="Q99" i="20"/>
  <c r="D3" i="20"/>
  <c r="D74" i="20"/>
  <c r="I43" i="20"/>
  <c r="Q116" i="20"/>
  <c r="Q8" i="20"/>
  <c r="P49" i="20"/>
  <c r="O49" i="20"/>
  <c r="H23" i="20"/>
  <c r="G23" i="20"/>
  <c r="G54" i="20"/>
  <c r="H54" i="20"/>
  <c r="G125" i="20"/>
  <c r="H125" i="20"/>
  <c r="O125" i="20"/>
  <c r="P125" i="20"/>
  <c r="G49" i="20"/>
  <c r="H49" i="20"/>
  <c r="H86" i="20"/>
  <c r="G86" i="20"/>
  <c r="P86" i="20"/>
  <c r="O86" i="20"/>
  <c r="P77" i="20"/>
  <c r="O77" i="20"/>
  <c r="Q91" i="20"/>
  <c r="Q117" i="20"/>
  <c r="H94" i="20"/>
  <c r="G94" i="20"/>
  <c r="M54" i="20"/>
  <c r="N54" i="20" s="1"/>
  <c r="E3" i="20"/>
  <c r="H120" i="20"/>
  <c r="G120" i="20"/>
  <c r="P110" i="20"/>
  <c r="O110" i="20"/>
  <c r="F76" i="20"/>
  <c r="E110" i="20"/>
  <c r="F110" i="20" s="1"/>
  <c r="Q31" i="20"/>
  <c r="H15" i="20"/>
  <c r="G15" i="20"/>
  <c r="O39" i="20"/>
  <c r="P39" i="20"/>
  <c r="P120" i="20"/>
  <c r="O120" i="20"/>
  <c r="L74" i="20"/>
  <c r="Q121" i="20"/>
  <c r="Q97" i="20"/>
  <c r="O23" i="20"/>
  <c r="P23" i="20"/>
  <c r="H39" i="20"/>
  <c r="G39" i="20"/>
  <c r="O94" i="20"/>
  <c r="P94" i="20"/>
  <c r="Q35" i="20"/>
  <c r="Q28" i="20"/>
  <c r="M74" i="20"/>
  <c r="Q76" i="20"/>
  <c r="E279" i="1" l="1"/>
  <c r="A1142" i="24" s="1"/>
  <c r="C279" i="1"/>
  <c r="A1111" i="24" s="1"/>
  <c r="D280" i="1" a="1"/>
  <c r="D280" i="1" s="1"/>
  <c r="A1128" i="24" s="1"/>
  <c r="Y89" i="20"/>
  <c r="Y123" i="20"/>
  <c r="Y12" i="20"/>
  <c r="Y125" i="20"/>
  <c r="Y83" i="20"/>
  <c r="Y110" i="20"/>
  <c r="Y94" i="20"/>
  <c r="Y107" i="20"/>
  <c r="Y86" i="20"/>
  <c r="Y120" i="20"/>
  <c r="Y88" i="20"/>
  <c r="H243" i="1"/>
  <c r="A1384" i="24" s="1"/>
  <c r="X76" i="20"/>
  <c r="W76" i="20"/>
  <c r="Y51" i="20"/>
  <c r="Y52" i="20"/>
  <c r="Y38" i="20"/>
  <c r="Y21" i="20"/>
  <c r="I100" i="20"/>
  <c r="Y15" i="20"/>
  <c r="Y18" i="20"/>
  <c r="I51" i="20"/>
  <c r="Q29" i="20"/>
  <c r="Y37" i="20"/>
  <c r="I123" i="20"/>
  <c r="I29" i="20"/>
  <c r="Q109" i="20"/>
  <c r="I88" i="20"/>
  <c r="Y29" i="20"/>
  <c r="Q37" i="20"/>
  <c r="V17" i="20"/>
  <c r="U3" i="20"/>
  <c r="Q52" i="20"/>
  <c r="C61" i="20"/>
  <c r="Q280" i="1" s="1"/>
  <c r="B62" i="20" a="1"/>
  <c r="B62" i="20" s="1"/>
  <c r="Q77" i="20"/>
  <c r="M3" i="20"/>
  <c r="Q125" i="20"/>
  <c r="E74" i="20"/>
  <c r="I120" i="20"/>
  <c r="Q39" i="20"/>
  <c r="I23" i="20"/>
  <c r="I39" i="20"/>
  <c r="I54" i="20"/>
  <c r="Q49" i="20"/>
  <c r="Q23" i="20"/>
  <c r="I125" i="20"/>
  <c r="I86" i="20"/>
  <c r="Q120" i="20"/>
  <c r="I94" i="20"/>
  <c r="Q86" i="20"/>
  <c r="I49" i="20"/>
  <c r="O5" i="20"/>
  <c r="H76" i="20"/>
  <c r="G76" i="20"/>
  <c r="Q94" i="20"/>
  <c r="I15" i="20"/>
  <c r="G5" i="20"/>
  <c r="H5" i="20"/>
  <c r="G110" i="20"/>
  <c r="H110" i="20"/>
  <c r="Q110" i="20"/>
  <c r="P54" i="20"/>
  <c r="O54" i="20"/>
  <c r="E14" i="11"/>
  <c r="F14" i="11" s="1"/>
  <c r="C135" i="1"/>
  <c r="A30" i="24" s="1"/>
  <c r="C280" i="1" l="1"/>
  <c r="A1112" i="24" s="1"/>
  <c r="D281" i="1" a="1"/>
  <c r="D281" i="1" s="1"/>
  <c r="A1129" i="24" s="1"/>
  <c r="C134" i="1"/>
  <c r="A29" i="24" s="1"/>
  <c r="B18" i="2"/>
  <c r="A37" i="24" s="1"/>
  <c r="B12" i="2"/>
  <c r="A35" i="24" s="1"/>
  <c r="C136" i="1"/>
  <c r="A32" i="24" s="1"/>
  <c r="B15" i="2"/>
  <c r="A36" i="24" s="1"/>
  <c r="Y76" i="20"/>
  <c r="Y74" i="20" s="1"/>
  <c r="U10" i="5" s="1"/>
  <c r="H244" i="1"/>
  <c r="W17" i="20"/>
  <c r="X17" i="20"/>
  <c r="R279" i="1"/>
  <c r="S279" i="1"/>
  <c r="B63" i="20" a="1"/>
  <c r="B63" i="20" s="1"/>
  <c r="B64" i="20" s="1" a="1"/>
  <c r="B64" i="20" s="1"/>
  <c r="C62" i="20"/>
  <c r="Q281" i="1" s="1"/>
  <c r="I5" i="20"/>
  <c r="Q74" i="20"/>
  <c r="U9" i="5" s="1"/>
  <c r="I76" i="20"/>
  <c r="Q54" i="20"/>
  <c r="Q5" i="20"/>
  <c r="I110" i="20"/>
  <c r="E135" i="1"/>
  <c r="A321" i="24" s="1"/>
  <c r="D12" i="2"/>
  <c r="A325" i="24" s="1"/>
  <c r="D18" i="2"/>
  <c r="A327" i="24" s="1"/>
  <c r="E281" i="1" l="1"/>
  <c r="A1144" i="24" s="1"/>
  <c r="C281" i="1"/>
  <c r="A1113" i="24" s="1"/>
  <c r="D282" i="1" a="1"/>
  <c r="D282" i="1" s="1"/>
  <c r="A1130" i="24" s="1"/>
  <c r="E136" i="1"/>
  <c r="A323" i="24" s="1"/>
  <c r="D15" i="2"/>
  <c r="A326" i="24" s="1"/>
  <c r="E134" i="1"/>
  <c r="A319" i="24" s="1"/>
  <c r="Y17" i="20"/>
  <c r="Y3" i="20" s="1"/>
  <c r="U7" i="5" s="1"/>
  <c r="T279" i="1"/>
  <c r="S280" i="1"/>
  <c r="R280" i="1"/>
  <c r="C64" i="20"/>
  <c r="Q283" i="1" s="1"/>
  <c r="B65" i="20" a="1"/>
  <c r="B65" i="20" s="1"/>
  <c r="C63" i="20"/>
  <c r="Q282" i="1" s="1"/>
  <c r="I3" i="20"/>
  <c r="I74" i="20"/>
  <c r="U8" i="5" s="1"/>
  <c r="Q3" i="20"/>
  <c r="U6" i="5" s="1"/>
  <c r="D283" i="1" l="1" a="1"/>
  <c r="D283" i="1" s="1"/>
  <c r="A1131" i="24" s="1"/>
  <c r="E282" i="1"/>
  <c r="A1145" i="24" s="1"/>
  <c r="C282" i="1"/>
  <c r="A1114" i="24" s="1"/>
  <c r="U5" i="5"/>
  <c r="R281" i="1"/>
  <c r="S281" i="1"/>
  <c r="T280" i="1"/>
  <c r="B66" i="20" a="1"/>
  <c r="B66" i="20" s="1"/>
  <c r="C65" i="20"/>
  <c r="Q284" i="1" s="1"/>
  <c r="E283" i="1" l="1"/>
  <c r="A1146" i="24" s="1"/>
  <c r="C283" i="1"/>
  <c r="A1115" i="24" s="1"/>
  <c r="D284" i="1" a="1"/>
  <c r="D284" i="1" s="1"/>
  <c r="A1132" i="24" s="1"/>
  <c r="U21" i="5"/>
  <c r="U22" i="5"/>
  <c r="U19" i="5"/>
  <c r="U23" i="5"/>
  <c r="U20" i="5"/>
  <c r="U18" i="5"/>
  <c r="T281" i="1"/>
  <c r="S284" i="1"/>
  <c r="R284" i="1"/>
  <c r="R282" i="1"/>
  <c r="S282" i="1"/>
  <c r="S283" i="1"/>
  <c r="R283" i="1"/>
  <c r="C66" i="20"/>
  <c r="Q285" i="1" s="1"/>
  <c r="B67" i="20" a="1"/>
  <c r="B67" i="20" s="1"/>
  <c r="D285" i="1" l="1" a="1"/>
  <c r="D285" i="1" s="1"/>
  <c r="A1119" i="24" s="1"/>
  <c r="C284" i="1"/>
  <c r="A1116" i="24" s="1"/>
  <c r="E284" i="1"/>
  <c r="A1147" i="24" s="1"/>
  <c r="V19" i="5"/>
  <c r="W19" i="5"/>
  <c r="X19" i="5"/>
  <c r="W18" i="5"/>
  <c r="X18" i="5"/>
  <c r="V18" i="5"/>
  <c r="W22" i="5"/>
  <c r="X22" i="5"/>
  <c r="V22" i="5"/>
  <c r="V23" i="5"/>
  <c r="W23" i="5"/>
  <c r="X23" i="5"/>
  <c r="W20" i="5"/>
  <c r="X20" i="5"/>
  <c r="V20" i="5"/>
  <c r="X21" i="5"/>
  <c r="W21" i="5"/>
  <c r="V21" i="5"/>
  <c r="T283" i="1"/>
  <c r="T284" i="1"/>
  <c r="T282" i="1"/>
  <c r="S285" i="1"/>
  <c r="R285" i="1"/>
  <c r="B68" i="20" a="1"/>
  <c r="B68" i="20" s="1"/>
  <c r="C67" i="20"/>
  <c r="Q286" i="1" s="1"/>
  <c r="D286" i="1" l="1" a="1"/>
  <c r="D286" i="1" s="1"/>
  <c r="A1120" i="24" s="1"/>
  <c r="C285" i="1"/>
  <c r="A1103" i="24" s="1"/>
  <c r="E285" i="1"/>
  <c r="A1134" i="24" s="1"/>
  <c r="T285" i="1"/>
  <c r="R286" i="1"/>
  <c r="S286" i="1"/>
  <c r="B69" i="20" a="1"/>
  <c r="B69" i="20" s="1"/>
  <c r="C68" i="20"/>
  <c r="Q287" i="1" s="1"/>
  <c r="D287" i="1" l="1" a="1"/>
  <c r="D287" i="1" s="1"/>
  <c r="A1121" i="24" s="1"/>
  <c r="C286" i="1"/>
  <c r="A1104" i="24" s="1"/>
  <c r="E286" i="1"/>
  <c r="A1135" i="24" s="1"/>
  <c r="S287" i="1"/>
  <c r="R287" i="1"/>
  <c r="T286" i="1"/>
  <c r="B70" i="20" a="1"/>
  <c r="B70" i="20" s="1"/>
  <c r="C69" i="20"/>
  <c r="Q288" i="1" s="1"/>
  <c r="D288" i="1" l="1" a="1"/>
  <c r="D288" i="1" s="1"/>
  <c r="A1122" i="24" s="1"/>
  <c r="E287" i="1"/>
  <c r="A1136" i="24" s="1"/>
  <c r="C287" i="1"/>
  <c r="A1105" i="24" s="1"/>
  <c r="S288" i="1"/>
  <c r="T287" i="1"/>
  <c r="B71" i="20" a="1"/>
  <c r="B71" i="20" s="1"/>
  <c r="C70" i="20"/>
  <c r="Q289" i="1" s="1"/>
  <c r="C288" i="1" l="1"/>
  <c r="A1106" i="24" s="1"/>
  <c r="E288" i="1"/>
  <c r="A1137" i="24" s="1"/>
  <c r="D289" i="1" a="1"/>
  <c r="D289" i="1" s="1"/>
  <c r="A1123" i="24" s="1"/>
  <c r="R288" i="1"/>
  <c r="T288" i="1" s="1"/>
  <c r="S289" i="1"/>
  <c r="R289" i="1"/>
  <c r="C71" i="20"/>
  <c r="Q290" i="1" s="1"/>
  <c r="D290" i="1" l="1" a="1"/>
  <c r="D290" i="1" s="1"/>
  <c r="A1124" i="24" s="1"/>
  <c r="E289" i="1"/>
  <c r="A1138" i="24" s="1"/>
  <c r="C289" i="1"/>
  <c r="A1107" i="24" s="1"/>
  <c r="S290" i="1"/>
  <c r="T289" i="1"/>
  <c r="C290" i="1" l="1"/>
  <c r="A1108" i="24" s="1"/>
  <c r="E290" i="1"/>
  <c r="A1139" i="24" s="1"/>
  <c r="R290" i="1"/>
  <c r="T290" i="1" s="1"/>
  <c r="R277" i="1"/>
  <c r="R278" i="1"/>
  <c r="S278" i="1"/>
  <c r="S277" i="1"/>
  <c r="T278" i="1" l="1"/>
  <c r="T277" i="1"/>
  <c r="E278" i="1" l="1"/>
  <c r="A1141" i="24" s="1"/>
  <c r="E280" i="1" l="1"/>
  <c r="A1143" i="24" s="1"/>
  <c r="R276" i="1" l="1"/>
  <c r="A1155" i="24" s="1"/>
  <c r="S276" i="1"/>
  <c r="A1156" i="24" s="1"/>
  <c r="J294" i="1"/>
  <c r="A1152" i="24" s="1"/>
  <c r="J296" i="1" l="1"/>
  <c r="A1167" i="24" s="1"/>
  <c r="T276" i="1"/>
  <c r="A1157" i="24" s="1"/>
  <c r="J295" i="1"/>
  <c r="A1168" i="24" s="1"/>
  <c r="J297" i="1" l="1"/>
  <c r="A1166" i="24" s="1"/>
  <c r="E277" i="1" l="1"/>
  <c r="A1140" i="24" s="1"/>
  <c r="I58" i="23" l="1"/>
  <c r="A165" i="24" l="1"/>
  <c r="K104" i="5"/>
  <c r="K105" i="5" s="1"/>
  <c r="A574" i="24" s="1"/>
  <c r="K106" i="5" l="1"/>
  <c r="A6" i="24" s="1"/>
  <c r="K107" i="5" l="1"/>
  <c r="A7" i="24" s="1"/>
  <c r="K94" i="5" l="1"/>
  <c r="K98" i="5" s="1"/>
  <c r="D303" i="1" s="1"/>
  <c r="K96" i="5" l="1"/>
  <c r="A162" i="24" s="1"/>
  <c r="I300" i="1"/>
  <c r="A1159" i="24" s="1"/>
  <c r="A273" i="24"/>
  <c r="D304" i="1"/>
  <c r="I301" i="1" l="1"/>
  <c r="A1160" i="24" s="1"/>
  <c r="A903" i="24"/>
  <c r="AA4" i="5"/>
  <c r="V26" i="5"/>
  <c r="AA8" i="5"/>
  <c r="A1165" i="24" s="1"/>
  <c r="G59" i="5" l="1"/>
  <c r="G135" i="1" s="1"/>
  <c r="A1158" i="24"/>
  <c r="G60" i="5"/>
  <c r="G136" i="1" s="1"/>
  <c r="G58" i="5"/>
  <c r="G134" i="1" s="1"/>
  <c r="AB5" i="5"/>
  <c r="A1151" i="24"/>
  <c r="AA5" i="5"/>
  <c r="C60" i="5" l="1"/>
  <c r="A153" i="24" s="1"/>
  <c r="A1371" i="24"/>
  <c r="AA6" i="5"/>
  <c r="A1161" i="24"/>
  <c r="C59" i="5"/>
  <c r="A152" i="24" s="1"/>
  <c r="A1370" i="24"/>
  <c r="AB6" i="5"/>
  <c r="A1162" i="24"/>
  <c r="Q23" i="5"/>
  <c r="Q54" i="5"/>
  <c r="Q50" i="5"/>
  <c r="Q10" i="5"/>
  <c r="Q7" i="5"/>
  <c r="R28" i="5"/>
  <c r="R31" i="5"/>
  <c r="R21" i="5"/>
  <c r="R45" i="5"/>
  <c r="R8" i="5"/>
  <c r="C58" i="5"/>
  <c r="A151" i="24" s="1"/>
  <c r="R20" i="5"/>
  <c r="R47" i="5"/>
  <c r="Q40" i="5"/>
  <c r="Q46" i="5"/>
  <c r="R15" i="5"/>
  <c r="Q36" i="5"/>
  <c r="Q51" i="5"/>
  <c r="R48" i="5"/>
  <c r="R38" i="5"/>
  <c r="Q12" i="5"/>
  <c r="R26" i="5"/>
  <c r="Q33" i="5"/>
  <c r="Q20" i="5"/>
  <c r="S20" i="5" s="1"/>
  <c r="H194" i="1" s="1"/>
  <c r="R18" i="5"/>
  <c r="R22" i="5"/>
  <c r="Q18" i="5"/>
  <c r="Q22" i="5"/>
  <c r="Q49" i="5"/>
  <c r="Q45" i="5"/>
  <c r="Q17" i="5"/>
  <c r="R11" i="5"/>
  <c r="R17" i="5"/>
  <c r="Q52" i="5"/>
  <c r="R34" i="5"/>
  <c r="R32" i="5"/>
  <c r="R52" i="5"/>
  <c r="R41" i="5"/>
  <c r="R40" i="5"/>
  <c r="R33" i="5"/>
  <c r="R10" i="5"/>
  <c r="R12" i="5"/>
  <c r="Q53" i="5"/>
  <c r="R35" i="5"/>
  <c r="R16" i="5"/>
  <c r="Q14" i="5"/>
  <c r="Q21" i="5"/>
  <c r="R49" i="5"/>
  <c r="Q15" i="5"/>
  <c r="Q41" i="5"/>
  <c r="Q5" i="5"/>
  <c r="R25" i="5"/>
  <c r="Q42" i="5"/>
  <c r="R54" i="5"/>
  <c r="R51" i="5"/>
  <c r="Q31" i="5"/>
  <c r="S31" i="5" s="1"/>
  <c r="H205" i="1" s="1"/>
  <c r="Q34" i="5"/>
  <c r="Q30" i="5"/>
  <c r="Q16" i="5"/>
  <c r="R23" i="5"/>
  <c r="Q13" i="5"/>
  <c r="R42" i="5"/>
  <c r="Q8" i="5"/>
  <c r="R53" i="5"/>
  <c r="Q6" i="5"/>
  <c r="Q25" i="5"/>
  <c r="R24" i="5"/>
  <c r="Q39" i="5"/>
  <c r="Q32" i="5"/>
  <c r="R36" i="5"/>
  <c r="R30" i="5"/>
  <c r="Q47" i="5"/>
  <c r="R6" i="5"/>
  <c r="R50" i="5"/>
  <c r="Q44" i="5"/>
  <c r="A1369" i="24"/>
  <c r="Q48" i="5"/>
  <c r="Q43" i="5"/>
  <c r="S43" i="5" s="1"/>
  <c r="H217" i="1" s="1"/>
  <c r="Q27" i="5"/>
  <c r="Q9" i="5"/>
  <c r="Q35" i="5"/>
  <c r="R43" i="5"/>
  <c r="R14" i="5"/>
  <c r="R13" i="5"/>
  <c r="R39" i="5"/>
  <c r="Q28" i="5"/>
  <c r="S28" i="5" s="1"/>
  <c r="H202" i="1" s="1"/>
  <c r="R46" i="5"/>
  <c r="R44" i="5"/>
  <c r="Q37" i="5"/>
  <c r="R27" i="5"/>
  <c r="R29" i="5"/>
  <c r="Q29" i="5"/>
  <c r="Q38" i="5"/>
  <c r="R7" i="5"/>
  <c r="R19" i="5"/>
  <c r="Q24" i="5"/>
  <c r="S24" i="5" s="1"/>
  <c r="H198" i="1" s="1"/>
  <c r="R5" i="5"/>
  <c r="R9" i="5"/>
  <c r="Q19" i="5"/>
  <c r="Q11" i="5"/>
  <c r="R37" i="5"/>
  <c r="Q26" i="5"/>
  <c r="S26" i="5" s="1"/>
  <c r="H200" i="1" s="1"/>
  <c r="S8" i="5" l="1"/>
  <c r="H182" i="1" s="1"/>
  <c r="S45" i="5"/>
  <c r="H219" i="1" s="1"/>
  <c r="A1213" i="24" s="1"/>
  <c r="S9" i="5"/>
  <c r="H183" i="1" s="1"/>
  <c r="I183" i="1" s="1"/>
  <c r="A1588" i="24" s="1"/>
  <c r="S47" i="5"/>
  <c r="H221" i="1" s="1"/>
  <c r="A1215" i="24" s="1"/>
  <c r="S27" i="5"/>
  <c r="H201" i="1" s="1"/>
  <c r="A1193" i="24" s="1"/>
  <c r="S22" i="5"/>
  <c r="H196" i="1" s="1"/>
  <c r="I196" i="1" s="1"/>
  <c r="A1553" i="24" s="1"/>
  <c r="S16" i="5"/>
  <c r="H190" i="1" s="1"/>
  <c r="I190" i="1" s="1"/>
  <c r="A1547" i="24" s="1"/>
  <c r="S48" i="5"/>
  <c r="H222" i="1" s="1"/>
  <c r="A1216" i="24" s="1"/>
  <c r="S18" i="5"/>
  <c r="H192" i="1" s="1"/>
  <c r="A1183" i="24" s="1"/>
  <c r="S38" i="5"/>
  <c r="H212" i="1" s="1"/>
  <c r="I212" i="1" s="1"/>
  <c r="A1571" i="24" s="1"/>
  <c r="S32" i="5"/>
  <c r="H206" i="1" s="1"/>
  <c r="I206" i="1" s="1"/>
  <c r="A1564" i="24" s="1"/>
  <c r="S35" i="5"/>
  <c r="H209" i="1" s="1"/>
  <c r="A1202" i="24" s="1"/>
  <c r="S34" i="5"/>
  <c r="H208" i="1" s="1"/>
  <c r="I208" i="1" s="1"/>
  <c r="A1567" i="24" s="1"/>
  <c r="S14" i="5"/>
  <c r="H188" i="1" s="1"/>
  <c r="A1179" i="24" s="1"/>
  <c r="S40" i="5"/>
  <c r="H214" i="1" s="1"/>
  <c r="I214" i="1" s="1"/>
  <c r="A1573" i="24" s="1"/>
  <c r="S17" i="5"/>
  <c r="H191" i="1" s="1"/>
  <c r="I191" i="1" s="1"/>
  <c r="A1548" i="24" s="1"/>
  <c r="S29" i="5"/>
  <c r="H203" i="1" s="1"/>
  <c r="A1195" i="24" s="1"/>
  <c r="S25" i="5"/>
  <c r="H199" i="1" s="1"/>
  <c r="A1191" i="24" s="1"/>
  <c r="A1222" i="24"/>
  <c r="A1197" i="24"/>
  <c r="I205" i="1"/>
  <c r="A1563" i="24" s="1"/>
  <c r="I194" i="1"/>
  <c r="A1551" i="24" s="1"/>
  <c r="A1185" i="24"/>
  <c r="A1211" i="24"/>
  <c r="I182" i="1"/>
  <c r="A1577" i="24" s="1"/>
  <c r="S21" i="5"/>
  <c r="H195" i="1" s="1"/>
  <c r="S33" i="5"/>
  <c r="H207" i="1" s="1"/>
  <c r="S46" i="5"/>
  <c r="H220" i="1" s="1"/>
  <c r="A1164" i="24"/>
  <c r="G296" i="1"/>
  <c r="A1210" i="24"/>
  <c r="I217" i="1"/>
  <c r="A1576" i="24" s="1"/>
  <c r="S13" i="5"/>
  <c r="H187" i="1" s="1"/>
  <c r="S42" i="5"/>
  <c r="H216" i="1" s="1"/>
  <c r="S49" i="5"/>
  <c r="H223" i="1" s="1"/>
  <c r="S12" i="5"/>
  <c r="H186" i="1" s="1"/>
  <c r="S7" i="5"/>
  <c r="H181" i="1" s="1"/>
  <c r="S11" i="5"/>
  <c r="H185" i="1" s="1"/>
  <c r="S39" i="5"/>
  <c r="H213" i="1" s="1"/>
  <c r="S10" i="5"/>
  <c r="H184" i="1" s="1"/>
  <c r="S19" i="5"/>
  <c r="H193" i="1" s="1"/>
  <c r="S44" i="5"/>
  <c r="H218" i="1" s="1"/>
  <c r="S5" i="5"/>
  <c r="Q3" i="5"/>
  <c r="S53" i="5"/>
  <c r="H227" i="1" s="1"/>
  <c r="S50" i="5"/>
  <c r="H224" i="1" s="1"/>
  <c r="A1163" i="24"/>
  <c r="G295" i="1"/>
  <c r="I198" i="1"/>
  <c r="A1556" i="24" s="1"/>
  <c r="A1190" i="24"/>
  <c r="I202" i="1"/>
  <c r="A1560" i="24" s="1"/>
  <c r="A1194" i="24"/>
  <c r="S30" i="5"/>
  <c r="H204" i="1" s="1"/>
  <c r="S41" i="5"/>
  <c r="H215" i="1" s="1"/>
  <c r="S52" i="5"/>
  <c r="H226" i="1" s="1"/>
  <c r="S51" i="5"/>
  <c r="H225" i="1" s="1"/>
  <c r="S54" i="5"/>
  <c r="H228" i="1" s="1"/>
  <c r="A1192" i="24"/>
  <c r="I200" i="1"/>
  <c r="A1558" i="24" s="1"/>
  <c r="R3" i="5"/>
  <c r="S37" i="5"/>
  <c r="H211" i="1" s="1"/>
  <c r="I209" i="1"/>
  <c r="A1568" i="24" s="1"/>
  <c r="S6" i="5"/>
  <c r="H180" i="1" s="1"/>
  <c r="S15" i="5"/>
  <c r="H189" i="1" s="1"/>
  <c r="S36" i="5"/>
  <c r="H210" i="1" s="1"/>
  <c r="S23" i="5"/>
  <c r="H197" i="1" s="1"/>
  <c r="I219" i="1" l="1"/>
  <c r="A1579" i="24" s="1"/>
  <c r="I199" i="1"/>
  <c r="A1557" i="24" s="1"/>
  <c r="I192" i="1"/>
  <c r="A1549" i="24" s="1"/>
  <c r="I221" i="1"/>
  <c r="A1581" i="24" s="1"/>
  <c r="I201" i="1"/>
  <c r="A1559" i="24" s="1"/>
  <c r="A1187" i="24"/>
  <c r="I222" i="1"/>
  <c r="A1582" i="24" s="1"/>
  <c r="A1181" i="24"/>
  <c r="A1198" i="24"/>
  <c r="A1205" i="24"/>
  <c r="I188" i="1"/>
  <c r="A1545" i="24" s="1"/>
  <c r="A1207" i="24"/>
  <c r="A1201" i="24"/>
  <c r="I203" i="1"/>
  <c r="A1561" i="24" s="1"/>
  <c r="A1182" i="24"/>
  <c r="A1203" i="24"/>
  <c r="I210" i="1"/>
  <c r="A1569" i="24" s="1"/>
  <c r="I215" i="1"/>
  <c r="A1574" i="24" s="1"/>
  <c r="A1208" i="24"/>
  <c r="A1226" i="24"/>
  <c r="I186" i="1"/>
  <c r="A1592" i="24" s="1"/>
  <c r="A1214" i="24"/>
  <c r="I220" i="1"/>
  <c r="A1580" i="24" s="1"/>
  <c r="I226" i="1"/>
  <c r="A1586" i="24" s="1"/>
  <c r="A1220" i="24"/>
  <c r="A1200" i="24"/>
  <c r="I181" i="1"/>
  <c r="A1566" i="24" s="1"/>
  <c r="A1180" i="24"/>
  <c r="I189" i="1"/>
  <c r="A1546" i="24" s="1"/>
  <c r="I204" i="1"/>
  <c r="A1562" i="24" s="1"/>
  <c r="A1196" i="24"/>
  <c r="S3" i="5"/>
  <c r="H179" i="1"/>
  <c r="A1206" i="24"/>
  <c r="I213" i="1"/>
  <c r="A1572" i="24" s="1"/>
  <c r="A1217" i="24"/>
  <c r="I223" i="1"/>
  <c r="A1583" i="24" s="1"/>
  <c r="I207" i="1"/>
  <c r="A1565" i="24" s="1"/>
  <c r="A1199" i="24"/>
  <c r="A1204" i="24"/>
  <c r="I211" i="1"/>
  <c r="A1570" i="24" s="1"/>
  <c r="G297" i="1"/>
  <c r="A179" i="24"/>
  <c r="I216" i="1"/>
  <c r="A1575" i="24" s="1"/>
  <c r="A1209" i="24"/>
  <c r="A1188" i="24"/>
  <c r="I197" i="1"/>
  <c r="A1554" i="24" s="1"/>
  <c r="I227" i="1"/>
  <c r="A1587" i="24" s="1"/>
  <c r="A1221" i="24"/>
  <c r="A1227" i="24"/>
  <c r="I187" i="1"/>
  <c r="A1593" i="24" s="1"/>
  <c r="A1189" i="24"/>
  <c r="I180" i="1"/>
  <c r="A1555" i="24" s="1"/>
  <c r="I224" i="1"/>
  <c r="A1584" i="24" s="1"/>
  <c r="A1218" i="24"/>
  <c r="A1225" i="24"/>
  <c r="I185" i="1"/>
  <c r="A1591" i="24" s="1"/>
  <c r="A1186" i="24"/>
  <c r="I195" i="1"/>
  <c r="A1552" i="24" s="1"/>
  <c r="I218" i="1"/>
  <c r="A1578" i="24" s="1"/>
  <c r="A1212" i="24"/>
  <c r="I228" i="1"/>
  <c r="A1589" i="24" s="1"/>
  <c r="A1223" i="24"/>
  <c r="A1184" i="24"/>
  <c r="I193" i="1"/>
  <c r="A1550" i="24" s="1"/>
  <c r="A1219" i="24"/>
  <c r="I225" i="1"/>
  <c r="A1585" i="24" s="1"/>
  <c r="A1224" i="24"/>
  <c r="I184" i="1"/>
  <c r="A1590" i="24" s="1"/>
  <c r="A176" i="24"/>
  <c r="G298" i="1"/>
  <c r="A1173" i="24" s="1"/>
  <c r="A1171" i="24" l="1"/>
  <c r="G299" i="1"/>
  <c r="E12" i="11"/>
  <c r="F12" i="11" s="1"/>
  <c r="A1178" i="24"/>
  <c r="I179" i="1"/>
  <c r="A1544" i="24" s="1"/>
  <c r="E276" i="1"/>
  <c r="H229" i="1"/>
  <c r="L287" i="1" l="1"/>
  <c r="M287" i="1" s="1"/>
  <c r="L284" i="1"/>
  <c r="M284" i="1" s="1"/>
  <c r="L279" i="1"/>
  <c r="M279" i="1" s="1"/>
  <c r="L280" i="1"/>
  <c r="L281" i="1"/>
  <c r="M281" i="1" s="1"/>
  <c r="L282" i="1"/>
  <c r="M282" i="1" s="1"/>
  <c r="L289" i="1"/>
  <c r="E11" i="11"/>
  <c r="F11" i="11" s="1"/>
  <c r="L290" i="1"/>
  <c r="A170" i="24"/>
  <c r="L278" i="1"/>
  <c r="L277" i="1"/>
  <c r="M277" i="1" s="1"/>
  <c r="L283" i="1"/>
  <c r="L286" i="1"/>
  <c r="M286" i="1" s="1"/>
  <c r="L285" i="1"/>
  <c r="M285" i="1" s="1"/>
  <c r="L288" i="1"/>
  <c r="M288" i="1" s="1"/>
  <c r="I229" i="1"/>
  <c r="A1278" i="24" s="1"/>
  <c r="A1595" i="24"/>
  <c r="D293" i="1"/>
  <c r="J293" i="1"/>
  <c r="A1153" i="24" s="1"/>
  <c r="A1133" i="24"/>
  <c r="L276" i="1"/>
  <c r="M276" i="1" s="1"/>
  <c r="G283" i="1" l="1"/>
  <c r="A384" i="24" s="1"/>
  <c r="H283" i="1"/>
  <c r="A539" i="24" s="1"/>
  <c r="G277" i="1"/>
  <c r="A378" i="24" s="1"/>
  <c r="H277" i="1"/>
  <c r="A533" i="24" s="1"/>
  <c r="M289" i="1"/>
  <c r="G289" i="1"/>
  <c r="A376" i="24" s="1"/>
  <c r="H289" i="1"/>
  <c r="A531" i="24" s="1"/>
  <c r="G288" i="1"/>
  <c r="A375" i="24" s="1"/>
  <c r="H288" i="1"/>
  <c r="A530" i="24" s="1"/>
  <c r="G282" i="1"/>
  <c r="A383" i="24" s="1"/>
  <c r="H282" i="1"/>
  <c r="A538" i="24" s="1"/>
  <c r="E18" i="11"/>
  <c r="F18" i="11" s="1"/>
  <c r="A446" i="24"/>
  <c r="E19" i="11"/>
  <c r="F19" i="11" s="1"/>
  <c r="G19" i="11" s="1"/>
  <c r="N292" i="1"/>
  <c r="O3" i="9"/>
  <c r="P3" i="9" s="1"/>
  <c r="M278" i="1"/>
  <c r="G278" i="1"/>
  <c r="A379" i="24" s="1"/>
  <c r="H278" i="1"/>
  <c r="A534" i="24" s="1"/>
  <c r="H281" i="1"/>
  <c r="A537" i="24" s="1"/>
  <c r="G281" i="1"/>
  <c r="A382" i="24" s="1"/>
  <c r="H280" i="1"/>
  <c r="A536" i="24" s="1"/>
  <c r="G280" i="1"/>
  <c r="A381" i="24" s="1"/>
  <c r="G285" i="1"/>
  <c r="A372" i="24" s="1"/>
  <c r="H285" i="1"/>
  <c r="A527" i="24" s="1"/>
  <c r="G286" i="1"/>
  <c r="A373" i="24" s="1"/>
  <c r="H286" i="1"/>
  <c r="A528" i="24" s="1"/>
  <c r="M283" i="1"/>
  <c r="G279" i="1"/>
  <c r="A380" i="24" s="1"/>
  <c r="H279" i="1"/>
  <c r="A535" i="24" s="1"/>
  <c r="G276" i="1"/>
  <c r="H276" i="1"/>
  <c r="L292" i="1"/>
  <c r="M290" i="1"/>
  <c r="G290" i="1"/>
  <c r="A377" i="24" s="1"/>
  <c r="H290" i="1"/>
  <c r="A532" i="24" s="1"/>
  <c r="G284" i="1"/>
  <c r="A385" i="24" s="1"/>
  <c r="H284" i="1"/>
  <c r="A540" i="24" s="1"/>
  <c r="G287" i="1"/>
  <c r="A374" i="24" s="1"/>
  <c r="H287" i="1"/>
  <c r="A529" i="24" s="1"/>
  <c r="M280" i="1"/>
  <c r="G8" i="11" l="1"/>
  <c r="G9" i="11"/>
  <c r="M292" i="1"/>
  <c r="N293" i="1" s="1"/>
  <c r="N273" i="1" s="1"/>
  <c r="G10" i="11"/>
  <c r="D295" i="1"/>
  <c r="A371" i="24"/>
  <c r="G5" i="11"/>
  <c r="D296" i="1"/>
  <c r="A541" i="24" s="1"/>
  <c r="A526" i="24"/>
  <c r="G11" i="11"/>
  <c r="G16" i="11"/>
  <c r="G17" i="11"/>
  <c r="G13" i="11"/>
  <c r="G12" i="11"/>
  <c r="G18" i="11"/>
  <c r="G14" i="11"/>
  <c r="G15" i="11"/>
  <c r="G6" i="11"/>
  <c r="G7" i="11"/>
  <c r="N272" i="1" l="1"/>
  <c r="N289" i="1" s="1"/>
  <c r="O289" i="1" s="1"/>
  <c r="F289" i="1" s="1"/>
  <c r="F28" i="11"/>
  <c r="A508" i="24" s="1"/>
  <c r="BA22" i="7"/>
  <c r="A386" i="24"/>
  <c r="N279" i="1" l="1"/>
  <c r="O279" i="1" s="1"/>
  <c r="F279" i="1" s="1"/>
  <c r="A1043" i="24" s="1"/>
  <c r="N280" i="1"/>
  <c r="O280" i="1" s="1"/>
  <c r="F280" i="1" s="1"/>
  <c r="I280" i="1" s="1"/>
  <c r="A1027" i="24" s="1"/>
  <c r="N277" i="1"/>
  <c r="O277" i="1" s="1"/>
  <c r="F277" i="1" s="1"/>
  <c r="A1041" i="24" s="1"/>
  <c r="N282" i="1"/>
  <c r="O282" i="1" s="1"/>
  <c r="F282" i="1" s="1"/>
  <c r="I282" i="1" s="1"/>
  <c r="A1029" i="24" s="1"/>
  <c r="N288" i="1"/>
  <c r="O288" i="1" s="1"/>
  <c r="F288" i="1" s="1"/>
  <c r="A1038" i="24" s="1"/>
  <c r="N276" i="1"/>
  <c r="O276" i="1" s="1"/>
  <c r="F276" i="1" s="1"/>
  <c r="N281" i="1"/>
  <c r="O281" i="1" s="1"/>
  <c r="F281" i="1" s="1"/>
  <c r="A1045" i="24" s="1"/>
  <c r="N278" i="1"/>
  <c r="O278" i="1" s="1"/>
  <c r="F278" i="1" s="1"/>
  <c r="I278" i="1" s="1"/>
  <c r="A1025" i="24" s="1"/>
  <c r="N286" i="1"/>
  <c r="O286" i="1" s="1"/>
  <c r="F286" i="1" s="1"/>
  <c r="I286" i="1" s="1"/>
  <c r="A1019" i="24" s="1"/>
  <c r="N283" i="1"/>
  <c r="O283" i="1" s="1"/>
  <c r="F283" i="1" s="1"/>
  <c r="I283" i="1" s="1"/>
  <c r="A1030" i="24" s="1"/>
  <c r="N285" i="1"/>
  <c r="O285" i="1" s="1"/>
  <c r="F285" i="1" s="1"/>
  <c r="A1035" i="24" s="1"/>
  <c r="N290" i="1"/>
  <c r="O290" i="1" s="1"/>
  <c r="F290" i="1" s="1"/>
  <c r="A1040" i="24" s="1"/>
  <c r="N284" i="1"/>
  <c r="O284" i="1" s="1"/>
  <c r="F284" i="1" s="1"/>
  <c r="A1048" i="24" s="1"/>
  <c r="N287" i="1"/>
  <c r="O287" i="1" s="1"/>
  <c r="F287" i="1" s="1"/>
  <c r="I287" i="1" s="1"/>
  <c r="A1020" i="24" s="1"/>
  <c r="I289" i="1"/>
  <c r="A1022" i="24" s="1"/>
  <c r="A1039" i="24"/>
  <c r="A88" i="24"/>
  <c r="D337" i="1"/>
  <c r="I288" i="1" l="1"/>
  <c r="A1021" i="24" s="1"/>
  <c r="I277" i="1"/>
  <c r="A1024" i="24" s="1"/>
  <c r="A1046" i="24"/>
  <c r="A1037" i="24"/>
  <c r="I284" i="1"/>
  <c r="A1031" i="24" s="1"/>
  <c r="I290" i="1"/>
  <c r="A1023" i="24" s="1"/>
  <c r="A1044" i="24"/>
  <c r="A1036" i="24"/>
  <c r="A1047" i="24"/>
  <c r="A1042" i="24"/>
  <c r="I279" i="1"/>
  <c r="A1026" i="24" s="1"/>
  <c r="I285" i="1"/>
  <c r="A1018" i="24" s="1"/>
  <c r="O292" i="1"/>
  <c r="I281" i="1"/>
  <c r="A1028" i="24" s="1"/>
  <c r="C311" i="1"/>
  <c r="A132" i="24" s="1"/>
  <c r="A86" i="24"/>
  <c r="E337" i="1"/>
  <c r="A111" i="24" s="1"/>
  <c r="I276" i="1"/>
  <c r="A1017" i="24" s="1"/>
  <c r="A1034" i="24"/>
  <c r="D294" i="1"/>
  <c r="L50" i="18" l="1"/>
  <c r="M50" i="18" s="1"/>
  <c r="L45" i="18"/>
  <c r="M45" i="18" s="1"/>
  <c r="L37" i="18"/>
  <c r="M37" i="18" s="1"/>
  <c r="L24" i="18"/>
  <c r="M24" i="18" s="1"/>
  <c r="L17" i="18"/>
  <c r="M17" i="18" s="1"/>
  <c r="L39" i="18"/>
  <c r="M39" i="18" s="1"/>
  <c r="L43" i="18"/>
  <c r="M43" i="18" s="1"/>
  <c r="L16" i="18"/>
  <c r="M16" i="18" s="1"/>
  <c r="L23" i="18"/>
  <c r="M23" i="18" s="1"/>
  <c r="L28" i="18"/>
  <c r="M28" i="18" s="1"/>
  <c r="L8" i="18"/>
  <c r="M8" i="18" s="1"/>
  <c r="L42" i="18"/>
  <c r="M42" i="18" s="1"/>
  <c r="O4" i="9"/>
  <c r="P4" i="9" s="1"/>
  <c r="L36" i="18"/>
  <c r="M36" i="18" s="1"/>
  <c r="L40" i="18"/>
  <c r="M40" i="18" s="1"/>
  <c r="L46" i="18"/>
  <c r="M46" i="18" s="1"/>
  <c r="L54" i="18"/>
  <c r="M54" i="18" s="1"/>
  <c r="L35" i="18"/>
  <c r="M35" i="18" s="1"/>
  <c r="L32" i="18"/>
  <c r="M32" i="18" s="1"/>
  <c r="A1049" i="24"/>
  <c r="L19" i="18"/>
  <c r="M19" i="18" s="1"/>
  <c r="O5" i="9"/>
  <c r="P5" i="9" s="1"/>
  <c r="L14" i="18"/>
  <c r="M14" i="18" s="1"/>
  <c r="L30" i="18"/>
  <c r="M30" i="18" s="1"/>
  <c r="L47" i="18"/>
  <c r="M47" i="18" s="1"/>
  <c r="L12" i="18"/>
  <c r="M12" i="18" s="1"/>
  <c r="L31" i="18"/>
  <c r="M31" i="18" s="1"/>
  <c r="L11" i="18"/>
  <c r="M11" i="18" s="1"/>
  <c r="L25" i="18"/>
  <c r="M25" i="18" s="1"/>
  <c r="L53" i="18"/>
  <c r="M53" i="18" s="1"/>
  <c r="L51" i="18"/>
  <c r="M51" i="18" s="1"/>
  <c r="L13" i="18"/>
  <c r="M13" i="18" s="1"/>
  <c r="L29" i="18"/>
  <c r="M29" i="18" s="1"/>
  <c r="L44" i="18"/>
  <c r="M44" i="18" s="1"/>
  <c r="L9" i="18"/>
  <c r="M9" i="18" s="1"/>
  <c r="L5" i="18"/>
  <c r="M5" i="18" s="1"/>
  <c r="L41" i="18"/>
  <c r="M41" i="18" s="1"/>
  <c r="L21" i="18"/>
  <c r="M21" i="18" s="1"/>
  <c r="L49" i="18"/>
  <c r="M49" i="18" s="1"/>
  <c r="D297" i="1"/>
  <c r="L33" i="18"/>
  <c r="M33" i="18" s="1"/>
  <c r="L7" i="18"/>
  <c r="M7" i="18" s="1"/>
  <c r="L27" i="18"/>
  <c r="M27" i="18" s="1"/>
  <c r="L34" i="18"/>
  <c r="M34" i="18" s="1"/>
  <c r="L18" i="18"/>
  <c r="M18" i="18" s="1"/>
  <c r="L10" i="18"/>
  <c r="M10" i="18" s="1"/>
  <c r="L48" i="18"/>
  <c r="M48" i="18" s="1"/>
  <c r="L6" i="18"/>
  <c r="M6" i="18" s="1"/>
  <c r="L52" i="18"/>
  <c r="M52" i="18" s="1"/>
  <c r="L3" i="18"/>
  <c r="M3" i="18" s="1"/>
  <c r="A1383" i="24" s="1"/>
  <c r="L26" i="18"/>
  <c r="M26" i="18" s="1"/>
  <c r="L20" i="18"/>
  <c r="M20" i="18" s="1"/>
  <c r="L38" i="18"/>
  <c r="M38" i="18" s="1"/>
  <c r="L22" i="18"/>
  <c r="M22" i="18" s="1"/>
  <c r="L15" i="18"/>
  <c r="M15" i="18" s="1"/>
  <c r="H245" i="1" l="1"/>
  <c r="A1385" i="24" s="1"/>
  <c r="D94" i="5"/>
  <c r="A264" i="24" s="1"/>
  <c r="D299" i="1"/>
  <c r="A259" i="24" s="1"/>
  <c r="D93" i="5"/>
  <c r="A1013" i="24" s="1"/>
  <c r="D298" i="1"/>
  <c r="A1032" i="24" s="1"/>
  <c r="D92" i="5"/>
  <c r="A19" i="24" s="1"/>
  <c r="A173" i="24"/>
  <c r="D300" i="1" l="1"/>
  <c r="A1177" i="24" s="1"/>
</calcChain>
</file>

<file path=xl/sharedStrings.xml><?xml version="1.0" encoding="utf-8"?>
<sst xmlns="http://schemas.openxmlformats.org/spreadsheetml/2006/main" count="52014" uniqueCount="13335">
  <si>
    <t>Channel Type</t>
  </si>
  <si>
    <t>Quote Location</t>
  </si>
  <si>
    <t>CLIENT INFORMATION</t>
  </si>
  <si>
    <t>MSME Customer*</t>
  </si>
  <si>
    <t>MSME No.</t>
  </si>
  <si>
    <t>Communication Pincode*</t>
  </si>
  <si>
    <t>Communication State</t>
  </si>
  <si>
    <t>Communication City</t>
  </si>
  <si>
    <t>Communication Address Line 1*</t>
  </si>
  <si>
    <t>Communication Address Line 2</t>
  </si>
  <si>
    <t>Communication Address Line 3</t>
  </si>
  <si>
    <t>Telephone No.</t>
  </si>
  <si>
    <t>Client Email ID</t>
  </si>
  <si>
    <t>Client Contact No.</t>
  </si>
  <si>
    <t>RISK DETAILS</t>
  </si>
  <si>
    <t>Location Type*</t>
  </si>
  <si>
    <t>CL Zone</t>
  </si>
  <si>
    <t>Risk Address Line 1*</t>
  </si>
  <si>
    <t>Risk Address Line 2</t>
  </si>
  <si>
    <t>Risk Address Line 3</t>
  </si>
  <si>
    <t>Risk Pincode*</t>
  </si>
  <si>
    <t>Risk State</t>
  </si>
  <si>
    <t>Risk City</t>
  </si>
  <si>
    <t>Nature of Work*</t>
  </si>
  <si>
    <t>Policy Term (in months)*</t>
  </si>
  <si>
    <t>Contractors / Subcontractors Covered*</t>
  </si>
  <si>
    <t>Terrorism</t>
  </si>
  <si>
    <t>Loss History (last 3 years)*</t>
  </si>
  <si>
    <t>Nature of Loss</t>
  </si>
  <si>
    <t>Total</t>
  </si>
  <si>
    <t>Claim Amount</t>
  </si>
  <si>
    <t>Premium</t>
  </si>
  <si>
    <t>No. of Claims</t>
  </si>
  <si>
    <t>Claim Ratio:</t>
  </si>
  <si>
    <t>Claim Loading:</t>
  </si>
  <si>
    <t>OPTIONAL COVERAGE</t>
  </si>
  <si>
    <t>Option (Per Person Medex)</t>
  </si>
  <si>
    <t>Per Person Limit</t>
  </si>
  <si>
    <t>Aggregate Limit</t>
  </si>
  <si>
    <t>Actuals</t>
  </si>
  <si>
    <t>Loading %</t>
  </si>
  <si>
    <t>Location</t>
  </si>
  <si>
    <t>TRADE CATEGORY DETAILS</t>
  </si>
  <si>
    <t>Sl. No</t>
  </si>
  <si>
    <t>Trade Category Code</t>
  </si>
  <si>
    <t>Trade Category</t>
  </si>
  <si>
    <t>Trade Category Grouping</t>
  </si>
  <si>
    <t>LOCATION DETAILS</t>
  </si>
  <si>
    <t>Location Group</t>
  </si>
  <si>
    <t>% Cont.</t>
  </si>
  <si>
    <t>Discount Parameters</t>
  </si>
  <si>
    <t>Options</t>
  </si>
  <si>
    <t>Percentage (%)</t>
  </si>
  <si>
    <t>Workforce</t>
  </si>
  <si>
    <t>Safety gears provided to workers</t>
  </si>
  <si>
    <t>Fire protection equipment installed at site</t>
  </si>
  <si>
    <t>Experience of the contractor</t>
  </si>
  <si>
    <t>Security</t>
  </si>
  <si>
    <t>Group Size including multiple policies of the same client</t>
  </si>
  <si>
    <t>Workers working at height</t>
  </si>
  <si>
    <t>Offshore Risks</t>
  </si>
  <si>
    <t>Staff involved in hazardous activity</t>
  </si>
  <si>
    <t>Terrain of the site</t>
  </si>
  <si>
    <t>Extent of automation</t>
  </si>
  <si>
    <t>General Risk Protection Featues [-20% to +20%]</t>
  </si>
  <si>
    <t>Features:</t>
  </si>
  <si>
    <t>WORKER DETAILS</t>
  </si>
  <si>
    <t>No. of Workers</t>
  </si>
  <si>
    <t>Worker Category</t>
  </si>
  <si>
    <t>Monthly Wages</t>
  </si>
  <si>
    <t>Total Wages</t>
  </si>
  <si>
    <t>Total Premium</t>
  </si>
  <si>
    <t>TOTAL</t>
  </si>
  <si>
    <t>Statutory Premium</t>
  </si>
  <si>
    <t>Medex Premium</t>
  </si>
  <si>
    <t>OD Premium</t>
  </si>
  <si>
    <t>Final Premium</t>
  </si>
  <si>
    <t>Stamp Duty</t>
  </si>
  <si>
    <t>Final Premium (incl. Tax and Stamp Duty)</t>
  </si>
  <si>
    <t>Total Parameter Discount</t>
  </si>
  <si>
    <t>Total Parameter Loading</t>
  </si>
  <si>
    <t>General Risk Protection Featues - Discount</t>
  </si>
  <si>
    <t>General Risk Protection Featues - Loading</t>
  </si>
  <si>
    <t>Total Discount</t>
  </si>
  <si>
    <t>Total Loading</t>
  </si>
  <si>
    <t>Final Loading &amp; Discount</t>
  </si>
  <si>
    <t>Year</t>
  </si>
  <si>
    <t>Location Type</t>
  </si>
  <si>
    <t>PUP/NON-PUP</t>
  </si>
  <si>
    <t>Mumbai</t>
  </si>
  <si>
    <t>One Location</t>
  </si>
  <si>
    <t>Ahmedabad</t>
  </si>
  <si>
    <t>Others</t>
  </si>
  <si>
    <t>Advertisement Contractors Bill Posters and Distributors</t>
  </si>
  <si>
    <t>Service - Low Risk</t>
  </si>
  <si>
    <t>PUP</t>
  </si>
  <si>
    <t>No</t>
  </si>
  <si>
    <t>Trained</t>
  </si>
  <si>
    <t>Aerated Water Manufacturers</t>
  </si>
  <si>
    <t>Manufacturers - Low Risk</t>
  </si>
  <si>
    <t>Agricultural Farms</t>
  </si>
  <si>
    <t>Miscellaneous</t>
  </si>
  <si>
    <t>Aircraft Manufacture of -b) Wood-working machinists excl. travelling in Aircraft</t>
  </si>
  <si>
    <t>Manufacturers - High Risk</t>
  </si>
  <si>
    <t>Aircraft Manufacture of -c) All employees excl. travelling in Aircraft</t>
  </si>
  <si>
    <t>Aluminium Goods Manufacture -All other employees</t>
  </si>
  <si>
    <t>Aluminium Goods Manufacture -Aluminium Powder and Paste Manufacturers</t>
  </si>
  <si>
    <t>Aluminium Goods Manufacture -Analytical Chemists</t>
  </si>
  <si>
    <t>Aluminium Goods Manufacture -Foundry hands, incl. Stampers</t>
  </si>
  <si>
    <t>Animal (wild)-Catching, keeping, training or working</t>
  </si>
  <si>
    <t>Antimony Smelters and/or Extractors</t>
  </si>
  <si>
    <t>Mines / Quarries / Collieries</t>
  </si>
  <si>
    <t>Architects</t>
  </si>
  <si>
    <t>Artificial Stone Makers -All others</t>
  </si>
  <si>
    <t>Construction - Low Risk</t>
  </si>
  <si>
    <t>Artificial Stone Makers -Hands engaged on Buildings (rate as builder)</t>
  </si>
  <si>
    <t>Asbestos Cement Manufacturers -If Application work is done</t>
  </si>
  <si>
    <t>Athletic, Fishing, Gymnastic, Cricket and Golf Goods Manufacturers -Wood working machinists</t>
  </si>
  <si>
    <t>Auctioneers -Others clerks</t>
  </si>
  <si>
    <t>Auctioneers - Others clerks</t>
  </si>
  <si>
    <t>All over India</t>
  </si>
  <si>
    <t>Multiple Locations</t>
  </si>
  <si>
    <t>PUP Trade Category</t>
  </si>
  <si>
    <t>Wages Upto 15K</t>
  </si>
  <si>
    <t>Rate Loc. 1</t>
  </si>
  <si>
    <t>Rate Loc. 2</t>
  </si>
  <si>
    <t>Rate Loc. 3</t>
  </si>
  <si>
    <t>Premium Upto 15K</t>
  </si>
  <si>
    <t>Premium 15K-25K</t>
  </si>
  <si>
    <t>STATE</t>
  </si>
  <si>
    <t>CITY</t>
  </si>
  <si>
    <t>State &amp; City_Unique</t>
  </si>
  <si>
    <t>Secondary Location</t>
  </si>
  <si>
    <t>Medex Location</t>
  </si>
  <si>
    <t>ANDAMAN AND NICOBAR ISLANDS</t>
  </si>
  <si>
    <t>ANDAMAN</t>
  </si>
  <si>
    <t>Kolkata</t>
  </si>
  <si>
    <t>Urban</t>
  </si>
  <si>
    <t>BAMBOOFLAT</t>
  </si>
  <si>
    <t>CAMPBELL BAY</t>
  </si>
  <si>
    <t>CAR NICOBAR</t>
  </si>
  <si>
    <t>DIGLIPUR</t>
  </si>
  <si>
    <t>HADDO</t>
  </si>
  <si>
    <t>HAVELOCK</t>
  </si>
  <si>
    <t>HUT BAY</t>
  </si>
  <si>
    <t>JANGLI GHAT</t>
  </si>
  <si>
    <t>KADAMTALA A AND N</t>
  </si>
  <si>
    <t>KAPANGA</t>
  </si>
  <si>
    <t>LONG ISLAND</t>
  </si>
  <si>
    <t>MARINE JETTY</t>
  </si>
  <si>
    <t>MAYABUNDER</t>
  </si>
  <si>
    <t>NANCOWRIE</t>
  </si>
  <si>
    <t>NEW SECRETARIATE BLDG</t>
  </si>
  <si>
    <t>ORALKATCHA</t>
  </si>
  <si>
    <t>PORT BLAIR</t>
  </si>
  <si>
    <t>RANGHAT</t>
  </si>
  <si>
    <t>Yes_No</t>
  </si>
  <si>
    <t>Yes</t>
  </si>
  <si>
    <t>Policy Term</t>
  </si>
  <si>
    <t>Discount Factors</t>
  </si>
  <si>
    <t>Untrained</t>
  </si>
  <si>
    <t>Upto 3 years</t>
  </si>
  <si>
    <t>More than 3 years</t>
  </si>
  <si>
    <t>0-100</t>
  </si>
  <si>
    <t>100-500</t>
  </si>
  <si>
    <t>500 - 1000</t>
  </si>
  <si>
    <t>1000+</t>
  </si>
  <si>
    <t>PARAMETER DETAILS - OPTIONS</t>
  </si>
  <si>
    <t>Loading Factors</t>
  </si>
  <si>
    <t>Hilly</t>
  </si>
  <si>
    <t>Plain</t>
  </si>
  <si>
    <t>Manual</t>
  </si>
  <si>
    <t>Automated</t>
  </si>
  <si>
    <t>Coverage</t>
  </si>
  <si>
    <t>Medex Master</t>
  </si>
  <si>
    <t>Trade Credit Master</t>
  </si>
  <si>
    <t>Medex</t>
  </si>
  <si>
    <t>Insured Limit</t>
  </si>
  <si>
    <t>Up to 5L</t>
  </si>
  <si>
    <t>5L - 20L</t>
  </si>
  <si>
    <t>20L - 50L</t>
  </si>
  <si>
    <t>50L - 1cr</t>
  </si>
  <si>
    <t>1 cr+</t>
  </si>
  <si>
    <t>No Limit</t>
  </si>
  <si>
    <t>Up to 50k</t>
  </si>
  <si>
    <t>50k-1lac</t>
  </si>
  <si>
    <t>1lac-2lac</t>
  </si>
  <si>
    <t>2lac-10lac</t>
  </si>
  <si>
    <t>10 lac+</t>
  </si>
  <si>
    <t>UW Per Person Limit</t>
  </si>
  <si>
    <t>UW Aggregate Limit</t>
  </si>
  <si>
    <t>Discount/Loading</t>
  </si>
  <si>
    <t>Rural</t>
  </si>
  <si>
    <t>OD</t>
  </si>
  <si>
    <t>5L - 50L</t>
  </si>
  <si>
    <t>50 lac+</t>
  </si>
  <si>
    <t>Producer</t>
  </si>
  <si>
    <t>Underwriter</t>
  </si>
  <si>
    <t>User Type Master</t>
  </si>
  <si>
    <t>UW % Cont.</t>
  </si>
  <si>
    <t>Concatenate</t>
  </si>
  <si>
    <t>#</t>
  </si>
  <si>
    <t>Validation</t>
  </si>
  <si>
    <t>Trigger</t>
  </si>
  <si>
    <t>Validation Message</t>
  </si>
  <si>
    <t>Loss History</t>
  </si>
  <si>
    <t>Medex (&gt; 1,00,000)</t>
  </si>
  <si>
    <t>Final Loading and Discount</t>
  </si>
  <si>
    <t>PUP Discount</t>
  </si>
  <si>
    <t>Unique</t>
  </si>
  <si>
    <t>UW Location Percentage</t>
  </si>
  <si>
    <t>Loading/Discount Options Yes_No</t>
  </si>
  <si>
    <t>location Type Producer</t>
  </si>
  <si>
    <t>location Type UW</t>
  </si>
  <si>
    <t>producer</t>
  </si>
  <si>
    <t>underwriter</t>
  </si>
  <si>
    <t>locationtype_producer</t>
  </si>
  <si>
    <t>locationtype_uw</t>
  </si>
  <si>
    <t>Remarks</t>
  </si>
  <si>
    <t>yes</t>
  </si>
  <si>
    <t>no</t>
  </si>
  <si>
    <t>Communication State &amp; City</t>
  </si>
  <si>
    <t>Risk Location 1</t>
  </si>
  <si>
    <t>Risk Location 2</t>
  </si>
  <si>
    <t>Risk Location 3</t>
  </si>
  <si>
    <t>Risk Location 4</t>
  </si>
  <si>
    <t>Risk Location 5</t>
  </si>
  <si>
    <t>Bangalore</t>
  </si>
  <si>
    <t>Delhi</t>
  </si>
  <si>
    <t>Hyderabad</t>
  </si>
  <si>
    <t>Chennai</t>
  </si>
  <si>
    <t>Pune</t>
  </si>
  <si>
    <t>Identification of CL Zone</t>
  </si>
  <si>
    <t>Stage</t>
  </si>
  <si>
    <t>Final CL Zone</t>
  </si>
  <si>
    <t>SHADIPUR</t>
  </si>
  <si>
    <t>SOUTH ANDAMAN</t>
  </si>
  <si>
    <t>WIMBERLYGUNJI</t>
  </si>
  <si>
    <t>ANDHRA PRADESH</t>
  </si>
  <si>
    <t>A.KONDURU</t>
  </si>
  <si>
    <t>ACHANTA</t>
  </si>
  <si>
    <t>ADDANKI</t>
  </si>
  <si>
    <t>ADDATEEGALA</t>
  </si>
  <si>
    <t>ADONI</t>
  </si>
  <si>
    <t>AGALI</t>
  </si>
  <si>
    <t>AGIRIPALLE</t>
  </si>
  <si>
    <t>AINAVILLI</t>
  </si>
  <si>
    <t>AKIVIDU</t>
  </si>
  <si>
    <t>ALAMURU</t>
  </si>
  <si>
    <t>ALLAGADDA</t>
  </si>
  <si>
    <t>ALLAVARAM</t>
  </si>
  <si>
    <t>ALLUR</t>
  </si>
  <si>
    <t>ALUR</t>
  </si>
  <si>
    <t>AMADAGUR</t>
  </si>
  <si>
    <t>AMADALAVALASA</t>
  </si>
  <si>
    <t>AMALAPURAM</t>
  </si>
  <si>
    <t>AMARAPURAM</t>
  </si>
  <si>
    <t>AMARAVATHI</t>
  </si>
  <si>
    <t>AMBAJIPETA</t>
  </si>
  <si>
    <t>AMRUTHALUR</t>
  </si>
  <si>
    <t>ANAKAPALLE</t>
  </si>
  <si>
    <t>ANANTAPUR</t>
  </si>
  <si>
    <t>ANANTHAGIRI</t>
  </si>
  <si>
    <t>ANANTHASAGARAM</t>
  </si>
  <si>
    <t>ANAPARTHY</t>
  </si>
  <si>
    <t>ANUMASAMUDRAMPETA</t>
  </si>
  <si>
    <t>ARDHAVEEDU</t>
  </si>
  <si>
    <t>ASPARI</t>
  </si>
  <si>
    <t>ATCHAMPET</t>
  </si>
  <si>
    <t>ATCHUTAPURAM</t>
  </si>
  <si>
    <t>ATLUR</t>
  </si>
  <si>
    <t>ATMAKUR</t>
  </si>
  <si>
    <t>ATREYAPURAM</t>
  </si>
  <si>
    <t>ATTILI</t>
  </si>
  <si>
    <t>AVANIGADDA</t>
  </si>
  <si>
    <t>BADANGI</t>
  </si>
  <si>
    <t>BADVEL</t>
  </si>
  <si>
    <t>BAIREDDIPALLE</t>
  </si>
  <si>
    <t>BALAYAPALLE</t>
  </si>
  <si>
    <t>BALIJIPETA</t>
  </si>
  <si>
    <t>BANAGANAPALLE</t>
  </si>
  <si>
    <t>BANDI ATMAKUR</t>
  </si>
  <si>
    <t>BANGARUPALEM</t>
  </si>
  <si>
    <t>BANTUMILLI</t>
  </si>
  <si>
    <t>BAPATLA</t>
  </si>
  <si>
    <t>BAPULAPADU</t>
  </si>
  <si>
    <t>BATHALAPALLE</t>
  </si>
  <si>
    <t>BELLAMKONDA</t>
  </si>
  <si>
    <t>BELUGUPPA</t>
  </si>
  <si>
    <t>BESTAWARIPETA</t>
  </si>
  <si>
    <t>BETHAMCHERLA</t>
  </si>
  <si>
    <t>BHAMINI</t>
  </si>
  <si>
    <t>BHATTIPROLU</t>
  </si>
  <si>
    <t>BHEEMANIPATNAM</t>
  </si>
  <si>
    <t>BHEEMUNIPATNAM</t>
  </si>
  <si>
    <t>BHIMADOLE</t>
  </si>
  <si>
    <t>BHIMAVARAM</t>
  </si>
  <si>
    <t>BHOGAPURAM</t>
  </si>
  <si>
    <t>BICCAVOLU</t>
  </si>
  <si>
    <t>BOBBILI</t>
  </si>
  <si>
    <t>BOGOLE</t>
  </si>
  <si>
    <t>BOLLAPALLE</t>
  </si>
  <si>
    <t>BONDADA</t>
  </si>
  <si>
    <t>BONDAPALLE</t>
  </si>
  <si>
    <t>BRAHMANAPALLE</t>
  </si>
  <si>
    <t>BRAHMASAMUDRAM</t>
  </si>
  <si>
    <t>BUCHIREDDIPALEM</t>
  </si>
  <si>
    <t>BUKKAPATNAM</t>
  </si>
  <si>
    <t>BUKKARAYA SAMUDRAM</t>
  </si>
  <si>
    <t>BURJA</t>
  </si>
  <si>
    <t>BUTCHAYYAPETA</t>
  </si>
  <si>
    <t>BUTTAYAGUDEM</t>
  </si>
  <si>
    <t>CHAGALAMARRI</t>
  </si>
  <si>
    <t>CHAGALLU</t>
  </si>
  <si>
    <t>CHALLAPALLE</t>
  </si>
  <si>
    <t>CHANDARLAPADU</t>
  </si>
  <si>
    <t>CHANDRA SEKHARA PURAM</t>
  </si>
  <si>
    <t>CHANDRAGIRI</t>
  </si>
  <si>
    <t>CHATRAI</t>
  </si>
  <si>
    <t>CHEBROLU</t>
  </si>
  <si>
    <t>CHEJERLA</t>
  </si>
  <si>
    <t>CHENNARAOPET</t>
  </si>
  <si>
    <t>CHENNEKOTHAPALLE</t>
  </si>
  <si>
    <t>CHERUKUPALLE</t>
  </si>
  <si>
    <t>CHILAKALURIPET</t>
  </si>
  <si>
    <t>CHILAMATHUR</t>
  </si>
  <si>
    <t>CHILLAKUR</t>
  </si>
  <si>
    <t>CHIMAKURTHI</t>
  </si>
  <si>
    <t>CHINAGANJAM</t>
  </si>
  <si>
    <t>CHINNAGOTTIGALLU</t>
  </si>
  <si>
    <t>CHINNAMANDEM</t>
  </si>
  <si>
    <t>CHINNAVEDAMPATTI</t>
  </si>
  <si>
    <t>CHINTALAPUDI</t>
  </si>
  <si>
    <t>CHINTAPALLE</t>
  </si>
  <si>
    <t>CHIPPAGIRI</t>
  </si>
  <si>
    <t>CHIRALA</t>
  </si>
  <si>
    <t>CHITTAMUR</t>
  </si>
  <si>
    <t>CHITTOOR</t>
  </si>
  <si>
    <t>CHITVEL</t>
  </si>
  <si>
    <t>CHODAVARAM</t>
  </si>
  <si>
    <t>CHOWDEPALLE</t>
  </si>
  <si>
    <t>CUDDAPAH</t>
  </si>
  <si>
    <t>CUMBUM</t>
  </si>
  <si>
    <t>D.HIREHAL</t>
  </si>
  <si>
    <t>DAGADARTHI</t>
  </si>
  <si>
    <t>DAKKILI</t>
  </si>
  <si>
    <t>DARSI</t>
  </si>
  <si>
    <t>DATTIRAJERU</t>
  </si>
  <si>
    <t>DENDULURU</t>
  </si>
  <si>
    <t>DENKADA</t>
  </si>
  <si>
    <t>DENKANIKOTTAI</t>
  </si>
  <si>
    <t>DEVANAKONDA</t>
  </si>
  <si>
    <t>DEVARAPALLE</t>
  </si>
  <si>
    <t>DEVIPATNAM</t>
  </si>
  <si>
    <t>DHARMAVARAM</t>
  </si>
  <si>
    <t>DHONE</t>
  </si>
  <si>
    <t>DONKARAYI</t>
  </si>
  <si>
    <t>DORNALA</t>
  </si>
  <si>
    <t>DORNIPADU</t>
  </si>
  <si>
    <t>DUGGIRALA</t>
  </si>
  <si>
    <t>DUMBRIGUDA</t>
  </si>
  <si>
    <t>DURGI</t>
  </si>
  <si>
    <t>DUTTALUR</t>
  </si>
  <si>
    <t>DUVVUR</t>
  </si>
  <si>
    <t>DWARAKATIRUMALA</t>
  </si>
  <si>
    <t>EDLAPADU</t>
  </si>
  <si>
    <t>EKAMBARAKUPPAM</t>
  </si>
  <si>
    <t>ELURU</t>
  </si>
  <si>
    <t>ELURUPADU</t>
  </si>
  <si>
    <t>ETCHERLA</t>
  </si>
  <si>
    <t>G.KONDURU</t>
  </si>
  <si>
    <t>GADIVEMULA</t>
  </si>
  <si>
    <t>GAJAPATHINAGARAM</t>
  </si>
  <si>
    <t>GAJUWAKA</t>
  </si>
  <si>
    <t>GALIVEEDU</t>
  </si>
  <si>
    <t>GAMPALAGUDEM</t>
  </si>
  <si>
    <t>GANAPAVARAM</t>
  </si>
  <si>
    <t>GANDLAPENTA</t>
  </si>
  <si>
    <t>GANGADHARA NELLORE</t>
  </si>
  <si>
    <t>GANGARAM</t>
  </si>
  <si>
    <t>GANGUVARISIGADAM</t>
  </si>
  <si>
    <t>GANTYADA</t>
  </si>
  <si>
    <t>GARA</t>
  </si>
  <si>
    <t>GARLADINNE</t>
  </si>
  <si>
    <t>GARUGUBILLI</t>
  </si>
  <si>
    <t>GHANTASALA</t>
  </si>
  <si>
    <t>GIDDALUR</t>
  </si>
  <si>
    <t>GOKAVARAM</t>
  </si>
  <si>
    <t>GOLLAPROLU</t>
  </si>
  <si>
    <t>GOLUGONDA</t>
  </si>
  <si>
    <t>GONEGANDLA</t>
  </si>
  <si>
    <t>GOOTY</t>
  </si>
  <si>
    <t>GOPALAPURAM</t>
  </si>
  <si>
    <t>GORANTLA</t>
  </si>
  <si>
    <t>GOSPADU</t>
  </si>
  <si>
    <t>GUDEM KOTHA VEEDHI</t>
  </si>
  <si>
    <t>GUDIBANDA</t>
  </si>
  <si>
    <t>GUDIPALA</t>
  </si>
  <si>
    <t>GUDIVADA</t>
  </si>
  <si>
    <t>GUDLAVALLERU</t>
  </si>
  <si>
    <t>GUDLURU</t>
  </si>
  <si>
    <t>GUDUR</t>
  </si>
  <si>
    <t>GUDURU</t>
  </si>
  <si>
    <t>GUMMAGATTA</t>
  </si>
  <si>
    <t>GUMMALAKSHMIPURAM</t>
  </si>
  <si>
    <t>GUNTAKAL</t>
  </si>
  <si>
    <t>GUNTUR</t>
  </si>
  <si>
    <t>GURAZALA</t>
  </si>
  <si>
    <t>GURLA</t>
  </si>
  <si>
    <t>GURRAMKONDA</t>
  </si>
  <si>
    <t>HALAHARVI</t>
  </si>
  <si>
    <t>HANUMANTHUNI PADU</t>
  </si>
  <si>
    <t>HINDUPUR</t>
  </si>
  <si>
    <t>HIRAMANDALAM</t>
  </si>
  <si>
    <t>HOLAGUNDA</t>
  </si>
  <si>
    <t>HUKUMPETA</t>
  </si>
  <si>
    <t>I. POLAVARAM</t>
  </si>
  <si>
    <t>IBRAHIMPATNAM</t>
  </si>
  <si>
    <t>ICHCHAPURAM</t>
  </si>
  <si>
    <t>INDIA NAGAR,</t>
  </si>
  <si>
    <t>INDUKURPET</t>
  </si>
  <si>
    <t>INKOLLU</t>
  </si>
  <si>
    <t>IPUR</t>
  </si>
  <si>
    <t>IRAGAVARAM</t>
  </si>
  <si>
    <t>IRALA</t>
  </si>
  <si>
    <t>JAGGAMPETA</t>
  </si>
  <si>
    <t>JAGGAYYAPETA</t>
  </si>
  <si>
    <t>JALADANKI</t>
  </si>
  <si>
    <t>JALUMURU</t>
  </si>
  <si>
    <t>JAMI</t>
  </si>
  <si>
    <t>JAMMALAMADUGU</t>
  </si>
  <si>
    <t>JANAKAVARAMPANGULURU</t>
  </si>
  <si>
    <t>JANGAREDDIGUDEM</t>
  </si>
  <si>
    <t>JEELUGU MILLI</t>
  </si>
  <si>
    <t>JIYYAMMAVALASA</t>
  </si>
  <si>
    <t>K.KOTAPADU</t>
  </si>
  <si>
    <t>KADIAM</t>
  </si>
  <si>
    <t>KADIRI</t>
  </si>
  <si>
    <t>KAIKALUR</t>
  </si>
  <si>
    <t>KAJULURU</t>
  </si>
  <si>
    <t>KAKINADA</t>
  </si>
  <si>
    <t>KAKUMANU</t>
  </si>
  <si>
    <t>KALAKADA</t>
  </si>
  <si>
    <t>KALASAPADU</t>
  </si>
  <si>
    <t>KALIDINDI</t>
  </si>
  <si>
    <t>KALIGIRI</t>
  </si>
  <si>
    <t>KALIKIRI</t>
  </si>
  <si>
    <t>KALLA</t>
  </si>
  <si>
    <t>KALUVOYA</t>
  </si>
  <si>
    <t>KALYANDURG</t>
  </si>
  <si>
    <t>KAMALAPURAM</t>
  </si>
  <si>
    <t>KAMAVARAPUKOTA</t>
  </si>
  <si>
    <t>KAMBADUR</t>
  </si>
  <si>
    <t>KAMBHAMVARIPALLE</t>
  </si>
  <si>
    <t>KANAGANAPALLE</t>
  </si>
  <si>
    <t>KANCHILI</t>
  </si>
  <si>
    <t>KANDUKUR</t>
  </si>
  <si>
    <t>KANIGIRI</t>
  </si>
  <si>
    <t>KANKIPADU</t>
  </si>
  <si>
    <t>KAPILESWARAPURAM</t>
  </si>
  <si>
    <t>KARAMCHEDU</t>
  </si>
  <si>
    <t>KARAPA</t>
  </si>
  <si>
    <t>KARAVADI</t>
  </si>
  <si>
    <t>KAREMPUDI</t>
  </si>
  <si>
    <t>KARLAPALEM</t>
  </si>
  <si>
    <t>KARVETINAGAR</t>
  </si>
  <si>
    <t>KASIMKOTA</t>
  </si>
  <si>
    <t>KATRENIKONA</t>
  </si>
  <si>
    <t>KAVALI</t>
  </si>
  <si>
    <t>KAVITI</t>
  </si>
  <si>
    <t>KHAJIPET</t>
  </si>
  <si>
    <t>KIRLAMPUDI</t>
  </si>
  <si>
    <t>KODAVALUR</t>
  </si>
  <si>
    <t>KODUMUR</t>
  </si>
  <si>
    <t>KODUR</t>
  </si>
  <si>
    <t>KODURU</t>
  </si>
  <si>
    <t>KOILKUNTLA</t>
  </si>
  <si>
    <t>KOLIMIGUNDLA</t>
  </si>
  <si>
    <t>KOLLIPARA</t>
  </si>
  <si>
    <t>KOLLUR</t>
  </si>
  <si>
    <t>KOMAROLU</t>
  </si>
  <si>
    <t>KONAKANAMITLA</t>
  </si>
  <si>
    <t>KONATHANERI</t>
  </si>
  <si>
    <t>KONDAPI</t>
  </si>
  <si>
    <t>KONDAPURAM</t>
  </si>
  <si>
    <t>KORISAPADU</t>
  </si>
  <si>
    <t>KORUKONDA</t>
  </si>
  <si>
    <t>KOSIGI</t>
  </si>
  <si>
    <t>KOTA</t>
  </si>
  <si>
    <t>KOTABOMMALI</t>
  </si>
  <si>
    <t>KOTANANDURU</t>
  </si>
  <si>
    <t>KOTAURATLA</t>
  </si>
  <si>
    <t>KOTHA PATNAM</t>
  </si>
  <si>
    <t>KOTHACHERUVU</t>
  </si>
  <si>
    <t>KOTHAPALLE</t>
  </si>
  <si>
    <t>KOTHAPETA</t>
  </si>
  <si>
    <t>KOTHAVALASA</t>
  </si>
  <si>
    <t>KOTHURU</t>
  </si>
  <si>
    <t>KOVANUR</t>
  </si>
  <si>
    <t>KOVUR</t>
  </si>
  <si>
    <t>KOVVUR</t>
  </si>
  <si>
    <t>KOWTHALAM</t>
  </si>
  <si>
    <t>KOYYALAGUDEM</t>
  </si>
  <si>
    <t>KOYYURU</t>
  </si>
  <si>
    <t>KRISHNA</t>
  </si>
  <si>
    <t>KROSURU</t>
  </si>
  <si>
    <t>KRUTHIVENNU</t>
  </si>
  <si>
    <t>KUDAIR</t>
  </si>
  <si>
    <t>KUNDURPI</t>
  </si>
  <si>
    <t>KUPPAM</t>
  </si>
  <si>
    <t>KURABALAKOTA</t>
  </si>
  <si>
    <t>KURICHEDU</t>
  </si>
  <si>
    <t>KURNOOL</t>
  </si>
  <si>
    <t>KURUPAM</t>
  </si>
  <si>
    <t>LAKKAVARAPUKOTA</t>
  </si>
  <si>
    <t>LAKKIREDDIPALLE</t>
  </si>
  <si>
    <t>LAKSHMINARSUPETA</t>
  </si>
  <si>
    <t>LAVERU</t>
  </si>
  <si>
    <t>LEPAKSHI</t>
  </si>
  <si>
    <t>LINGALA</t>
  </si>
  <si>
    <t>LINGAPALEM</t>
  </si>
  <si>
    <t>LINGASAMUDRAM</t>
  </si>
  <si>
    <t>MACHAVARAM</t>
  </si>
  <si>
    <t>MACHERLA</t>
  </si>
  <si>
    <t>MACHILIPATNAM</t>
  </si>
  <si>
    <t>MADAKASIRA</t>
  </si>
  <si>
    <t>MADANAPALLE</t>
  </si>
  <si>
    <t>MADDIKERA (EAST)</t>
  </si>
  <si>
    <t>MADDIPADU</t>
  </si>
  <si>
    <t>MADUGULA</t>
  </si>
  <si>
    <t>MAHANANDI</t>
  </si>
  <si>
    <t>MAKAVARAPALEM</t>
  </si>
  <si>
    <t>MAKKUVA</t>
  </si>
  <si>
    <t>MALIKIPURAM</t>
  </si>
  <si>
    <t>MAMIDIKUDURU</t>
  </si>
  <si>
    <t>MANDAPETA</t>
  </si>
  <si>
    <t>MANDASA</t>
  </si>
  <si>
    <t>MANDAVALLI</t>
  </si>
  <si>
    <t>MANGALAGIRI</t>
  </si>
  <si>
    <t>MANGALAMPET</t>
  </si>
  <si>
    <t>MANTRALAYA</t>
  </si>
  <si>
    <t>MANTRALAYAM</t>
  </si>
  <si>
    <t>MANUBOLU</t>
  </si>
  <si>
    <t>MAREDUMILLI</t>
  </si>
  <si>
    <t>MARKAPUR</t>
  </si>
  <si>
    <t>MARRIPUDI</t>
  </si>
  <si>
    <t>MARTUR</t>
  </si>
  <si>
    <t>MEDIKONDURU</t>
  </si>
  <si>
    <t>MELIAPUTTI</t>
  </si>
  <si>
    <t>MENTADA</t>
  </si>
  <si>
    <t>MERAKAMUDIDAM</t>
  </si>
  <si>
    <t>MIDTHUR</t>
  </si>
  <si>
    <t>MOGALTHUR</t>
  </si>
  <si>
    <t>MOPIDEVI</t>
  </si>
  <si>
    <t>MOVVA</t>
  </si>
  <si>
    <t>MUDDANUR</t>
  </si>
  <si>
    <t>MUDIGUBBA</t>
  </si>
  <si>
    <t>MUDINEPALLE</t>
  </si>
  <si>
    <t>MULAKALACHERUVU</t>
  </si>
  <si>
    <t>MUMMIDIVARAM</t>
  </si>
  <si>
    <t>MUNAGAPAKA</t>
  </si>
  <si>
    <t>MUPPALLA</t>
  </si>
  <si>
    <t>MUSUNURU</t>
  </si>
  <si>
    <t>MUTHUKUR</t>
  </si>
  <si>
    <t>MYLAVARAM</t>
  </si>
  <si>
    <t>NADENDLA</t>
  </si>
  <si>
    <t>NAGALAPURAM</t>
  </si>
  <si>
    <t>NAGARAM</t>
  </si>
  <si>
    <t>NAGARI</t>
  </si>
  <si>
    <t>NAGAYALANKA</t>
  </si>
  <si>
    <t>NAGULUPPALA PADU</t>
  </si>
  <si>
    <t>NAIDUPET</t>
  </si>
  <si>
    <t>NAKKAPALLE</t>
  </si>
  <si>
    <t>NALAGONDA</t>
  </si>
  <si>
    <t>NALLACHERUVU</t>
  </si>
  <si>
    <t>NALLAJERLA</t>
  </si>
  <si>
    <t>NANDALUR</t>
  </si>
  <si>
    <t>NANDAVARAM</t>
  </si>
  <si>
    <t>NANDIGAMA</t>
  </si>
  <si>
    <t>NANDIKOTKUR</t>
  </si>
  <si>
    <t>NANDIVADA</t>
  </si>
  <si>
    <t>NANDYAL</t>
  </si>
  <si>
    <t>NARASANNAPETA</t>
  </si>
  <si>
    <t>NARASAPURAM</t>
  </si>
  <si>
    <t>NARASARAOPET</t>
  </si>
  <si>
    <t>NARAYANAVANAM</t>
  </si>
  <si>
    <t>NARPALA</t>
  </si>
  <si>
    <t>NARSIPATNAM</t>
  </si>
  <si>
    <t>NATHAVARAM</t>
  </si>
  <si>
    <t>NEELAKANTHARAOPETA</t>
  </si>
  <si>
    <t>NEKARIKALLU</t>
  </si>
  <si>
    <t>NELLORE</t>
  </si>
  <si>
    <t>NEW JURSEY</t>
  </si>
  <si>
    <t>NIDADAVOLE</t>
  </si>
  <si>
    <t>NIDAMARRU</t>
  </si>
  <si>
    <t>NIMMANAPALLE</t>
  </si>
  <si>
    <t>NINDRA</t>
  </si>
  <si>
    <t>NIZAMPATNAM</t>
  </si>
  <si>
    <t>NUZENDLA</t>
  </si>
  <si>
    <t>NUZIVIDU</t>
  </si>
  <si>
    <t>NUZVID</t>
  </si>
  <si>
    <t>OBULADEVARACHERUVU</t>
  </si>
  <si>
    <t>OBULAVARIPALLE</t>
  </si>
  <si>
    <t>OJILI</t>
  </si>
  <si>
    <t>OLD MLA QUARTERS</t>
  </si>
  <si>
    <t>OWK</t>
  </si>
  <si>
    <t>P.GANNAVARAM</t>
  </si>
  <si>
    <t>PACHIPENTA</t>
  </si>
  <si>
    <t>PADERU</t>
  </si>
  <si>
    <t>PADI</t>
  </si>
  <si>
    <t>PADMANABHAM</t>
  </si>
  <si>
    <t>PAGIDYALA</t>
  </si>
  <si>
    <t>PAKALA</t>
  </si>
  <si>
    <t>PALACODERU</t>
  </si>
  <si>
    <t>PALACOLE</t>
  </si>
  <si>
    <t>PALAKONDA</t>
  </si>
  <si>
    <t>PALAMANER</t>
  </si>
  <si>
    <t>PALASA</t>
  </si>
  <si>
    <t>PALASAMUDRAM</t>
  </si>
  <si>
    <t>PAMARRU</t>
  </si>
  <si>
    <t>PAMIDI</t>
  </si>
  <si>
    <t>PAMIDIMUKKALA</t>
  </si>
  <si>
    <t>PAMULAPADU</t>
  </si>
  <si>
    <t>PAMUR</t>
  </si>
  <si>
    <t>PANRUTI</t>
  </si>
  <si>
    <t>PANYAM</t>
  </si>
  <si>
    <t>PARAVADA</t>
  </si>
  <si>
    <t>PARCHUR</t>
  </si>
  <si>
    <t>PARIGI</t>
  </si>
  <si>
    <t>PARVATHIPURAM</t>
  </si>
  <si>
    <t>PATCHALATADIPARRU</t>
  </si>
  <si>
    <t>PATHAPATNAM</t>
  </si>
  <si>
    <t>PATTIKONDA</t>
  </si>
  <si>
    <t>PAYAKARAOPETA</t>
  </si>
  <si>
    <t>PEAPALLY</t>
  </si>
  <si>
    <t>PEDA BAYALU</t>
  </si>
  <si>
    <t>PEDACHERLO PALLE</t>
  </si>
  <si>
    <t>PEDAKAKANI</t>
  </si>
  <si>
    <t>PEDAKURAPADU</t>
  </si>
  <si>
    <t>PEDANA</t>
  </si>
  <si>
    <t>PEDANANDIPADU</t>
  </si>
  <si>
    <t>PEDAPADU</t>
  </si>
  <si>
    <t>PEDAPARUPUDI</t>
  </si>
  <si>
    <t>PEDAPUDI</t>
  </si>
  <si>
    <t>PEDAVEGI</t>
  </si>
  <si>
    <t>PEDDA KADUBUR</t>
  </si>
  <si>
    <t>PEDDA THIPPASAMUDRAM</t>
  </si>
  <si>
    <t>PEDDAKOTHAPALLE</t>
  </si>
  <si>
    <t>PEDDAMUDIUM</t>
  </si>
  <si>
    <t>PEDDAPAPPUR</t>
  </si>
  <si>
    <t>PEDDAPURAM</t>
  </si>
  <si>
    <t>PEDDAVADUGUR</t>
  </si>
  <si>
    <t>PELLAKUR</t>
  </si>
  <si>
    <t>PENAGALUR</t>
  </si>
  <si>
    <t>PENAMALURU</t>
  </si>
  <si>
    <t>PENDLIMARRI</t>
  </si>
  <si>
    <t>PENDURTHI</t>
  </si>
  <si>
    <t>PENTAPADU</t>
  </si>
  <si>
    <t>PENUGANCHIPROLU</t>
  </si>
  <si>
    <t>PENUGONDA</t>
  </si>
  <si>
    <t>PENUKONDA</t>
  </si>
  <si>
    <t>PENUMANTRA</t>
  </si>
  <si>
    <t>PENUMURU</t>
  </si>
  <si>
    <t>PERAVALI</t>
  </si>
  <si>
    <t>PERUR</t>
  </si>
  <si>
    <t>PHIRANGIPURAM</t>
  </si>
  <si>
    <t>PICHATUR</t>
  </si>
  <si>
    <t>PIDUGURALLA</t>
  </si>
  <si>
    <t>PILERU</t>
  </si>
  <si>
    <t>PITHAPURAM</t>
  </si>
  <si>
    <t>PITTALAVANIPALEM</t>
  </si>
  <si>
    <t>PODALAKUR</t>
  </si>
  <si>
    <t>PODILI</t>
  </si>
  <si>
    <t>PODURU</t>
  </si>
  <si>
    <t>POLAKI</t>
  </si>
  <si>
    <t>POLAVARAM</t>
  </si>
  <si>
    <t>PONDICHERRY</t>
  </si>
  <si>
    <t>PONDURU</t>
  </si>
  <si>
    <t>PONNALURU</t>
  </si>
  <si>
    <t>PONNUR</t>
  </si>
  <si>
    <t>PORLUPALEM</t>
  </si>
  <si>
    <t>PORUMAMILLA</t>
  </si>
  <si>
    <t>PRAKASAM</t>
  </si>
  <si>
    <t>PRATHIPADU</t>
  </si>
  <si>
    <t>PRODDATUR</t>
  </si>
  <si>
    <t>PULICHERLA</t>
  </si>
  <si>
    <t>PULIVENDLA</t>
  </si>
  <si>
    <t>PULLAMPETA</t>
  </si>
  <si>
    <t>PUSAPATIREGA</t>
  </si>
  <si>
    <t>PUTHALAPATTU</t>
  </si>
  <si>
    <t>PUTLUR</t>
  </si>
  <si>
    <t>R R V PURAM</t>
  </si>
  <si>
    <t>RACHAPALLE</t>
  </si>
  <si>
    <t>RACHERLA</t>
  </si>
  <si>
    <t>RAJAHMUNDRY</t>
  </si>
  <si>
    <t>RAJAHMUNDRY RURAL</t>
  </si>
  <si>
    <t>RAJAM</t>
  </si>
  <si>
    <t>RAJAMPET</t>
  </si>
  <si>
    <t>RAJANAGARAM</t>
  </si>
  <si>
    <t>RAJAVOMMANGI</t>
  </si>
  <si>
    <t>RAJUPALEM</t>
  </si>
  <si>
    <t>RAMACHANDRAPURAM</t>
  </si>
  <si>
    <t>RAMAKUPPAM</t>
  </si>
  <si>
    <t>RAMASAMUDRAM</t>
  </si>
  <si>
    <t>RAMBILLI</t>
  </si>
  <si>
    <t>RAMPACHODAVARAM</t>
  </si>
  <si>
    <t>RANASTALAM</t>
  </si>
  <si>
    <t>RANGAMPETA</t>
  </si>
  <si>
    <t>RANGAREDDY</t>
  </si>
  <si>
    <t>RAPTADU</t>
  </si>
  <si>
    <t>RAPUR</t>
  </si>
  <si>
    <t>RAVIKAMATHAM</t>
  </si>
  <si>
    <t>RAVINDRANAGAR</t>
  </si>
  <si>
    <t>RAVULAPALEM</t>
  </si>
  <si>
    <t>RAYACHOTI</t>
  </si>
  <si>
    <t>RAYADURG</t>
  </si>
  <si>
    <t>RAYALAPETA</t>
  </si>
  <si>
    <t>RAYAVARAM</t>
  </si>
  <si>
    <t>RAZOLE</t>
  </si>
  <si>
    <t>REGIDI AMADALAVALASA</t>
  </si>
  <si>
    <t>RENIGUNTA</t>
  </si>
  <si>
    <t>RENTACHINTALA</t>
  </si>
  <si>
    <t>REPALLE</t>
  </si>
  <si>
    <t>RODDAM</t>
  </si>
  <si>
    <t>ROLLA</t>
  </si>
  <si>
    <t>ROMPICHERLA</t>
  </si>
  <si>
    <t>RUDRAVARAM</t>
  </si>
  <si>
    <t>S.MYDUKUR</t>
  </si>
  <si>
    <t>S.RAYAVARAM</t>
  </si>
  <si>
    <t>SABBAVARAM</t>
  </si>
  <si>
    <t>SAKHINETIPALLE</t>
  </si>
  <si>
    <t>SAMALKOTA</t>
  </si>
  <si>
    <t>SAMBEPALLE</t>
  </si>
  <si>
    <t>SANGAM</t>
  </si>
  <si>
    <t>SANJAMALA</t>
  </si>
  <si>
    <t>SANKHAVARAM</t>
  </si>
  <si>
    <t>SANTHABOMMALI</t>
  </si>
  <si>
    <t>SANTHAMAGULURU</t>
  </si>
  <si>
    <t>SANTHANUTHALA PADU</t>
  </si>
  <si>
    <t>SANTHIPURAM</t>
  </si>
  <si>
    <t>SARAHANPUR</t>
  </si>
  <si>
    <t>SARAVAKOTA</t>
  </si>
  <si>
    <t>SARAY BODLA  AGRA, UP</t>
  </si>
  <si>
    <t>SARUBUJJILI</t>
  </si>
  <si>
    <t>SATTENAPALLE</t>
  </si>
  <si>
    <t>SATYAVEDU</t>
  </si>
  <si>
    <t>SAVALYAPURAM</t>
  </si>
  <si>
    <t>SEETHAMPETA</t>
  </si>
  <si>
    <t>SEETHANAGARAM</t>
  </si>
  <si>
    <t>SEETHARAMAPURAM</t>
  </si>
  <si>
    <t>SETTUR</t>
  </si>
  <si>
    <t>SIDHOUT</t>
  </si>
  <si>
    <t>SIGADAM</t>
  </si>
  <si>
    <t>SIMHADRIPURAM</t>
  </si>
  <si>
    <t>SINGANAMALA</t>
  </si>
  <si>
    <t>SINGARAYAKONDA</t>
  </si>
  <si>
    <t>SIRVEL</t>
  </si>
  <si>
    <t>SODAM</t>
  </si>
  <si>
    <t>SOMANDEPALLE</t>
  </si>
  <si>
    <t>SOMPETA</t>
  </si>
  <si>
    <t>SRI AVADHUTHA KASINAYANA</t>
  </si>
  <si>
    <t>SRIKAKULAM</t>
  </si>
  <si>
    <t>SRIKALAHASTI</t>
  </si>
  <si>
    <t>SRISAILAM</t>
  </si>
  <si>
    <t>SRUNGAVARAPUKOTA</t>
  </si>
  <si>
    <t>SULLURPETA</t>
  </si>
  <si>
    <t>SYAMALANAGAR</t>
  </si>
  <si>
    <t>SYDAPURAM</t>
  </si>
  <si>
    <t>T NARASAPURAM</t>
  </si>
  <si>
    <t>T SUNDUPALLE</t>
  </si>
  <si>
    <t>TADA</t>
  </si>
  <si>
    <t>TADEPALLE</t>
  </si>
  <si>
    <t>TADEPALLIGUDEM</t>
  </si>
  <si>
    <t>TADIKONDA</t>
  </si>
  <si>
    <t>TADIMARRI</t>
  </si>
  <si>
    <t>TADPATRI</t>
  </si>
  <si>
    <t>TALLAPUDI</t>
  </si>
  <si>
    <t>TALUPULA</t>
  </si>
  <si>
    <t>TAMIRISA</t>
  </si>
  <si>
    <t>TANAKAL</t>
  </si>
  <si>
    <t>TANGUTUR</t>
  </si>
  <si>
    <t>TANUKU</t>
  </si>
  <si>
    <t>TARLUPADU</t>
  </si>
  <si>
    <t>TEKKALI</t>
  </si>
  <si>
    <t>TEKMAL</t>
  </si>
  <si>
    <t>TENALI</t>
  </si>
  <si>
    <t>THALLAREVU</t>
  </si>
  <si>
    <t>THALLUR</t>
  </si>
  <si>
    <t>THAMBALLAPALLE</t>
  </si>
  <si>
    <t>THANE   W</t>
  </si>
  <si>
    <t>THAVANAMPALLE</t>
  </si>
  <si>
    <t>THERLAM</t>
  </si>
  <si>
    <t>THONDANGI</t>
  </si>
  <si>
    <t>THONDUR</t>
  </si>
  <si>
    <t>THOTAPALLIGUDUR</t>
  </si>
  <si>
    <t>THOTLAVALLURU</t>
  </si>
  <si>
    <t>THROVAGUNTA</t>
  </si>
  <si>
    <t>THULLUR</t>
  </si>
  <si>
    <t>TIRUPATI</t>
  </si>
  <si>
    <t>TIRUPATI (RURAL)</t>
  </si>
  <si>
    <t>TIRUPATI (URBAN)</t>
  </si>
  <si>
    <t>TIRUVURU</t>
  </si>
  <si>
    <t>TRIPURANTHAKAM</t>
  </si>
  <si>
    <t>TSUNDUR</t>
  </si>
  <si>
    <t>TUGGALI</t>
  </si>
  <si>
    <t>UDAYAGIRI</t>
  </si>
  <si>
    <t>ULAVAPADU</t>
  </si>
  <si>
    <t>UNDI</t>
  </si>
  <si>
    <t>UNDRAJAVARAM</t>
  </si>
  <si>
    <t>UNGUTURU</t>
  </si>
  <si>
    <t>UYYALAWADA</t>
  </si>
  <si>
    <t>VADAMALAPETA</t>
  </si>
  <si>
    <t>VAJRAKARUR</t>
  </si>
  <si>
    <t>VAJRAPUKOTHURU</t>
  </si>
  <si>
    <t>VAKADU</t>
  </si>
  <si>
    <t>VALAPARLA</t>
  </si>
  <si>
    <t>VARADAIAHPALEM</t>
  </si>
  <si>
    <t>VARIKUNTAPADU</t>
  </si>
  <si>
    <t>VATSAVAI</t>
  </si>
  <si>
    <t>VATTICHERUKURU</t>
  </si>
  <si>
    <t>VAYALPAD</t>
  </si>
  <si>
    <t>VEDURUKUPPAM</t>
  </si>
  <si>
    <t>VEERABALLE</t>
  </si>
  <si>
    <t>VEERAGHATTAM</t>
  </si>
  <si>
    <t>VEERAPUNAYUNIPALLE</t>
  </si>
  <si>
    <t>VEERAVASARAM</t>
  </si>
  <si>
    <t>VEERULLAPADU</t>
  </si>
  <si>
    <t>VELDURTHI</t>
  </si>
  <si>
    <t>VELGODE</t>
  </si>
  <si>
    <t>VELIGANDLA</t>
  </si>
  <si>
    <t>VEMPALLE</t>
  </si>
  <si>
    <t>VEMULA</t>
  </si>
  <si>
    <t>VEMURU</t>
  </si>
  <si>
    <t>VENKATACHALAM</t>
  </si>
  <si>
    <t>VENKATAGIRI</t>
  </si>
  <si>
    <t>VENKATAGIRIKOTA</t>
  </si>
  <si>
    <t>VEPADA</t>
  </si>
  <si>
    <t>VEPAGUNTA</t>
  </si>
  <si>
    <t>VETAPALEM</t>
  </si>
  <si>
    <t>VIDAPANAKAL</t>
  </si>
  <si>
    <t>VIDAVALUR</t>
  </si>
  <si>
    <t>VIJAYAPURAM</t>
  </si>
  <si>
    <t>VIJAYAWADA</t>
  </si>
  <si>
    <t>VIJAYAWADA (RURAL)</t>
  </si>
  <si>
    <t>VINJAMUR</t>
  </si>
  <si>
    <t>VINUKONDA</t>
  </si>
  <si>
    <t>VISAKAPATNAM</t>
  </si>
  <si>
    <t>VISAKHAPATNAM</t>
  </si>
  <si>
    <t>VISSANNAPET</t>
  </si>
  <si>
    <t>VIZIANAGARAM</t>
  </si>
  <si>
    <t>VOLETIVARIPALEM</t>
  </si>
  <si>
    <t>VONTIMITTA</t>
  </si>
  <si>
    <t>VUYYURU</t>
  </si>
  <si>
    <t>WEST GODAVARI</t>
  </si>
  <si>
    <t>YADAMARRI</t>
  </si>
  <si>
    <t>YADIKI</t>
  </si>
  <si>
    <t>YELAMANCHILI</t>
  </si>
  <si>
    <t>YELESWARAM</t>
  </si>
  <si>
    <t>YELLANUR</t>
  </si>
  <si>
    <t>YEMMIGANUR</t>
  </si>
  <si>
    <t>YERPEDU</t>
  </si>
  <si>
    <t>YERRAGONDAPALEM</t>
  </si>
  <si>
    <t>YERRAGUNTLA</t>
  </si>
  <si>
    <t>YERUKALACHERUVU</t>
  </si>
  <si>
    <t>ZARUGUMILLI</t>
  </si>
  <si>
    <t>ARUNACHAL PRADESH</t>
  </si>
  <si>
    <t>ALONG CIRCLE</t>
  </si>
  <si>
    <t>ANINI CIRCLE</t>
  </si>
  <si>
    <t>BALEMU CIRCLE</t>
  </si>
  <si>
    <t>BALIJAN CIRCLE</t>
  </si>
  <si>
    <t>BASAR CIRCLE</t>
  </si>
  <si>
    <t>BHALUKPONG CIRCLE</t>
  </si>
  <si>
    <t>BORDUMSA CIRCLE</t>
  </si>
  <si>
    <t>CHANGLANG CIRCLE</t>
  </si>
  <si>
    <t>CHIMPU</t>
  </si>
  <si>
    <t>CHOWKHAM CIRCLE</t>
  </si>
  <si>
    <t>DIRANG CIRCLE</t>
  </si>
  <si>
    <t>DOIMUKH CIRCLE</t>
  </si>
  <si>
    <t>GEKU CIRCLE</t>
  </si>
  <si>
    <t>GENSI CIRCLE</t>
  </si>
  <si>
    <t>GIBA CIRCLE</t>
  </si>
  <si>
    <t>HAWAI CIRCLE</t>
  </si>
  <si>
    <t>HILL TOP</t>
  </si>
  <si>
    <t>ITANAGAR CIRCLE</t>
  </si>
  <si>
    <t>JAIRAMPUR CIRCLE</t>
  </si>
  <si>
    <t>KIMIN CIRCLE</t>
  </si>
  <si>
    <t>KORONU CIRCLE</t>
  </si>
  <si>
    <t>MEBO CIRCLE</t>
  </si>
  <si>
    <t>MIAO CIRCLE</t>
  </si>
  <si>
    <t>MUKTO</t>
  </si>
  <si>
    <t>NAFRA CIRCLE</t>
  </si>
  <si>
    <t>NAHARLAGUN CIRCLE</t>
  </si>
  <si>
    <t>NAMPONG CIRCLE</t>
  </si>
  <si>
    <t>NAMSAI CIRCLE</t>
  </si>
  <si>
    <t>PASIGHAT CIRCLE</t>
  </si>
  <si>
    <t>RUPA CIRCLE</t>
  </si>
  <si>
    <t>SEIJOSA CIRCLE</t>
  </si>
  <si>
    <t>SEPPA CIRCLE</t>
  </si>
  <si>
    <t>SINGCHUNG CIRCLE</t>
  </si>
  <si>
    <t>SUNPURA CIRCLE</t>
  </si>
  <si>
    <t>TAWANG CIRCLE</t>
  </si>
  <si>
    <t>TEZU CIRCLE</t>
  </si>
  <si>
    <t>TUTING</t>
  </si>
  <si>
    <t>VIJOYNAGAR CIRCLE</t>
  </si>
  <si>
    <t>YACHULI CIRCLE</t>
  </si>
  <si>
    <t>ZIRO CIRCLE</t>
  </si>
  <si>
    <t>ASSAM</t>
  </si>
  <si>
    <t>ABHAYAPURI</t>
  </si>
  <si>
    <t>AGAMONI</t>
  </si>
  <si>
    <t>AMGURI</t>
  </si>
  <si>
    <t>AMINGAON</t>
  </si>
  <si>
    <t>ANANDAPARA</t>
  </si>
  <si>
    <t>ASSAM AGRICULTURAL UNVER</t>
  </si>
  <si>
    <t>ATTERIKHAT</t>
  </si>
  <si>
    <t>BADARPUR</t>
  </si>
  <si>
    <t>BAGRIBARI</t>
  </si>
  <si>
    <t>BAJALI</t>
  </si>
  <si>
    <t>BALIJANA</t>
  </si>
  <si>
    <t>BAMUNBARI</t>
  </si>
  <si>
    <t>BARAMA</t>
  </si>
  <si>
    <t>BARBHAG</t>
  </si>
  <si>
    <t>BARKHETRI</t>
  </si>
  <si>
    <t>BARNAGAR</t>
  </si>
  <si>
    <t>BARPETA</t>
  </si>
  <si>
    <t>BASKA</t>
  </si>
  <si>
    <t>BAZARICHERRA</t>
  </si>
  <si>
    <t>BHAIRAVKUNDA</t>
  </si>
  <si>
    <t>BHURAGAON</t>
  </si>
  <si>
    <t>BIHAGURI</t>
  </si>
  <si>
    <t>BIHPURIA</t>
  </si>
  <si>
    <t>BIHUPURIA</t>
  </si>
  <si>
    <t>BIJNI</t>
  </si>
  <si>
    <t>BINDUKURI</t>
  </si>
  <si>
    <t>BINOVANAGAR</t>
  </si>
  <si>
    <t>BISWANATH</t>
  </si>
  <si>
    <t>BOITAMARI</t>
  </si>
  <si>
    <t>BOKAKHAT</t>
  </si>
  <si>
    <t>BOKO</t>
  </si>
  <si>
    <t>BONGAIGAON</t>
  </si>
  <si>
    <t>BORDOLONI</t>
  </si>
  <si>
    <t>BORGONG</t>
  </si>
  <si>
    <t>CACHAR</t>
  </si>
  <si>
    <t>CACHAR HILLS - NORTH</t>
  </si>
  <si>
    <t>CHABUA</t>
  </si>
  <si>
    <t>CHAMARIA</t>
  </si>
  <si>
    <t>CHANDRAPUR</t>
  </si>
  <si>
    <t>CHAPAR</t>
  </si>
  <si>
    <t>CHARIDUAR</t>
  </si>
  <si>
    <t>CHHAYGAON</t>
  </si>
  <si>
    <t>DALGAON</t>
  </si>
  <si>
    <t>DARRANG</t>
  </si>
  <si>
    <t>DEKARGAON</t>
  </si>
  <si>
    <t>DERGAON</t>
  </si>
  <si>
    <t>DHAKUAKHANA</t>
  </si>
  <si>
    <t>DHANBIL</t>
  </si>
  <si>
    <t>DHEKIAJULI</t>
  </si>
  <si>
    <t>DHEMAJI</t>
  </si>
  <si>
    <t>DHING</t>
  </si>
  <si>
    <t>DHUBRI</t>
  </si>
  <si>
    <t>DHUNAGURI</t>
  </si>
  <si>
    <t>DIBRUGARH</t>
  </si>
  <si>
    <t>DIBRUGARH EAST</t>
  </si>
  <si>
    <t>DIBRUGARH WEST</t>
  </si>
  <si>
    <t>DIMAKUCHI</t>
  </si>
  <si>
    <t>DIMOW</t>
  </si>
  <si>
    <t>DIPHU</t>
  </si>
  <si>
    <t>DONKA</t>
  </si>
  <si>
    <t>DOTOMA</t>
  </si>
  <si>
    <t>DUDHNAI</t>
  </si>
  <si>
    <t>GARCHUK</t>
  </si>
  <si>
    <t>GHOGRAPAR</t>
  </si>
  <si>
    <t>GLT</t>
  </si>
  <si>
    <t>GMC</t>
  </si>
  <si>
    <t>GOALPARA</t>
  </si>
  <si>
    <t>GOHPUR</t>
  </si>
  <si>
    <t>GOLAGHAT</t>
  </si>
  <si>
    <t>GOLI BANDHA</t>
  </si>
  <si>
    <t>GOLOKGANJ</t>
  </si>
  <si>
    <t>GOPINATH NAGAR</t>
  </si>
  <si>
    <t>GORESWAR</t>
  </si>
  <si>
    <t>GOSSAIGAON</t>
  </si>
  <si>
    <t>GOTANAGAR</t>
  </si>
  <si>
    <t>GUWAHATI</t>
  </si>
  <si>
    <t>HAILAKANDI</t>
  </si>
  <si>
    <t>HAJO</t>
  </si>
  <si>
    <t>HARISINGA</t>
  </si>
  <si>
    <t>HATIGAON</t>
  </si>
  <si>
    <t>HATIGARH</t>
  </si>
  <si>
    <t>HELEM</t>
  </si>
  <si>
    <t>HOJAI</t>
  </si>
  <si>
    <t>INDRAPUR</t>
  </si>
  <si>
    <t>JALAH</t>
  </si>
  <si>
    <t>JALAN NAGAR</t>
  </si>
  <si>
    <t>JONAI</t>
  </si>
  <si>
    <t>JORHAT</t>
  </si>
  <si>
    <t>JORHAT EAST</t>
  </si>
  <si>
    <t>JORHAT WEST</t>
  </si>
  <si>
    <t>KADAM</t>
  </si>
  <si>
    <t>KAGAJNAGAR</t>
  </si>
  <si>
    <t>KAHILIPARA</t>
  </si>
  <si>
    <t>KAKAJAN</t>
  </si>
  <si>
    <t>KALAIGAON</t>
  </si>
  <si>
    <t>KALGACHIA</t>
  </si>
  <si>
    <t>KALIABOR</t>
  </si>
  <si>
    <t>KAMAKHYA</t>
  </si>
  <si>
    <t>KAMALPUR</t>
  </si>
  <si>
    <t>KAMPUR</t>
  </si>
  <si>
    <t>KAMRUP</t>
  </si>
  <si>
    <t>KARIMGANJ</t>
  </si>
  <si>
    <t>KARSONTALA</t>
  </si>
  <si>
    <t>KATIGORA</t>
  </si>
  <si>
    <t>KHANAPARA</t>
  </si>
  <si>
    <t>KHARUPETIAGHAT</t>
  </si>
  <si>
    <t>KHELMATI</t>
  </si>
  <si>
    <t>KHOIRABARI</t>
  </si>
  <si>
    <t>KHOWANG</t>
  </si>
  <si>
    <t>KOKILABARI</t>
  </si>
  <si>
    <t>KOKRAJHAR</t>
  </si>
  <si>
    <t>KOPATI</t>
  </si>
  <si>
    <t>KUMARPARA</t>
  </si>
  <si>
    <t>LAKHIPUR</t>
  </si>
  <si>
    <t>LALPUL</t>
  </si>
  <si>
    <t>LANKA</t>
  </si>
  <si>
    <t>MACHKHOWA</t>
  </si>
  <si>
    <t>MAHMORA</t>
  </si>
  <si>
    <t>MAHUR</t>
  </si>
  <si>
    <t>MAIBONG</t>
  </si>
  <si>
    <t>MAINAGURI</t>
  </si>
  <si>
    <t>MAJBAT</t>
  </si>
  <si>
    <t>MAJULI</t>
  </si>
  <si>
    <t>MANGALDOI</t>
  </si>
  <si>
    <t>MANIKPUR</t>
  </si>
  <si>
    <t>MANKACHAR</t>
  </si>
  <si>
    <t>MARGHERITA</t>
  </si>
  <si>
    <t>MARIGAON</t>
  </si>
  <si>
    <t>MATIA</t>
  </si>
  <si>
    <t>MAZBAT</t>
  </si>
  <si>
    <t>MEHERPUR</t>
  </si>
  <si>
    <t>MORIGAON</t>
  </si>
  <si>
    <t>NA-DUAR</t>
  </si>
  <si>
    <t>NAGAON</t>
  </si>
  <si>
    <t>NAGARBERA</t>
  </si>
  <si>
    <t>NAHARKATIYA</t>
  </si>
  <si>
    <t>NALBARI</t>
  </si>
  <si>
    <t>NAOBAICHA</t>
  </si>
  <si>
    <t>NAOBOISA</t>
  </si>
  <si>
    <t>NARAYANPUR</t>
  </si>
  <si>
    <t>NAZIRA</t>
  </si>
  <si>
    <t>NILAMBAZAR</t>
  </si>
  <si>
    <t>NORTH GUWAHATI</t>
  </si>
  <si>
    <t>NORTH LAKHIMPUR</t>
  </si>
  <si>
    <t>PACHIM NALBARI</t>
  </si>
  <si>
    <t>PALASBARI</t>
  </si>
  <si>
    <t>PALONGHAT</t>
  </si>
  <si>
    <t>PANCHMILE</t>
  </si>
  <si>
    <t>PANERIHAT</t>
  </si>
  <si>
    <t>PATHARKANDI</t>
  </si>
  <si>
    <t>PATHARQUERRY</t>
  </si>
  <si>
    <t>PATHORIGHAT</t>
  </si>
  <si>
    <t>PHULONI</t>
  </si>
  <si>
    <t>RAHA</t>
  </si>
  <si>
    <t>RAMKRISHNA NAGAR</t>
  </si>
  <si>
    <t>RAMPUR</t>
  </si>
  <si>
    <t>RANGIA</t>
  </si>
  <si>
    <t>RANGJULI</t>
  </si>
  <si>
    <t>REHABARI</t>
  </si>
  <si>
    <t>ROWTA</t>
  </si>
  <si>
    <t>RUPAHI</t>
  </si>
  <si>
    <t>SAMAGURI</t>
  </si>
  <si>
    <t>SARTHEBARI</t>
  </si>
  <si>
    <t>SARUPETA</t>
  </si>
  <si>
    <t>SAUKUCHI</t>
  </si>
  <si>
    <t>SIBSAGAR</t>
  </si>
  <si>
    <t>SIDLI</t>
  </si>
  <si>
    <t>SILAPATHAR</t>
  </si>
  <si>
    <t>SILCHAR</t>
  </si>
  <si>
    <t>SILONIJAN</t>
  </si>
  <si>
    <t>SIPAJHAR</t>
  </si>
  <si>
    <t>SIRAJULI</t>
  </si>
  <si>
    <t>SISSIBARGAON</t>
  </si>
  <si>
    <t>SONAI</t>
  </si>
  <si>
    <t>SONAPUR</t>
  </si>
  <si>
    <t>SONARI</t>
  </si>
  <si>
    <t>SONITPUR</t>
  </si>
  <si>
    <t>SOUTH SALMARA</t>
  </si>
  <si>
    <t>SUBANSIRI</t>
  </si>
  <si>
    <t>TAMULPUR</t>
  </si>
  <si>
    <t>TANGLA</t>
  </si>
  <si>
    <t>TENGAKHAT</t>
  </si>
  <si>
    <t>TEOK</t>
  </si>
  <si>
    <t>TETENBARI</t>
  </si>
  <si>
    <t>TEZPUR</t>
  </si>
  <si>
    <t>THELAMARA</t>
  </si>
  <si>
    <t>TIHU</t>
  </si>
  <si>
    <t>TINGKHONG</t>
  </si>
  <si>
    <t>TINSUKIA</t>
  </si>
  <si>
    <t>TITABOR</t>
  </si>
  <si>
    <t>UDALGURI</t>
  </si>
  <si>
    <t>UDARBOND</t>
  </si>
  <si>
    <t>ULUBARI</t>
  </si>
  <si>
    <t>UMRANGSO</t>
  </si>
  <si>
    <t>VASUDEVANALLUR</t>
  </si>
  <si>
    <t>BIHAR</t>
  </si>
  <si>
    <t>18TH FLOOR, DR. RAJKUMAR ROAD</t>
  </si>
  <si>
    <t>6JT</t>
  </si>
  <si>
    <t>AHMEDABAD - 382210</t>
  </si>
  <si>
    <t>AKBARPUR</t>
  </si>
  <si>
    <t>AKORHI</t>
  </si>
  <si>
    <t>AMNOUR</t>
  </si>
  <si>
    <t>ANDAR</t>
  </si>
  <si>
    <t>ANDHRATHARHI</t>
  </si>
  <si>
    <t>ARARIA</t>
  </si>
  <si>
    <t>ARERAJ</t>
  </si>
  <si>
    <t>ARRAH</t>
  </si>
  <si>
    <t>ASARGANJ</t>
  </si>
  <si>
    <t>ASTHAWAN</t>
  </si>
  <si>
    <t>AT ANDAMP; PO-PORDA,</t>
  </si>
  <si>
    <t>ATHMALGOLA</t>
  </si>
  <si>
    <t>ATRI</t>
  </si>
  <si>
    <t>AURAI</t>
  </si>
  <si>
    <t>AURANGABAD</t>
  </si>
  <si>
    <t>AURANGABAD-431136</t>
  </si>
  <si>
    <t>BAIRGANIA</t>
  </si>
  <si>
    <t>BAJITPUR</t>
  </si>
  <si>
    <t>BAJPATTI</t>
  </si>
  <si>
    <t>BAKHTIARPUR</t>
  </si>
  <si>
    <t>BANDRA</t>
  </si>
  <si>
    <t>BANKA</t>
  </si>
  <si>
    <t>BANKATWA</t>
  </si>
  <si>
    <t>BARACHATTI</t>
  </si>
  <si>
    <t>BARAHAT</t>
  </si>
  <si>
    <t>BARAHIYA</t>
  </si>
  <si>
    <t>BARBIGHA</t>
  </si>
  <si>
    <t>BARH</t>
  </si>
  <si>
    <t>BARHAMPUR</t>
  </si>
  <si>
    <t>BARHAT</t>
  </si>
  <si>
    <t>BARUN</t>
  </si>
  <si>
    <t>BASANTPUR</t>
  </si>
  <si>
    <t>BASISTHA,</t>
  </si>
  <si>
    <t>BATHNAHA</t>
  </si>
  <si>
    <t>BAUSI</t>
  </si>
  <si>
    <t>BEGUSARAI</t>
  </si>
  <si>
    <t>BEHEA</t>
  </si>
  <si>
    <t>BELAGANJ</t>
  </si>
  <si>
    <t>BELSAND</t>
  </si>
  <si>
    <t>BEN</t>
  </si>
  <si>
    <t>BENIPATTI</t>
  </si>
  <si>
    <t>BENIPUR</t>
  </si>
  <si>
    <t>BETTIAH</t>
  </si>
  <si>
    <t>BHABUA</t>
  </si>
  <si>
    <t>BHAGALPUR</t>
  </si>
  <si>
    <t>BHAGWANPUR</t>
  </si>
  <si>
    <t>BHAGWANPUR HAT</t>
  </si>
  <si>
    <t>BHAJAPARA</t>
  </si>
  <si>
    <t>BHARMAGARH</t>
  </si>
  <si>
    <t>BHOPAL MP-</t>
  </si>
  <si>
    <t>BIBHUTPUR</t>
  </si>
  <si>
    <t>BIDUPUR</t>
  </si>
  <si>
    <t>BIHARSHARIF</t>
  </si>
  <si>
    <t>BIHPUR</t>
  </si>
  <si>
    <t>BIHTA</t>
  </si>
  <si>
    <t>BIKRAMGANJ</t>
  </si>
  <si>
    <t>BIRAUL</t>
  </si>
  <si>
    <t>BOCHAHA</t>
  </si>
  <si>
    <t>BODH GAYA</t>
  </si>
  <si>
    <t>BOKHARA</t>
  </si>
  <si>
    <t>BUXAR</t>
  </si>
  <si>
    <t>CANACONA,</t>
  </si>
  <si>
    <t>CHAKAI</t>
  </si>
  <si>
    <t>CHAKIA</t>
  </si>
  <si>
    <t>CHAKKI</t>
  </si>
  <si>
    <t>CHAND</t>
  </si>
  <si>
    <t>CHANDI</t>
  </si>
  <si>
    <t>CHAPRA</t>
  </si>
  <si>
    <t>CHARKHI DADRI</t>
  </si>
  <si>
    <t>CHAUSA</t>
  </si>
  <si>
    <t>CHEHRA KALAN</t>
  </si>
  <si>
    <t>CHEWARA</t>
  </si>
  <si>
    <t>CHHATAPUR</t>
  </si>
  <si>
    <t>CHIRAIA</t>
  </si>
  <si>
    <t>CITY-1 GURGAON</t>
  </si>
  <si>
    <t>COLGONG</t>
  </si>
  <si>
    <t>COUNTRY, SECTOR ƒ?? 50,</t>
  </si>
  <si>
    <t>COURT F-32</t>
  </si>
  <si>
    <t>DANAPUR</t>
  </si>
  <si>
    <t>DARBHANGA</t>
  </si>
  <si>
    <t>DARIAPUR</t>
  </si>
  <si>
    <t>DAUDNAGAR</t>
  </si>
  <si>
    <t>DAWATH</t>
  </si>
  <si>
    <t>DEHRI</t>
  </si>
  <si>
    <t>DEHRI ON SONE</t>
  </si>
  <si>
    <t>DEO</t>
  </si>
  <si>
    <t>DEONAR MUMBAI</t>
  </si>
  <si>
    <t>DHAKA</t>
  </si>
  <si>
    <t>DHAMDAHA</t>
  </si>
  <si>
    <t>DHARHARA</t>
  </si>
  <si>
    <t>DIGHWARA</t>
  </si>
  <si>
    <t>DINAPUR-CUM-KHAGAUL</t>
  </si>
  <si>
    <t>DISTT HOSHIAPUR</t>
  </si>
  <si>
    <t>DULHIN BAZAR</t>
  </si>
  <si>
    <t>DUMRA</t>
  </si>
  <si>
    <t>DUMRAON</t>
  </si>
  <si>
    <t>EKANGARSARAI</t>
  </si>
  <si>
    <t>EKMA</t>
  </si>
  <si>
    <t>FATEHPUR</t>
  </si>
  <si>
    <t>FATHEGANJ,</t>
  </si>
  <si>
    <t>FATWAH</t>
  </si>
  <si>
    <t>GADILA VISAKHAPATNAM ANDRA</t>
  </si>
  <si>
    <t>GARKHA</t>
  </si>
  <si>
    <t>GAYA</t>
  </si>
  <si>
    <t>GAYA TOWN CD BLOCK</t>
  </si>
  <si>
    <t>GHAZIABAD UTTARPRADESH</t>
  </si>
  <si>
    <t>GHOSWARI</t>
  </si>
  <si>
    <t>GIRIAK</t>
  </si>
  <si>
    <t>GOBINDPUR</t>
  </si>
  <si>
    <t>GOH</t>
  </si>
  <si>
    <t>GOMOH</t>
  </si>
  <si>
    <t>GOPALGANJ</t>
  </si>
  <si>
    <t>GORADIH</t>
  </si>
  <si>
    <t>GORAUL</t>
  </si>
  <si>
    <t>GURARU</t>
  </si>
  <si>
    <t>GURGAON HARYAN,</t>
  </si>
  <si>
    <t>GURUA</t>
  </si>
  <si>
    <t>GYASA NAGAR</t>
  </si>
  <si>
    <t>HAJIPUR</t>
  </si>
  <si>
    <t>HARNAUT</t>
  </si>
  <si>
    <t>HASPURA</t>
  </si>
  <si>
    <t>HILSA</t>
  </si>
  <si>
    <t>HULASGANJ</t>
  </si>
  <si>
    <t>IMAMGANJ</t>
  </si>
  <si>
    <t>INDUSTRIAL AREA, JIGANI HOBLI,</t>
  </si>
  <si>
    <t>ISHUPUR</t>
  </si>
  <si>
    <t>ISMAILPUR</t>
  </si>
  <si>
    <t>ITARHI</t>
  </si>
  <si>
    <t>JAGDISHPUR</t>
  </si>
  <si>
    <t>JAIGAON</t>
  </si>
  <si>
    <t>JAINAGAR</t>
  </si>
  <si>
    <t>JALALPUR</t>
  </si>
  <si>
    <t>JAMALPUR</t>
  </si>
  <si>
    <t>JAMUI</t>
  </si>
  <si>
    <t>JANDAHA</t>
  </si>
  <si>
    <t>JAYNAGAR</t>
  </si>
  <si>
    <t>JEHANABAD</t>
  </si>
  <si>
    <t>JHANDAHA</t>
  </si>
  <si>
    <t>JHANJHARPUR</t>
  </si>
  <si>
    <t>KAHALGAON</t>
  </si>
  <si>
    <t>KAHARA</t>
  </si>
  <si>
    <t>KALER</t>
  </si>
  <si>
    <t>KALYANPUR</t>
  </si>
  <si>
    <t>KAMBAM</t>
  </si>
  <si>
    <t>KANTI</t>
  </si>
  <si>
    <t>KAPURTHALA, PUNJAB</t>
  </si>
  <si>
    <t>KARAKAT</t>
  </si>
  <si>
    <t>KARGAHAR</t>
  </si>
  <si>
    <t>KARPI</t>
  </si>
  <si>
    <t>KATIHAR</t>
  </si>
  <si>
    <t>KATORIA</t>
  </si>
  <si>
    <t>KATRA</t>
  </si>
  <si>
    <t>KAWAKOL</t>
  </si>
  <si>
    <t>KESARIA</t>
  </si>
  <si>
    <t>KESATH</t>
  </si>
  <si>
    <t>KHAGARIA</t>
  </si>
  <si>
    <t>KHAIRA</t>
  </si>
  <si>
    <t>KHAIRANE NAVI MUMBAI</t>
  </si>
  <si>
    <t>KHARIK</t>
  </si>
  <si>
    <t>KHUSRUPUR</t>
  </si>
  <si>
    <t>KISHANGANJ</t>
  </si>
  <si>
    <t>KISHANPUR</t>
  </si>
  <si>
    <t>KOCHAS</t>
  </si>
  <si>
    <t>KONCH</t>
  </si>
  <si>
    <t>KUDRA</t>
  </si>
  <si>
    <t>KUMARKHAND</t>
  </si>
  <si>
    <t>KURHANI</t>
  </si>
  <si>
    <t>KUTUMBA</t>
  </si>
  <si>
    <t>LAHLADPUR</t>
  </si>
  <si>
    <t>LAKHISARAI</t>
  </si>
  <si>
    <t>LAKSHMIPUR</t>
  </si>
  <si>
    <t>LALGANJ</t>
  </si>
  <si>
    <t>LAUKAHA</t>
  </si>
  <si>
    <t>LAUKAHI</t>
  </si>
  <si>
    <t>M. GANJ</t>
  </si>
  <si>
    <t>MADANPUR</t>
  </si>
  <si>
    <t>MADHEPURA</t>
  </si>
  <si>
    <t>MADHUBANI</t>
  </si>
  <si>
    <t>MAHISHI</t>
  </si>
  <si>
    <t>MAHNAR</t>
  </si>
  <si>
    <t>MAJIWADA,</t>
  </si>
  <si>
    <t>MAKER</t>
  </si>
  <si>
    <t>MANER</t>
  </si>
  <si>
    <t>MANJHI</t>
  </si>
  <si>
    <t>MARHAURA</t>
  </si>
  <si>
    <t>MARWAN</t>
  </si>
  <si>
    <t>MASAURHI</t>
  </si>
  <si>
    <t>MASHRAKH</t>
  </si>
  <si>
    <t>MESKAUR</t>
  </si>
  <si>
    <t>MINAPUR</t>
  </si>
  <si>
    <t>MOHANIA</t>
  </si>
  <si>
    <t>MOKAMA</t>
  </si>
  <si>
    <t>MOTIHARI</t>
  </si>
  <si>
    <t>MOTIPUR</t>
  </si>
  <si>
    <t>MURLIGANJ</t>
  </si>
  <si>
    <t>MUSHAHARI</t>
  </si>
  <si>
    <t>MUZAFFARPUR</t>
  </si>
  <si>
    <t>NABINAGAR</t>
  </si>
  <si>
    <t>NAGAR NAUSA</t>
  </si>
  <si>
    <t>NAGAR,GURGAON</t>
  </si>
  <si>
    <t>NALANDA</t>
  </si>
  <si>
    <t>NANPUR</t>
  </si>
  <si>
    <t>NARDIGANJ</t>
  </si>
  <si>
    <t>NASRIGANJ</t>
  </si>
  <si>
    <t>NATHNAGAR</t>
  </si>
  <si>
    <t>NAUBATPUR</t>
  </si>
  <si>
    <t>NAWADA</t>
  </si>
  <si>
    <t>NAWANAGAR</t>
  </si>
  <si>
    <t>NEW VIJAY NAGAR</t>
  </si>
  <si>
    <t>NEXT TO ANDHERI SPORTS COMPLEX</t>
  </si>
  <si>
    <t>NIRMALI</t>
  </si>
  <si>
    <t>NIRNAYNAGAR</t>
  </si>
  <si>
    <t>NR. DLF GOLF COURSE</t>
  </si>
  <si>
    <t>OBRA</t>
  </si>
  <si>
    <t>PAKRI DAYAL</t>
  </si>
  <si>
    <t>PAKRIBARAWAN</t>
  </si>
  <si>
    <t>PALIGANJ</t>
  </si>
  <si>
    <t>PANDAAK</t>
  </si>
  <si>
    <t>PANDARAK</t>
  </si>
  <si>
    <t>PANHGACHIA</t>
  </si>
  <si>
    <t>PARAIYA</t>
  </si>
  <si>
    <t>PARBATTA</t>
  </si>
  <si>
    <t>PARIHAR</t>
  </si>
  <si>
    <t>PAROO</t>
  </si>
  <si>
    <t>PARSAUNI</t>
  </si>
  <si>
    <t>PATARGHAT</t>
  </si>
  <si>
    <t>PATEPUR</t>
  </si>
  <si>
    <t>PATNA</t>
  </si>
  <si>
    <t>PATNA SADAR</t>
  </si>
  <si>
    <t>PHATAK JAIPUR RAJASTHAN</t>
  </si>
  <si>
    <t>PHULPARAS</t>
  </si>
  <si>
    <t>PHULWARI</t>
  </si>
  <si>
    <t>PILKHUWA</t>
  </si>
  <si>
    <t>PIRO</t>
  </si>
  <si>
    <t>PIRPAINTI</t>
  </si>
  <si>
    <t>PIRU</t>
  </si>
  <si>
    <t>PO DHAKRIA, 31</t>
  </si>
  <si>
    <t>PRAKASAM DIST (AP)</t>
  </si>
  <si>
    <t>PRATAPGANJ</t>
  </si>
  <si>
    <t>PRATAPNAGAR</t>
  </si>
  <si>
    <t>PUMP HOUSE , ANDHERI E</t>
  </si>
  <si>
    <t>PUPRI</t>
  </si>
  <si>
    <t>PURNEA</t>
  </si>
  <si>
    <t>RAFIGANJ</t>
  </si>
  <si>
    <t>RAGHOPUR</t>
  </si>
  <si>
    <t>RAHUI</t>
  </si>
  <si>
    <t>RAJAULI</t>
  </si>
  <si>
    <t>RAJAUN</t>
  </si>
  <si>
    <t>RAJGIR</t>
  </si>
  <si>
    <t>RAJPUR</t>
  </si>
  <si>
    <t>RAKKIPATTI</t>
  </si>
  <si>
    <t>RAMNAGAR</t>
  </si>
  <si>
    <t>RAMPUR,INDIA</t>
  </si>
  <si>
    <t>RANIGANJ</t>
  </si>
  <si>
    <t>RATNI FARIDPUR</t>
  </si>
  <si>
    <t>RAXAUL</t>
  </si>
  <si>
    <t>REVELGANJ</t>
  </si>
  <si>
    <t>RIGA</t>
  </si>
  <si>
    <t>ROAD JALANDHAR</t>
  </si>
  <si>
    <t>ROAD VATTIYOORKAVU TRIVANDRUM</t>
  </si>
  <si>
    <t>ROH</t>
  </si>
  <si>
    <t>ROHTAS</t>
  </si>
  <si>
    <t>RUNISAIDPUR</t>
  </si>
  <si>
    <t>RUNNISAIDPUR</t>
  </si>
  <si>
    <t>S V PATEL ROAD</t>
  </si>
  <si>
    <t>SAHEBGANJ</t>
  </si>
  <si>
    <t>SAKRA</t>
  </si>
  <si>
    <t>SALKHUA</t>
  </si>
  <si>
    <t>SAMASTIPUR</t>
  </si>
  <si>
    <t>SAMPATCHAK</t>
  </si>
  <si>
    <t>SANGRAMPUR</t>
  </si>
  <si>
    <t>SANGRAMPUR(CHAMPARAN)</t>
  </si>
  <si>
    <t>SANKARANAKOVIL</t>
  </si>
  <si>
    <t>SARAI ,DELHI</t>
  </si>
  <si>
    <t>SARAIYA</t>
  </si>
  <si>
    <t>SARITA VIHAR, NEW DELHI</t>
  </si>
  <si>
    <t>SARMERA</t>
  </si>
  <si>
    <t>SASARAM</t>
  </si>
  <si>
    <t>SAUR BAZAR</t>
  </si>
  <si>
    <t>SECONDARY SCHOOL</t>
  </si>
  <si>
    <t>SECTOR - 50 NOIDA</t>
  </si>
  <si>
    <t>SECTOR 45 GURGAON</t>
  </si>
  <si>
    <t>SECTOR-40</t>
  </si>
  <si>
    <t>SFRSDF</t>
  </si>
  <si>
    <t>SHAHPUR</t>
  </si>
  <si>
    <t>SHEIKHPURA</t>
  </si>
  <si>
    <t>SHEOHAR</t>
  </si>
  <si>
    <t>SHEOSAGAR</t>
  </si>
  <si>
    <t>SHERGHATI</t>
  </si>
  <si>
    <t>SIKANDRA</t>
  </si>
  <si>
    <t>SILAO</t>
  </si>
  <si>
    <t>SIMRI</t>
  </si>
  <si>
    <t>SIMRI BAKHTIARPUR</t>
  </si>
  <si>
    <t>SINGHESHWAR</t>
  </si>
  <si>
    <t>SIRDALA</t>
  </si>
  <si>
    <t>SISWAN</t>
  </si>
  <si>
    <t>SIWAN</t>
  </si>
  <si>
    <t>SONBARSA</t>
  </si>
  <si>
    <t>SONBERSA</t>
  </si>
  <si>
    <t>SONEPUR</t>
  </si>
  <si>
    <t>SONO</t>
  </si>
  <si>
    <t>SULTANGANJ</t>
  </si>
  <si>
    <t>SUNCITY, INDIRAPURAM</t>
  </si>
  <si>
    <t>SUPAUL</t>
  </si>
  <si>
    <t>SURAJGARHA</t>
  </si>
  <si>
    <t>SURSAND</t>
  </si>
  <si>
    <t>TEHSIL BATAL</t>
  </si>
  <si>
    <t>THANJAVAR</t>
  </si>
  <si>
    <t>THARTHARI</t>
  </si>
  <si>
    <t>THODUPUZHA,</t>
  </si>
  <si>
    <t>TILOUTHU</t>
  </si>
  <si>
    <t>TOKERSI JIVRAJ RAOD,</t>
  </si>
  <si>
    <t>TOWER,SAI BABA NAGAR,MIRA</t>
  </si>
  <si>
    <t>TX 76134</t>
  </si>
  <si>
    <t>UDWANT NAGAR</t>
  </si>
  <si>
    <t>VAISHALI</t>
  </si>
  <si>
    <t>VIHAR, SEC-52</t>
  </si>
  <si>
    <t>VIKAS COLONY ƒ??ƒ??</t>
  </si>
  <si>
    <t>VILEPARLE - WEST</t>
  </si>
  <si>
    <t>WADI VASCO DA GAMA GOA</t>
  </si>
  <si>
    <t>WAKAD, PUNE</t>
  </si>
  <si>
    <t>WARISALIGANJ</t>
  </si>
  <si>
    <t>WAZIRGANJ</t>
  </si>
  <si>
    <t>CHANDIGARH</t>
  </si>
  <si>
    <t>Bangalore_Delhi_Mumbai</t>
  </si>
  <si>
    <t>ROPAR</t>
  </si>
  <si>
    <t>CHHATTISGARH</t>
  </si>
  <si>
    <t>RAIGARH</t>
  </si>
  <si>
    <t>ABHANPUR</t>
  </si>
  <si>
    <t>AMBAGARH</t>
  </si>
  <si>
    <t>AMBIKAPUR</t>
  </si>
  <si>
    <t>ANTAGARH</t>
  </si>
  <si>
    <t>ARANG</t>
  </si>
  <si>
    <t>BAGICHA</t>
  </si>
  <si>
    <t>BALOD</t>
  </si>
  <si>
    <t>BALODA BAZAR</t>
  </si>
  <si>
    <t>BALOOD</t>
  </si>
  <si>
    <t>BASNA</t>
  </si>
  <si>
    <t>BASTAR</t>
  </si>
  <si>
    <t>BEMETARA</t>
  </si>
  <si>
    <t>BEMETRA</t>
  </si>
  <si>
    <t>BERLA</t>
  </si>
  <si>
    <t>BHANUPRATAPPUR</t>
  </si>
  <si>
    <t>BHARATPUR</t>
  </si>
  <si>
    <t>BHATAPARA</t>
  </si>
  <si>
    <t>BHILAI</t>
  </si>
  <si>
    <t>BHOPAL PATTANAM</t>
  </si>
  <si>
    <t>BILASPUR</t>
  </si>
  <si>
    <t>BINDRANAWAGARH</t>
  </si>
  <si>
    <t>CHAMPA</t>
  </si>
  <si>
    <t>CHARAMA</t>
  </si>
  <si>
    <t>CHHUIKHADAN</t>
  </si>
  <si>
    <t>CHLAIGARH</t>
  </si>
  <si>
    <t>DABHARA</t>
  </si>
  <si>
    <t>DEOBHOG</t>
  </si>
  <si>
    <t>DHAMDHA</t>
  </si>
  <si>
    <t>DHAMTARI</t>
  </si>
  <si>
    <t>DONDILUHARA</t>
  </si>
  <si>
    <t>DONGARGAON</t>
  </si>
  <si>
    <t>DONGARGARH</t>
  </si>
  <si>
    <t>DURG</t>
  </si>
  <si>
    <t>GAMHARIA</t>
  </si>
  <si>
    <t>GARIABAND</t>
  </si>
  <si>
    <t>GHARGHODA</t>
  </si>
  <si>
    <t>GIZA EGYPT</t>
  </si>
  <si>
    <t>GUNDERDEHI</t>
  </si>
  <si>
    <t>GURUR</t>
  </si>
  <si>
    <t>JAGDALPUR</t>
  </si>
  <si>
    <t>JAIJAIPUR</t>
  </si>
  <si>
    <t>JANJGIR</t>
  </si>
  <si>
    <t>JASHPURNAGAR</t>
  </si>
  <si>
    <t>JHAGRAKHAND COLLY</t>
  </si>
  <si>
    <t>KANKER</t>
  </si>
  <si>
    <t>KARGI ROAD</t>
  </si>
  <si>
    <t>KASDOL</t>
  </si>
  <si>
    <t>KATGHORA</t>
  </si>
  <si>
    <t>KAWARDHA</t>
  </si>
  <si>
    <t>KESHKAL</t>
  </si>
  <si>
    <t>KHAIRAGARH</t>
  </si>
  <si>
    <t>KHARSIA</t>
  </si>
  <si>
    <t>KONDAGAON</t>
  </si>
  <si>
    <t>KONTA</t>
  </si>
  <si>
    <t>KORBA COLLIERY</t>
  </si>
  <si>
    <t>KORIYA</t>
  </si>
  <si>
    <t>KUNKURI</t>
  </si>
  <si>
    <t>KURUD</t>
  </si>
  <si>
    <t>LAILUNGA</t>
  </si>
  <si>
    <t>LAKHANPURI</t>
  </si>
  <si>
    <t>LORMI</t>
  </si>
  <si>
    <t>LUNDRA</t>
  </si>
  <si>
    <t>MAHASAMUND</t>
  </si>
  <si>
    <t>MAINPUR</t>
  </si>
  <si>
    <t>MANDLA</t>
  </si>
  <si>
    <t>MANPUR</t>
  </si>
  <si>
    <t>MASTURI</t>
  </si>
  <si>
    <t>MOHLA</t>
  </si>
  <si>
    <t>MUNGELI</t>
  </si>
  <si>
    <t>NARHARPUR</t>
  </si>
  <si>
    <t>NAWAGARH</t>
  </si>
  <si>
    <t>PAKHANJOR</t>
  </si>
  <si>
    <t>PAKHANJUR</t>
  </si>
  <si>
    <t>PAL</t>
  </si>
  <si>
    <t>PALARI</t>
  </si>
  <si>
    <t>PAMGARH</t>
  </si>
  <si>
    <t>PANDARIYA</t>
  </si>
  <si>
    <t>PATHALGAON</t>
  </si>
  <si>
    <t>PENDRAROAD</t>
  </si>
  <si>
    <t>PRATAPPUR</t>
  </si>
  <si>
    <t>RAIPUR</t>
  </si>
  <si>
    <t>RAIPUR HO</t>
  </si>
  <si>
    <t>RAJIM</t>
  </si>
  <si>
    <t>RAJNANDGAON</t>
  </si>
  <si>
    <t>SAJA</t>
  </si>
  <si>
    <t>SAKTI</t>
  </si>
  <si>
    <t>SAMARI</t>
  </si>
  <si>
    <t>SARANGARH</t>
  </si>
  <si>
    <t>SIDHI</t>
  </si>
  <si>
    <t>SURAJPUR</t>
  </si>
  <si>
    <t>SURGUJA</t>
  </si>
  <si>
    <t>TAKHATPUR</t>
  </si>
  <si>
    <t>TILDA</t>
  </si>
  <si>
    <t>UDAIPUR</t>
  </si>
  <si>
    <t>WADRAFNAGAR</t>
  </si>
  <si>
    <t>DADRA AND NAGAR HAVELI</t>
  </si>
  <si>
    <t>DAMAN AND DIU</t>
  </si>
  <si>
    <t>DAMAN</t>
  </si>
  <si>
    <t>DIU</t>
  </si>
  <si>
    <t>DELHI</t>
  </si>
  <si>
    <t>NEW  DELHI</t>
  </si>
  <si>
    <t>NEW DELHI</t>
  </si>
  <si>
    <t>SHAHADRA</t>
  </si>
  <si>
    <t>GOA</t>
  </si>
  <si>
    <t>BARDEZ</t>
  </si>
  <si>
    <t>BICHOLIM</t>
  </si>
  <si>
    <t>CALANGUTE</t>
  </si>
  <si>
    <t>CANACONA</t>
  </si>
  <si>
    <t>CARANZALEM</t>
  </si>
  <si>
    <t>MORMUGAO</t>
  </si>
  <si>
    <t>NORTH GOA</t>
  </si>
  <si>
    <t>PERNEM</t>
  </si>
  <si>
    <t>PONDA</t>
  </si>
  <si>
    <t>QUEPEM</t>
  </si>
  <si>
    <t>SALCETE</t>
  </si>
  <si>
    <t>SANGUEM</t>
  </si>
  <si>
    <t>SATARI</t>
  </si>
  <si>
    <t>SOUTH GOA</t>
  </si>
  <si>
    <t>TISWADI</t>
  </si>
  <si>
    <t>GUJARAT</t>
  </si>
  <si>
    <t>ABDASA</t>
  </si>
  <si>
    <t>AHMEDABAD</t>
  </si>
  <si>
    <t>AMIRGADH</t>
  </si>
  <si>
    <t>AMOD</t>
  </si>
  <si>
    <t>AMRELI</t>
  </si>
  <si>
    <t>ANAND</t>
  </si>
  <si>
    <t>ANJAR</t>
  </si>
  <si>
    <t>ANKLAV</t>
  </si>
  <si>
    <t>ANKLESVAR</t>
  </si>
  <si>
    <t>BABRA</t>
  </si>
  <si>
    <t>BAGASARA</t>
  </si>
  <si>
    <t>BALASINOR</t>
  </si>
  <si>
    <t>BANSDA</t>
  </si>
  <si>
    <t>BARDOLI</t>
  </si>
  <si>
    <t>BARWALA</t>
  </si>
  <si>
    <t>BAVLA</t>
  </si>
  <si>
    <t>BAYAD</t>
  </si>
  <si>
    <t>BECHARAJI</t>
  </si>
  <si>
    <t>BHABHAR</t>
  </si>
  <si>
    <t>BHACHAU</t>
  </si>
  <si>
    <t>BHANVAD</t>
  </si>
  <si>
    <t>BHARUCH</t>
  </si>
  <si>
    <t>BHARUCH H O</t>
  </si>
  <si>
    <t>BHAVNAGAR</t>
  </si>
  <si>
    <t>BHESAN</t>
  </si>
  <si>
    <t>BHILODA</t>
  </si>
  <si>
    <t>BHUJ</t>
  </si>
  <si>
    <t>BORSAD</t>
  </si>
  <si>
    <t>BOTAD</t>
  </si>
  <si>
    <t>CHANASMA</t>
  </si>
  <si>
    <t>CHHOTA UDAIPUR</t>
  </si>
  <si>
    <t>CHHOTAUDEPUR</t>
  </si>
  <si>
    <t>CHIKHLI</t>
  </si>
  <si>
    <t>CHORASI</t>
  </si>
  <si>
    <t>CHORYASI</t>
  </si>
  <si>
    <t>CHOTILA</t>
  </si>
  <si>
    <t>DABHOI</t>
  </si>
  <si>
    <t>DANTA</t>
  </si>
  <si>
    <t>DANTIWADA</t>
  </si>
  <si>
    <t>DASADA</t>
  </si>
  <si>
    <t>DASKROI</t>
  </si>
  <si>
    <t>DEDIAPADA</t>
  </si>
  <si>
    <t>DEESA</t>
  </si>
  <si>
    <t>DEHGAM</t>
  </si>
  <si>
    <t>DEODAR</t>
  </si>
  <si>
    <t>DEROL</t>
  </si>
  <si>
    <t>DETROJ-RAMPURA</t>
  </si>
  <si>
    <t>DEVGADBARIA</t>
  </si>
  <si>
    <t>DHANDHUKA</t>
  </si>
  <si>
    <t>DHANERA</t>
  </si>
  <si>
    <t>DHANPUR</t>
  </si>
  <si>
    <t>DHANSURA</t>
  </si>
  <si>
    <t>DHARAMPUR</t>
  </si>
  <si>
    <t>DHARI</t>
  </si>
  <si>
    <t>DHOLKA</t>
  </si>
  <si>
    <t>DHORAJI</t>
  </si>
  <si>
    <t>DHRANGADHRA</t>
  </si>
  <si>
    <t>DHROL</t>
  </si>
  <si>
    <t>DOHAD</t>
  </si>
  <si>
    <t>FARTILIZER NAGAR</t>
  </si>
  <si>
    <t>FATEPURA</t>
  </si>
  <si>
    <t>GADHADA</t>
  </si>
  <si>
    <t>GANDEVI</t>
  </si>
  <si>
    <t>GANDHIDHAM</t>
  </si>
  <si>
    <t>GANDHINAGAR</t>
  </si>
  <si>
    <t>GARBADA</t>
  </si>
  <si>
    <t>GARIYADHAR</t>
  </si>
  <si>
    <t>GHOGHA</t>
  </si>
  <si>
    <t>GHOGHAMBA</t>
  </si>
  <si>
    <t>GODHRA</t>
  </si>
  <si>
    <t>GONDAL</t>
  </si>
  <si>
    <t>HALOL</t>
  </si>
  <si>
    <t>HALVAD</t>
  </si>
  <si>
    <t>HANSOT</t>
  </si>
  <si>
    <t>HARIJ</t>
  </si>
  <si>
    <t>HIMATNAGAR</t>
  </si>
  <si>
    <t>IDAR</t>
  </si>
  <si>
    <t>JAFRABAD</t>
  </si>
  <si>
    <t>JALALPORE</t>
  </si>
  <si>
    <t>JAMBUGHODA</t>
  </si>
  <si>
    <t>JAMBUSAR</t>
  </si>
  <si>
    <t>JAMJODHPUR</t>
  </si>
  <si>
    <t>JAMKANDORNA</t>
  </si>
  <si>
    <t>JAMNAGAR</t>
  </si>
  <si>
    <t>JASDAN</t>
  </si>
  <si>
    <t>JETPUR</t>
  </si>
  <si>
    <t>JETPUR PAVI</t>
  </si>
  <si>
    <t>JHAGADIA</t>
  </si>
  <si>
    <t>JHALOD</t>
  </si>
  <si>
    <t>JODIA</t>
  </si>
  <si>
    <t>JODIYA</t>
  </si>
  <si>
    <t>JUNAGADH</t>
  </si>
  <si>
    <t>KACHCHH</t>
  </si>
  <si>
    <t>KADANA</t>
  </si>
  <si>
    <t>KADI</t>
  </si>
  <si>
    <t>KALAVAD</t>
  </si>
  <si>
    <t>KALOL</t>
  </si>
  <si>
    <t>KAMREJ</t>
  </si>
  <si>
    <t>KANKREJ</t>
  </si>
  <si>
    <t>KAPADVANJ</t>
  </si>
  <si>
    <t>KAPRADA</t>
  </si>
  <si>
    <t>KARJAN</t>
  </si>
  <si>
    <t>KATHLAL</t>
  </si>
  <si>
    <t>KAVANT</t>
  </si>
  <si>
    <t>KESHOD</t>
  </si>
  <si>
    <t>KHAMBHA</t>
  </si>
  <si>
    <t>KHAMBHALIA</t>
  </si>
  <si>
    <t>KHAMBHAT</t>
  </si>
  <si>
    <t>KHANPUR</t>
  </si>
  <si>
    <t>KHEDA</t>
  </si>
  <si>
    <t>KHEDBRAHMA</t>
  </si>
  <si>
    <t>KHERALU</t>
  </si>
  <si>
    <t>KODINAR</t>
  </si>
  <si>
    <t>KOTDA SANGANI</t>
  </si>
  <si>
    <t>KUNKAVAV VADIA</t>
  </si>
  <si>
    <t>KUTCH</t>
  </si>
  <si>
    <t>KUTIYANA</t>
  </si>
  <si>
    <t>LAKHPAT</t>
  </si>
  <si>
    <t>LAKHTAR</t>
  </si>
  <si>
    <t>LALPUR</t>
  </si>
  <si>
    <t>LATHI</t>
  </si>
  <si>
    <t>LILIA</t>
  </si>
  <si>
    <t>LIMBDI</t>
  </si>
  <si>
    <t>LIMKHEDA</t>
  </si>
  <si>
    <t>LODHIKA</t>
  </si>
  <si>
    <t>LUNAWADA</t>
  </si>
  <si>
    <t>MAHESANA</t>
  </si>
  <si>
    <t>MAHUDHA</t>
  </si>
  <si>
    <t>MAHUVA</t>
  </si>
  <si>
    <t>MALIA</t>
  </si>
  <si>
    <t>MALIYA</t>
  </si>
  <si>
    <t>MALPUR</t>
  </si>
  <si>
    <t>MANAVADAR</t>
  </si>
  <si>
    <t>MANDAL</t>
  </si>
  <si>
    <t>MANDVI</t>
  </si>
  <si>
    <t>MANGROL</t>
  </si>
  <si>
    <t>MANSA</t>
  </si>
  <si>
    <t>MATAR</t>
  </si>
  <si>
    <t>MEGHRAJ</t>
  </si>
  <si>
    <t>MEHMEDABAD</t>
  </si>
  <si>
    <t>MENDARDA</t>
  </si>
  <si>
    <t>MODASA</t>
  </si>
  <si>
    <t>MORBI</t>
  </si>
  <si>
    <t>MORWA HADAF</t>
  </si>
  <si>
    <t>MULI</t>
  </si>
  <si>
    <t>MUNDRA</t>
  </si>
  <si>
    <t>NADIAD</t>
  </si>
  <si>
    <t>NAGAR MAIN ROAD</t>
  </si>
  <si>
    <t>NAKHATRANA</t>
  </si>
  <si>
    <t>NANDOD</t>
  </si>
  <si>
    <t>NASWADI</t>
  </si>
  <si>
    <t>NAVSARI</t>
  </si>
  <si>
    <t>NIZAR</t>
  </si>
  <si>
    <t>NO 12 JAWAHAR</t>
  </si>
  <si>
    <t>OKHAMANDAL</t>
  </si>
  <si>
    <t>OLPAD</t>
  </si>
  <si>
    <t>PADDHARI</t>
  </si>
  <si>
    <t>PADRA</t>
  </si>
  <si>
    <t>PALANPUR</t>
  </si>
  <si>
    <t>PALITANA</t>
  </si>
  <si>
    <t>PALSANA</t>
  </si>
  <si>
    <t>PARDI</t>
  </si>
  <si>
    <t>PATAN</t>
  </si>
  <si>
    <t>PETLAD</t>
  </si>
  <si>
    <t>PORBANDAR</t>
  </si>
  <si>
    <t>PRANTIJ</t>
  </si>
  <si>
    <t>PRATAPNAGAR NANDOD</t>
  </si>
  <si>
    <t>RADHANPUR</t>
  </si>
  <si>
    <t>RAJKOT</t>
  </si>
  <si>
    <t>RAJULA</t>
  </si>
  <si>
    <t>RANAVAV</t>
  </si>
  <si>
    <t>RANPUR</t>
  </si>
  <si>
    <t>RAPAR</t>
  </si>
  <si>
    <t>SAGBARA</t>
  </si>
  <si>
    <t>SAMI</t>
  </si>
  <si>
    <t>SANAND</t>
  </si>
  <si>
    <t>SANKHEDA</t>
  </si>
  <si>
    <t>SANTALPUR</t>
  </si>
  <si>
    <t>SANTRAMPUR</t>
  </si>
  <si>
    <t>SARDHAR</t>
  </si>
  <si>
    <t>SATLASANA</t>
  </si>
  <si>
    <t>SAVAR KUNDLA</t>
  </si>
  <si>
    <t>SAVLI</t>
  </si>
  <si>
    <t>SAYLA</t>
  </si>
  <si>
    <t>SHEHERA</t>
  </si>
  <si>
    <t>SIDHPUR</t>
  </si>
  <si>
    <t>SIHOR</t>
  </si>
  <si>
    <t>SINOR</t>
  </si>
  <si>
    <t>SOJITRA</t>
  </si>
  <si>
    <t>SONGADH</t>
  </si>
  <si>
    <t>SURAT</t>
  </si>
  <si>
    <t>SUTRAPADA</t>
  </si>
  <si>
    <t>TALAJA</t>
  </si>
  <si>
    <t>TALALA</t>
  </si>
  <si>
    <t>TALOD</t>
  </si>
  <si>
    <t>TANKARA</t>
  </si>
  <si>
    <t>TARAPUR</t>
  </si>
  <si>
    <t>THARAD</t>
  </si>
  <si>
    <t>THASRA</t>
  </si>
  <si>
    <t>THE DANGS</t>
  </si>
  <si>
    <t>TILAKWADA</t>
  </si>
  <si>
    <t>UCHCHHAL</t>
  </si>
  <si>
    <t>UMARPADA</t>
  </si>
  <si>
    <t>UMBERGAON</t>
  </si>
  <si>
    <t>UMRALA</t>
  </si>
  <si>
    <t>UMRETH</t>
  </si>
  <si>
    <t>HIMACHAL PRADESH</t>
  </si>
  <si>
    <t>UNA</t>
  </si>
  <si>
    <t>UNJHA</t>
  </si>
  <si>
    <t>UPLETA</t>
  </si>
  <si>
    <t>VADALI</t>
  </si>
  <si>
    <t>VADGAM</t>
  </si>
  <si>
    <t>VADNAGAR</t>
  </si>
  <si>
    <t>VADODARA</t>
  </si>
  <si>
    <t>VAGDOD</t>
  </si>
  <si>
    <t>VAGHODIA</t>
  </si>
  <si>
    <t>VAGRA</t>
  </si>
  <si>
    <t>VALIA</t>
  </si>
  <si>
    <t>VALLABHIPUR</t>
  </si>
  <si>
    <t>VALOD</t>
  </si>
  <si>
    <t>VALSAD</t>
  </si>
  <si>
    <t>VANSDA</t>
  </si>
  <si>
    <t>VANTHALI</t>
  </si>
  <si>
    <t>VAPI</t>
  </si>
  <si>
    <t>VAV</t>
  </si>
  <si>
    <t>VIJAPUR</t>
  </si>
  <si>
    <t>VIJAYNAGAR</t>
  </si>
  <si>
    <t>VIRAMGAM</t>
  </si>
  <si>
    <t>VISAVADAR</t>
  </si>
  <si>
    <t>VISNAGAR</t>
  </si>
  <si>
    <t>VYARA</t>
  </si>
  <si>
    <t>WADHWAN</t>
  </si>
  <si>
    <t>WANKANER</t>
  </si>
  <si>
    <t>HARYANA</t>
  </si>
  <si>
    <t>AMBALA</t>
  </si>
  <si>
    <t>ASSANDH</t>
  </si>
  <si>
    <t>BABAIN</t>
  </si>
  <si>
    <t>BAHADURGARH</t>
  </si>
  <si>
    <t>BALLABGARH</t>
  </si>
  <si>
    <t>BARARA</t>
  </si>
  <si>
    <t>BAWAL</t>
  </si>
  <si>
    <t>BAWANI KHERA</t>
  </si>
  <si>
    <t>BERI</t>
  </si>
  <si>
    <t>BHIWANI</t>
  </si>
  <si>
    <t>BHONDSI</t>
  </si>
  <si>
    <t>CHHACHHRAULI</t>
  </si>
  <si>
    <t>DABWALI</t>
  </si>
  <si>
    <t>DADRI</t>
  </si>
  <si>
    <t>DHARUHERA</t>
  </si>
  <si>
    <t>FARIDABAD</t>
  </si>
  <si>
    <t>FARIDABAD, BALLABGARH</t>
  </si>
  <si>
    <t>FATEHABAD</t>
  </si>
  <si>
    <t>FEROZEPUR JHIRKA</t>
  </si>
  <si>
    <t>GANAUR</t>
  </si>
  <si>
    <t>GARHI HARSARU</t>
  </si>
  <si>
    <t>GHARAUNDA</t>
  </si>
  <si>
    <t>GOHANA H O</t>
  </si>
  <si>
    <t>GUHLA</t>
  </si>
  <si>
    <t>GURGAON</t>
  </si>
  <si>
    <t>HANSI</t>
  </si>
  <si>
    <t>HATHIN</t>
  </si>
  <si>
    <t>HISAR</t>
  </si>
  <si>
    <t>HODAL</t>
  </si>
  <si>
    <t>JAGADHRI</t>
  </si>
  <si>
    <t>JHAJJAR</t>
  </si>
  <si>
    <t>JIND</t>
  </si>
  <si>
    <t>JIND 126112</t>
  </si>
  <si>
    <t>JULANA</t>
  </si>
  <si>
    <t>KAITHAL</t>
  </si>
  <si>
    <t>KALKA</t>
  </si>
  <si>
    <t>KARNAL</t>
  </si>
  <si>
    <t>KOSLI</t>
  </si>
  <si>
    <t>KURUKSHETRA</t>
  </si>
  <si>
    <t>MAHAM</t>
  </si>
  <si>
    <t>MAHENDRAGARH</t>
  </si>
  <si>
    <t>MANESAR</t>
  </si>
  <si>
    <t>MEWAT</t>
  </si>
  <si>
    <t>NANUKALAN</t>
  </si>
  <si>
    <t>NARAINGARH</t>
  </si>
  <si>
    <t>NARNAUL</t>
  </si>
  <si>
    <t>NARNAUND</t>
  </si>
  <si>
    <t>NARWANA</t>
  </si>
  <si>
    <t>PALWAL</t>
  </si>
  <si>
    <t>PANCHKULA</t>
  </si>
  <si>
    <t>PANIPAT</t>
  </si>
  <si>
    <t>PARCEM PERNEM,</t>
  </si>
  <si>
    <t>PATAUDI</t>
  </si>
  <si>
    <t>PEHOWA</t>
  </si>
  <si>
    <t>PUNAHANA</t>
  </si>
  <si>
    <t>RANIA</t>
  </si>
  <si>
    <t>REWARI</t>
  </si>
  <si>
    <t>ROHTAK</t>
  </si>
  <si>
    <t>SAFIDON</t>
  </si>
  <si>
    <t>SAMALKHA</t>
  </si>
  <si>
    <t>SHAHBAD</t>
  </si>
  <si>
    <t>SIRSA</t>
  </si>
  <si>
    <t>SOHNA</t>
  </si>
  <si>
    <t>SONEPAT</t>
  </si>
  <si>
    <t>SONIPAT</t>
  </si>
  <si>
    <t>TAORU</t>
  </si>
  <si>
    <t>THANESAR</t>
  </si>
  <si>
    <t>TOHANA</t>
  </si>
  <si>
    <t>TOSHAM</t>
  </si>
  <si>
    <t>YAMUNANAGAR</t>
  </si>
  <si>
    <t>AMB</t>
  </si>
  <si>
    <t>ANI</t>
  </si>
  <si>
    <t>ARCHANDI</t>
  </si>
  <si>
    <t>ARKI</t>
  </si>
  <si>
    <t>AUT</t>
  </si>
  <si>
    <t>BAGLI</t>
  </si>
  <si>
    <t>BAHANWIN</t>
  </si>
  <si>
    <t>BAIJNATH</t>
  </si>
  <si>
    <t>BALDWARA</t>
  </si>
  <si>
    <t>BALI CHOWKI</t>
  </si>
  <si>
    <t>BANGANA</t>
  </si>
  <si>
    <t>BANJAR</t>
  </si>
  <si>
    <t>BAROH</t>
  </si>
  <si>
    <t>BARSAR</t>
  </si>
  <si>
    <t>BHAGSU NATH</t>
  </si>
  <si>
    <t>BHALAI</t>
  </si>
  <si>
    <t>BHARWAIN</t>
  </si>
  <si>
    <t>BHATTIYAT</t>
  </si>
  <si>
    <t>BHORANJ</t>
  </si>
  <si>
    <t>BIJHARI</t>
  </si>
  <si>
    <t>BILASPUR SADAR</t>
  </si>
  <si>
    <t>BRAHMAUR</t>
  </si>
  <si>
    <t>CHACHYOT</t>
  </si>
  <si>
    <t>CHALNAIR</t>
  </si>
  <si>
    <t>CHAMBA</t>
  </si>
  <si>
    <t>CHAURAH</t>
  </si>
  <si>
    <t>CHETA</t>
  </si>
  <si>
    <t>CHIRGAON</t>
  </si>
  <si>
    <t>DADAHU</t>
  </si>
  <si>
    <t>DALHOUSIE</t>
  </si>
  <si>
    <t>DERA GOPIPUR</t>
  </si>
  <si>
    <t>DHARAMSALA</t>
  </si>
  <si>
    <t>DHARMPUR</t>
  </si>
  <si>
    <t>DHARMSALA</t>
  </si>
  <si>
    <t>DHATWAL</t>
  </si>
  <si>
    <t>DHIRA</t>
  </si>
  <si>
    <t>DODRA KWAR</t>
  </si>
  <si>
    <t>DRUG</t>
  </si>
  <si>
    <t>GARSA</t>
  </si>
  <si>
    <t>GHUMARWIN</t>
  </si>
  <si>
    <t>HAMIRPUR</t>
  </si>
  <si>
    <t>HANGRANG</t>
  </si>
  <si>
    <t>HARCHAKIAN</t>
  </si>
  <si>
    <t>HAROLI</t>
  </si>
  <si>
    <t>HOLI</t>
  </si>
  <si>
    <t>INDORA</t>
  </si>
  <si>
    <t>JAI SINGHPUR</t>
  </si>
  <si>
    <t>JASWAN</t>
  </si>
  <si>
    <t>JAWALI</t>
  </si>
  <si>
    <t>JHANDUTA</t>
  </si>
  <si>
    <t>JOGINDARNAGAR</t>
  </si>
  <si>
    <t>JOGINDER NAGAR</t>
  </si>
  <si>
    <t>JUBBAL</t>
  </si>
  <si>
    <t>KALPA</t>
  </si>
  <si>
    <t>KAMRAU</t>
  </si>
  <si>
    <t>KANDAGHAT</t>
  </si>
  <si>
    <t>KANGRA</t>
  </si>
  <si>
    <t>KARSOG</t>
  </si>
  <si>
    <t>KASAULI</t>
  </si>
  <si>
    <t>KHALINI</t>
  </si>
  <si>
    <t>KHANIARA</t>
  </si>
  <si>
    <t>KHUNDIAN</t>
  </si>
  <si>
    <t>KOTKHAI</t>
  </si>
  <si>
    <t>KOTLI</t>
  </si>
  <si>
    <t>KRISHANGARH</t>
  </si>
  <si>
    <t>KULLU</t>
  </si>
  <si>
    <t>KUMHARSAIN</t>
  </si>
  <si>
    <t>LAFUGHATI</t>
  </si>
  <si>
    <t>LAHAUL</t>
  </si>
  <si>
    <t>LAHUL</t>
  </si>
  <si>
    <t>LARJI</t>
  </si>
  <si>
    <t>MANALI</t>
  </si>
  <si>
    <t>MANDI</t>
  </si>
  <si>
    <t>MORANG</t>
  </si>
  <si>
    <t>NADAUN</t>
  </si>
  <si>
    <t>NAHAN</t>
  </si>
  <si>
    <t>NAINA DEVI</t>
  </si>
  <si>
    <t>NALAGARH</t>
  </si>
  <si>
    <t>NANKHARI</t>
  </si>
  <si>
    <t>NERMAND</t>
  </si>
  <si>
    <t>NICHAR</t>
  </si>
  <si>
    <t>NIHRI</t>
  </si>
  <si>
    <t>NOHRA</t>
  </si>
  <si>
    <t>NURPUR</t>
  </si>
  <si>
    <t>PACHHAD</t>
  </si>
  <si>
    <t>PALAMPUR</t>
  </si>
  <si>
    <t>PANGI</t>
  </si>
  <si>
    <t>PAONTA SAHIB</t>
  </si>
  <si>
    <t>POABO</t>
  </si>
  <si>
    <t>POO</t>
  </si>
  <si>
    <t>QUASBA KOTLA</t>
  </si>
  <si>
    <t>RAJGARH</t>
  </si>
  <si>
    <t>RAKKAR</t>
  </si>
  <si>
    <t>RAMPUR BUSHAHR</t>
  </si>
  <si>
    <t>RAMSHAHR</t>
  </si>
  <si>
    <t>RENUKA</t>
  </si>
  <si>
    <t>ROHRU</t>
  </si>
  <si>
    <t>SAINJ</t>
  </si>
  <si>
    <t>SALUNI</t>
  </si>
  <si>
    <t>SANDHOL</t>
  </si>
  <si>
    <t>SANGLA</t>
  </si>
  <si>
    <t>SARKAGHAT</t>
  </si>
  <si>
    <t>SEOH</t>
  </si>
  <si>
    <t>SEONI</t>
  </si>
  <si>
    <t>SHALAI</t>
  </si>
  <si>
    <t>SHIMLA</t>
  </si>
  <si>
    <t>SIMLA</t>
  </si>
  <si>
    <t>SOLAN</t>
  </si>
  <si>
    <t>SPITI</t>
  </si>
  <si>
    <t>SUNDARNAGAR</t>
  </si>
  <si>
    <t>SUNDER NAGAR</t>
  </si>
  <si>
    <t>SURANGANI</t>
  </si>
  <si>
    <t>TARA DEVI</t>
  </si>
  <si>
    <t>THEOG</t>
  </si>
  <si>
    <t>THUNAG</t>
  </si>
  <si>
    <t>THURAL</t>
  </si>
  <si>
    <t>TIRA SUJANPUR</t>
  </si>
  <si>
    <t>JAMMU AND KASHMIR</t>
  </si>
  <si>
    <t>AKHNOOR</t>
  </si>
  <si>
    <t>ANANTNAG</t>
  </si>
  <si>
    <t>BACHPORA</t>
  </si>
  <si>
    <t>BADGAM</t>
  </si>
  <si>
    <t>BAIN BAJALTA</t>
  </si>
  <si>
    <t>BANIHAL</t>
  </si>
  <si>
    <t>BARAMULA</t>
  </si>
  <si>
    <t>BARSOO</t>
  </si>
  <si>
    <t>BASHOHLI</t>
  </si>
  <si>
    <t>BATWARA</t>
  </si>
  <si>
    <t>BEERWAH</t>
  </si>
  <si>
    <t>BEMINA</t>
  </si>
  <si>
    <t>BHADERWAH</t>
  </si>
  <si>
    <t>BHALESSA</t>
  </si>
  <si>
    <t>BIJBEHARA</t>
  </si>
  <si>
    <t>BILLAWAR</t>
  </si>
  <si>
    <t>BISHNA</t>
  </si>
  <si>
    <t>BREIN</t>
  </si>
  <si>
    <t>BUDHAL</t>
  </si>
  <si>
    <t>CHADURA</t>
  </si>
  <si>
    <t>CHANDERWADI</t>
  </si>
  <si>
    <t>CHANI HIMAT</t>
  </si>
  <si>
    <t>CHENANI</t>
  </si>
  <si>
    <t>CHOWKI CHOURA</t>
  </si>
  <si>
    <t>DODA</t>
  </si>
  <si>
    <t>DUL HASTI</t>
  </si>
  <si>
    <t>DURU</t>
  </si>
  <si>
    <t>GANDERBAL</t>
  </si>
  <si>
    <t>GANDHI NAGAR</t>
  </si>
  <si>
    <t>GOOL GULAB GARH</t>
  </si>
  <si>
    <t>GULMARG</t>
  </si>
  <si>
    <t>GUREZ</t>
  </si>
  <si>
    <t>HANDWARA</t>
  </si>
  <si>
    <t>HAVELI</t>
  </si>
  <si>
    <t>HIRANAGAR</t>
  </si>
  <si>
    <t>JAMMU</t>
  </si>
  <si>
    <t>JANIPUR</t>
  </si>
  <si>
    <t>KALAKOTE</t>
  </si>
  <si>
    <t>KANGAN</t>
  </si>
  <si>
    <t>KARAN NAGAR</t>
  </si>
  <si>
    <t>KARGIL</t>
  </si>
  <si>
    <t>KARNAH</t>
  </si>
  <si>
    <t>KATHUA</t>
  </si>
  <si>
    <t>KISHTWAR</t>
  </si>
  <si>
    <t>KRISHNA NAGAR</t>
  </si>
  <si>
    <t>KULGAM</t>
  </si>
  <si>
    <t>KUPWARA</t>
  </si>
  <si>
    <t>LEH</t>
  </si>
  <si>
    <t>MANDAKPAL</t>
  </si>
  <si>
    <t>MANJMOH</t>
  </si>
  <si>
    <t>MANTALAI</t>
  </si>
  <si>
    <t>NANDPORA</t>
  </si>
  <si>
    <t>NOWSHEHRA</t>
  </si>
  <si>
    <t>PAHALGAM</t>
  </si>
  <si>
    <t>PATTAN</t>
  </si>
  <si>
    <t>PULWAMA</t>
  </si>
  <si>
    <t>RAJAURI</t>
  </si>
  <si>
    <t>RAJBAGH</t>
  </si>
  <si>
    <t>RAMBAN</t>
  </si>
  <si>
    <t>RANBIRSINGHPORA</t>
  </si>
  <si>
    <t>REASI</t>
  </si>
  <si>
    <t>ROOPNAGAR</t>
  </si>
  <si>
    <t>SAMBA</t>
  </si>
  <si>
    <t>SHUPIYAN</t>
  </si>
  <si>
    <t>SIDHRA</t>
  </si>
  <si>
    <t>SONAWARI</t>
  </si>
  <si>
    <t>SOPORE</t>
  </si>
  <si>
    <t>SRINAGAR</t>
  </si>
  <si>
    <t>SRINAGAR(JK)</t>
  </si>
  <si>
    <t>SUNDERBANI</t>
  </si>
  <si>
    <t>SURANKOTE</t>
  </si>
  <si>
    <t>THANAMANDI</t>
  </si>
  <si>
    <t>TRAL</t>
  </si>
  <si>
    <t>UDHAMPUR</t>
  </si>
  <si>
    <t>URI</t>
  </si>
  <si>
    <t>WASOORA</t>
  </si>
  <si>
    <t>WUYAN</t>
  </si>
  <si>
    <t>ZAKURA</t>
  </si>
  <si>
    <t>ZANSKAR</t>
  </si>
  <si>
    <t>JHARKHAND</t>
  </si>
  <si>
    <t>,DWARKA,NEW DELHI</t>
  </si>
  <si>
    <t>89 I P EXTN</t>
  </si>
  <si>
    <t>ARAJOO</t>
  </si>
  <si>
    <t>ARMOOR</t>
  </si>
  <si>
    <t>ASHRAM RAOD SUBHANPURA,</t>
  </si>
  <si>
    <t>BALUMATH</t>
  </si>
  <si>
    <t>BANASAWADI</t>
  </si>
  <si>
    <t>BANGALORE-51. INDIA</t>
  </si>
  <si>
    <t>BARDEZ,NRTH GOA,</t>
  </si>
  <si>
    <t>BARHAIT</t>
  </si>
  <si>
    <t>BARHARWA</t>
  </si>
  <si>
    <t>BARHI</t>
  </si>
  <si>
    <t>BASIA</t>
  </si>
  <si>
    <t>BATOK ST 25</t>
  </si>
  <si>
    <t>BELLARY ROAD, HEBBAL</t>
  </si>
  <si>
    <t>BENGABAD</t>
  </si>
  <si>
    <t>BERMO</t>
  </si>
  <si>
    <t>BERO</t>
  </si>
  <si>
    <t>BESIDE OF ARTI TALIES,</t>
  </si>
  <si>
    <t>BHAWNATHPUR</t>
  </si>
  <si>
    <t>BIRNI</t>
  </si>
  <si>
    <t>BISHUNGARH</t>
  </si>
  <si>
    <t>BOARIJORE</t>
  </si>
  <si>
    <t>BOKARO</t>
  </si>
  <si>
    <t>BORIO</t>
  </si>
  <si>
    <t>BORIVALI WEST MUMBAI</t>
  </si>
  <si>
    <t>BUNDU</t>
  </si>
  <si>
    <t>CAIRO EGYPT</t>
  </si>
  <si>
    <t>CANSAULIM,</t>
  </si>
  <si>
    <t>CHANDANKIARI</t>
  </si>
  <si>
    <t>CHANDIL</t>
  </si>
  <si>
    <t>CHANWALA</t>
  </si>
  <si>
    <t>CHAS</t>
  </si>
  <si>
    <t>CHATRA</t>
  </si>
  <si>
    <t>CHAUPARAN</t>
  </si>
  <si>
    <t>CHITTORGARH RAJ.</t>
  </si>
  <si>
    <t>CHURCHU</t>
  </si>
  <si>
    <t>CITY,SECTOR 91</t>
  </si>
  <si>
    <t>DEOGHAR</t>
  </si>
  <si>
    <t>DEORI</t>
  </si>
  <si>
    <t>DHALBHUM</t>
  </si>
  <si>
    <t>DHALBHUM, JAMSHEDPUR</t>
  </si>
  <si>
    <t>DHANAS</t>
  </si>
  <si>
    <t>DHANBAD</t>
  </si>
  <si>
    <t>DHANWAR</t>
  </si>
  <si>
    <t>DIST-BARMER</t>
  </si>
  <si>
    <t>DISTRICT-HARDOI, STATE</t>
  </si>
  <si>
    <t>DISTT. JHUNJHUNU</t>
  </si>
  <si>
    <t>DISTT..FEROZEPUR</t>
  </si>
  <si>
    <t>DLF CITY ƒ?? 2</t>
  </si>
  <si>
    <t>DUMKA</t>
  </si>
  <si>
    <t>EAST SINGHBHUM</t>
  </si>
  <si>
    <t>EPIP AREA</t>
  </si>
  <si>
    <t>EXPRESSWAY SECTOR-92</t>
  </si>
  <si>
    <t>EXTN COMMUNITY CENTER</t>
  </si>
  <si>
    <t>GARHWA</t>
  </si>
  <si>
    <t>GAWAN</t>
  </si>
  <si>
    <t>GH-18 SEC 46</t>
  </si>
  <si>
    <t>GHATOTAND</t>
  </si>
  <si>
    <t>GIRIDIH</t>
  </si>
  <si>
    <t>GOBINDPUR(SINGHBHUM)</t>
  </si>
  <si>
    <t>GODDA</t>
  </si>
  <si>
    <t>GOLA</t>
  </si>
  <si>
    <t>GOLMURI</t>
  </si>
  <si>
    <t>GOTTIGERE, BANNERGHATTA ROAD</t>
  </si>
  <si>
    <t>GUMIA</t>
  </si>
  <si>
    <t>GUMLA</t>
  </si>
  <si>
    <t>HARISWAR</t>
  </si>
  <si>
    <t>HAZARIBAGH</t>
  </si>
  <si>
    <t>HEIGHT</t>
  </si>
  <si>
    <t>I M ROAD,</t>
  </si>
  <si>
    <t>ICHAK</t>
  </si>
  <si>
    <t>ITKHORI</t>
  </si>
  <si>
    <t>JAMA</t>
  </si>
  <si>
    <t>JAMSHEDPUR</t>
  </si>
  <si>
    <t>JAMTARA</t>
  </si>
  <si>
    <t>JAMUA</t>
  </si>
  <si>
    <t>JARMUNDI</t>
  </si>
  <si>
    <t>KABIR MARG LUCKNOW</t>
  </si>
  <si>
    <t>KADUGODI BANGALORE</t>
  </si>
  <si>
    <t>KANKE</t>
  </si>
  <si>
    <t>KARAMBELE, DISTRICT ƒ?? VALSAD</t>
  </si>
  <si>
    <t>KARRA</t>
  </si>
  <si>
    <t>KATHARA</t>
  </si>
  <si>
    <t>KATHIKUND</t>
  </si>
  <si>
    <t>KAUSHAMBI .GHAZIABAD</t>
  </si>
  <si>
    <t>KEREDARI</t>
  </si>
  <si>
    <t>KGF KOLAR</t>
  </si>
  <si>
    <t>KHATIPURA JAIPUR</t>
  </si>
  <si>
    <t>KHUNTI</t>
  </si>
  <si>
    <t>KHURDA, ORISSA</t>
  </si>
  <si>
    <t>KODARMA</t>
  </si>
  <si>
    <t>KODERMA</t>
  </si>
  <si>
    <t>KOLKATA 53 W B</t>
  </si>
  <si>
    <t>KUMARDUNGI</t>
  </si>
  <si>
    <t>KUNDAHIT</t>
  </si>
  <si>
    <t>KUNDHAIT</t>
  </si>
  <si>
    <t>KURU</t>
  </si>
  <si>
    <t>LALMATI JABALPUR</t>
  </si>
  <si>
    <t>LATEHAR</t>
  </si>
  <si>
    <t>LEGGERE, BANGALORE</t>
  </si>
  <si>
    <t>LOHARDAGA</t>
  </si>
  <si>
    <t>LYT BANGALORE</t>
  </si>
  <si>
    <t>MADHUPUR</t>
  </si>
  <si>
    <t>MAHAGAMA</t>
  </si>
  <si>
    <t>MAHESHPUR</t>
  </si>
  <si>
    <t>MAHIM W,</t>
  </si>
  <si>
    <t>MAHUWADAND</t>
  </si>
  <si>
    <t>MANDAR</t>
  </si>
  <si>
    <t>MANDER</t>
  </si>
  <si>
    <t>MANDU</t>
  </si>
  <si>
    <t>MANEJA</t>
  </si>
  <si>
    <t>MARGAO,SALCETE,</t>
  </si>
  <si>
    <t>MARKACHO</t>
  </si>
  <si>
    <t>MEDINIPUR,</t>
  </si>
  <si>
    <t>MEHSANA -</t>
  </si>
  <si>
    <t>MERCES ILHAS,</t>
  </si>
  <si>
    <t>MOHALLA PANNA MP</t>
  </si>
  <si>
    <t>MOHANPUR</t>
  </si>
  <si>
    <t>MOTHER DAIRY PALAM</t>
  </si>
  <si>
    <t>MURHU</t>
  </si>
  <si>
    <t>MUTHUGOUNDENPUDUR</t>
  </si>
  <si>
    <t>N.J.</t>
  </si>
  <si>
    <t>NAGAR UTARI</t>
  </si>
  <si>
    <t>NAMKUM</t>
  </si>
  <si>
    <t>NAWADIH</t>
  </si>
  <si>
    <t>NNO44 4TH STREET</t>
  </si>
  <si>
    <t>OLD GOA,</t>
  </si>
  <si>
    <t>ON,LSM 0W1</t>
  </si>
  <si>
    <t>ORMANJHI</t>
  </si>
  <si>
    <t>PADMA</t>
  </si>
  <si>
    <t>PAKAUR</t>
  </si>
  <si>
    <t>PAKURIA</t>
  </si>
  <si>
    <t>PALKOT</t>
  </si>
  <si>
    <t>PALOJORI</t>
  </si>
  <si>
    <t>PATHARGAMA</t>
  </si>
  <si>
    <t>PATHNA</t>
  </si>
  <si>
    <t>PATRATU</t>
  </si>
  <si>
    <t>PILAR VELHA,</t>
  </si>
  <si>
    <t>PLOT 36, GURGAON</t>
  </si>
  <si>
    <t>PLOT 95, ULWE,</t>
  </si>
  <si>
    <t>PREMNAGAR, DEHRADUN,</t>
  </si>
  <si>
    <t>PS- BIZPUR, 24</t>
  </si>
  <si>
    <t>PS LISARI GATE MEERUT U.P.</t>
  </si>
  <si>
    <t>PURAN MAJRA</t>
  </si>
  <si>
    <t>RAJENDER NAGAR SEC-2</t>
  </si>
  <si>
    <t>RAJNI-GANDA APARTMENT</t>
  </si>
  <si>
    <t>RAMANATHAPURAM DISTRICT</t>
  </si>
  <si>
    <t>RAMDEV NAGAR</t>
  </si>
  <si>
    <t>RAMGARH</t>
  </si>
  <si>
    <t>RANCHI</t>
  </si>
  <si>
    <t>RATU</t>
  </si>
  <si>
    <t>RD,BORIVALI WEST</t>
  </si>
  <si>
    <t>ROAD GWHATI3</t>
  </si>
  <si>
    <t>ROAD, NEAR SUBHASH</t>
  </si>
  <si>
    <t>ROYAPETTAH</t>
  </si>
  <si>
    <t>RWIN ROAD, MANDI MOHALLA</t>
  </si>
  <si>
    <t>SAHIBABAD,GAZIZBAD</t>
  </si>
  <si>
    <t>SAHIBGANJ</t>
  </si>
  <si>
    <t>SARAIYAHAT</t>
  </si>
  <si>
    <t>SARATH</t>
  </si>
  <si>
    <t>SARWAN</t>
  </si>
  <si>
    <t>SECTOR 10 DELHI</t>
  </si>
  <si>
    <t>SECTOR -49</t>
  </si>
  <si>
    <t>SECTOR 50, GURGAON</t>
  </si>
  <si>
    <t>SERAIKELA</t>
  </si>
  <si>
    <t>SEWRI</t>
  </si>
  <si>
    <t>SHALIMAR GARDEN EXTN</t>
  </si>
  <si>
    <t>SHIKARIPARA</t>
  </si>
  <si>
    <t>SIERRA LEONE</t>
  </si>
  <si>
    <t>SIERRA LEONE ,</t>
  </si>
  <si>
    <t>SIKANDRA AG</t>
  </si>
  <si>
    <t>SIKH</t>
  </si>
  <si>
    <t>SILLI</t>
  </si>
  <si>
    <t>SISAI</t>
  </si>
  <si>
    <t>SOCIETY RANA</t>
  </si>
  <si>
    <t>SOCIETY RANA PRATAP</t>
  </si>
  <si>
    <t>ST FLOOR KOLKATA</t>
  </si>
  <si>
    <t>TALJHARI</t>
  </si>
  <si>
    <t>TAMAR</t>
  </si>
  <si>
    <t>TANDWA</t>
  </si>
  <si>
    <t>TENUGHAT</t>
  </si>
  <si>
    <t>THALAMBUR</t>
  </si>
  <si>
    <t>TISRI</t>
  </si>
  <si>
    <t>TOWN BATHINDA</t>
  </si>
  <si>
    <t>U.P NOIDA</t>
  </si>
  <si>
    <t>UDHWA</t>
  </si>
  <si>
    <t>UJJAIN, MP</t>
  </si>
  <si>
    <t>UNNAD</t>
  </si>
  <si>
    <t>UTDIPA SECTOR</t>
  </si>
  <si>
    <t>VILLAGE PERAMBALUR</t>
  </si>
  <si>
    <t>VYTILLA,</t>
  </si>
  <si>
    <t>WADALA MUMBAI</t>
  </si>
  <si>
    <t>KARNATAKA</t>
  </si>
  <si>
    <t>, BANDRA WEST ,</t>
  </si>
  <si>
    <t>11TH LANE</t>
  </si>
  <si>
    <t>1ST FLOOR, SHAHID</t>
  </si>
  <si>
    <t>ABBIGERE</t>
  </si>
  <si>
    <t>AFZALPUR</t>
  </si>
  <si>
    <t>ALAND</t>
  </si>
  <si>
    <t>ALCOBENDAS</t>
  </si>
  <si>
    <t>ANEKAL</t>
  </si>
  <si>
    <t>ANKOLA</t>
  </si>
  <si>
    <t>ARKALGUD</t>
  </si>
  <si>
    <t>ARSIKERE</t>
  </si>
  <si>
    <t>ATHNI</t>
  </si>
  <si>
    <t>AURAD</t>
  </si>
  <si>
    <t>BADAMI</t>
  </si>
  <si>
    <t>BAGALKOT</t>
  </si>
  <si>
    <t>BAGEPALLI</t>
  </si>
  <si>
    <t>BAILHONGAL</t>
  </si>
  <si>
    <t>BANGALORE</t>
  </si>
  <si>
    <t>BANGALORE - 560102</t>
  </si>
  <si>
    <t>BANGALORE NORTH</t>
  </si>
  <si>
    <t>BANGALORE SOUTH</t>
  </si>
  <si>
    <t>BANGALORE-56ƒ??47.</t>
  </si>
  <si>
    <t>BANGARAPET</t>
  </si>
  <si>
    <t>BANTVAL</t>
  </si>
  <si>
    <t>BASAVAKALYAN</t>
  </si>
  <si>
    <t>BASAVANA BAGEVADI</t>
  </si>
  <si>
    <t>BELGAUM</t>
  </si>
  <si>
    <t>BELLARY</t>
  </si>
  <si>
    <t>BELTANGADI</t>
  </si>
  <si>
    <t>BELUR</t>
  </si>
  <si>
    <t>BHADRAVATI</t>
  </si>
  <si>
    <t>BHALKI</t>
  </si>
  <si>
    <t>BHATKAL</t>
  </si>
  <si>
    <t>BIDAR</t>
  </si>
  <si>
    <t>BIJAPUR</t>
  </si>
  <si>
    <t>BILGI</t>
  </si>
  <si>
    <t>BORDER, DELHI</t>
  </si>
  <si>
    <t>BYADGI</t>
  </si>
  <si>
    <t>CA 92612</t>
  </si>
  <si>
    <t>CHALLAKERE</t>
  </si>
  <si>
    <t>CHAMARAJANAGAR</t>
  </si>
  <si>
    <t>CHANNAGIRI</t>
  </si>
  <si>
    <t>CHANNAPATNA</t>
  </si>
  <si>
    <t>CHANNARAYAPATNA</t>
  </si>
  <si>
    <t>CHICKBALLAPUR</t>
  </si>
  <si>
    <t>CHIK BALLAPUR</t>
  </si>
  <si>
    <t>CHIKBALLAPUR</t>
  </si>
  <si>
    <t>CHIKKANAYAKANAHLLI</t>
  </si>
  <si>
    <t>CHIKMAGALUR</t>
  </si>
  <si>
    <t>CHIKNAYAKANHALLI</t>
  </si>
  <si>
    <t>CHIKODI</t>
  </si>
  <si>
    <t>CHINCHOLI</t>
  </si>
  <si>
    <t>CHINTAMANI</t>
  </si>
  <si>
    <t>CHITAPUR</t>
  </si>
  <si>
    <t>CHITRADURGA</t>
  </si>
  <si>
    <t>DAVANAGERE</t>
  </si>
  <si>
    <t>DEVADURGA</t>
  </si>
  <si>
    <t>DEVANAHALLI</t>
  </si>
  <si>
    <t>DHARWAD</t>
  </si>
  <si>
    <t>DLF PH 2 GURGAON</t>
  </si>
  <si>
    <t>DOD BALLAPUR</t>
  </si>
  <si>
    <t>DODDABALLAPURA</t>
  </si>
  <si>
    <t>DONIMALAI TOWNSHIP</t>
  </si>
  <si>
    <t>FLOOR, JAKKUR</t>
  </si>
  <si>
    <t>GADAG</t>
  </si>
  <si>
    <t>GANGAVATI</t>
  </si>
  <si>
    <t>GANGAWATI</t>
  </si>
  <si>
    <t>GAURIBIDANUR</t>
  </si>
  <si>
    <t>GOKAK</t>
  </si>
  <si>
    <t>GUBBI</t>
  </si>
  <si>
    <t>GULBARGA</t>
  </si>
  <si>
    <t>GUNDLUPET</t>
  </si>
  <si>
    <t>HADAGALLI</t>
  </si>
  <si>
    <t>HAGARIBOMMANAHALLI</t>
  </si>
  <si>
    <t>HALIYAL</t>
  </si>
  <si>
    <t>HAMPI POWER HOUSE</t>
  </si>
  <si>
    <t>HANGAL</t>
  </si>
  <si>
    <t>HARAPANAHALLI</t>
  </si>
  <si>
    <t>HARIHAR</t>
  </si>
  <si>
    <t>HASSAN</t>
  </si>
  <si>
    <t>HAVERI</t>
  </si>
  <si>
    <t>HEGGADADEVANKOTE</t>
  </si>
  <si>
    <t>HIOJOJKL</t>
  </si>
  <si>
    <t>HIREKERUR</t>
  </si>
  <si>
    <t>HIRIYUR</t>
  </si>
  <si>
    <t>HOLALKERE</t>
  </si>
  <si>
    <t>HOLE NARSIPUR</t>
  </si>
  <si>
    <t>HOMNABAD</t>
  </si>
  <si>
    <t>HONAVAR</t>
  </si>
  <si>
    <t>HONNALI</t>
  </si>
  <si>
    <t>HOSADURGA</t>
  </si>
  <si>
    <t>HOSAKOTE</t>
  </si>
  <si>
    <t>HOSANAGARA</t>
  </si>
  <si>
    <t>HOSPET</t>
  </si>
  <si>
    <t>HUBLI</t>
  </si>
  <si>
    <t>HUKERI</t>
  </si>
  <si>
    <t>HUNGUND</t>
  </si>
  <si>
    <t>HUNSUR</t>
  </si>
  <si>
    <t>HUVINAHADGALI</t>
  </si>
  <si>
    <t>INDI</t>
  </si>
  <si>
    <t>INDIRA NGR NASIK</t>
  </si>
  <si>
    <t>JAGALUR</t>
  </si>
  <si>
    <t>JAMKHANDI</t>
  </si>
  <si>
    <t>JEVARGI</t>
  </si>
  <si>
    <t>KADUR</t>
  </si>
  <si>
    <t>KAGAL</t>
  </si>
  <si>
    <t>KALGHATGI</t>
  </si>
  <si>
    <t>KANAKAPURA</t>
  </si>
  <si>
    <t>KARKAL</t>
  </si>
  <si>
    <t>KARWAR</t>
  </si>
  <si>
    <t>KHANAPUR</t>
  </si>
  <si>
    <t>KODAGU</t>
  </si>
  <si>
    <t>KOLAR</t>
  </si>
  <si>
    <t>KOLLEGAL</t>
  </si>
  <si>
    <t>KOPPA</t>
  </si>
  <si>
    <t>KOPPAL</t>
  </si>
  <si>
    <t>KORATAGERE</t>
  </si>
  <si>
    <t>KRISHNARAJANAGARA</t>
  </si>
  <si>
    <t>KRISHNARAJPET</t>
  </si>
  <si>
    <t>KUDLIGI</t>
  </si>
  <si>
    <t>KUMTA</t>
  </si>
  <si>
    <t>KUNDAPURA</t>
  </si>
  <si>
    <t>KUNDGOL</t>
  </si>
  <si>
    <t>KUNIGAL</t>
  </si>
  <si>
    <t>KUSHTAGI</t>
  </si>
  <si>
    <t>LINGSUGUR</t>
  </si>
  <si>
    <t>LOK 2 SECTOR 57</t>
  </si>
  <si>
    <t>MADDUR</t>
  </si>
  <si>
    <t>MADHUGIRI</t>
  </si>
  <si>
    <t>MADIKERI</t>
  </si>
  <si>
    <t>MADIKERI H O</t>
  </si>
  <si>
    <t>MAGADI</t>
  </si>
  <si>
    <t>MALAVALLI</t>
  </si>
  <si>
    <t>MALKHED</t>
  </si>
  <si>
    <t>MALUR</t>
  </si>
  <si>
    <t>MANDIPET RAICHUR</t>
  </si>
  <si>
    <t>MANDYA</t>
  </si>
  <si>
    <t>MANGALORE</t>
  </si>
  <si>
    <t>MANGALORE/UDUPI</t>
  </si>
  <si>
    <t>MANVI</t>
  </si>
  <si>
    <t>MINIRABAD</t>
  </si>
  <si>
    <t>MOHABA BAZAR</t>
  </si>
  <si>
    <t>MOLAKALMURU</t>
  </si>
  <si>
    <t>MUDDEBIHAL</t>
  </si>
  <si>
    <t>MUDHOL</t>
  </si>
  <si>
    <t>MUDIGERE</t>
  </si>
  <si>
    <t>MULBAGAL</t>
  </si>
  <si>
    <t>MUNDARGI</t>
  </si>
  <si>
    <t>MUNDGOD</t>
  </si>
  <si>
    <t>MYSORE</t>
  </si>
  <si>
    <t>NAGAMANGALA</t>
  </si>
  <si>
    <t>NANJANGUD</t>
  </si>
  <si>
    <t>NARASIMHARAJAPURA</t>
  </si>
  <si>
    <t>NARGUND</t>
  </si>
  <si>
    <t>NAVALGUND</t>
  </si>
  <si>
    <t>NELAMANGALA</t>
  </si>
  <si>
    <t>OFF BANNERGHATTA</t>
  </si>
  <si>
    <t>P/S BALUA DISTT</t>
  </si>
  <si>
    <t>PADUBIDRI</t>
  </si>
  <si>
    <t>PANDAVAPURA</t>
  </si>
  <si>
    <t>PARASGAD</t>
  </si>
  <si>
    <t>PAVAGADA</t>
  </si>
  <si>
    <t>PIRIYAPATNA</t>
  </si>
  <si>
    <t>PUTTUR</t>
  </si>
  <si>
    <t>RAICHUR</t>
  </si>
  <si>
    <t>RAMANAGARAM</t>
  </si>
  <si>
    <t>RAMDURG</t>
  </si>
  <si>
    <t>RANIBENNUR</t>
  </si>
  <si>
    <t>RAYBAG</t>
  </si>
  <si>
    <t>ROAD, MAROL MAROSHI ROAD</t>
  </si>
  <si>
    <t>RON</t>
  </si>
  <si>
    <t>SAGAR</t>
  </si>
  <si>
    <t>SAKLESHPUR</t>
  </si>
  <si>
    <t>SAMPAGAON</t>
  </si>
  <si>
    <t>SAMPGAON</t>
  </si>
  <si>
    <t>SANDUR</t>
  </si>
  <si>
    <t>SAUNDATTI</t>
  </si>
  <si>
    <t>SAVANUR</t>
  </si>
  <si>
    <t>SEDAM</t>
  </si>
  <si>
    <t>SHIGGAON</t>
  </si>
  <si>
    <t>SHIKARPUR</t>
  </si>
  <si>
    <t>SHIMOGA</t>
  </si>
  <si>
    <t>SHIRHATTI</t>
  </si>
  <si>
    <t>SHORAPUR</t>
  </si>
  <si>
    <t>SHRIRANGAPATTANA</t>
  </si>
  <si>
    <t>SIDDAPUR</t>
  </si>
  <si>
    <t>SIDLAGHATTA</t>
  </si>
  <si>
    <t>SINDGI</t>
  </si>
  <si>
    <t>SINDHNUR</t>
  </si>
  <si>
    <t>SIRA</t>
  </si>
  <si>
    <t>SIRSI</t>
  </si>
  <si>
    <t>SIRUGUPPA</t>
  </si>
  <si>
    <t>SOMVARPET</t>
  </si>
  <si>
    <t>SORAB</t>
  </si>
  <si>
    <t>SRINGERI</t>
  </si>
  <si>
    <t>SRINIVASPUR</t>
  </si>
  <si>
    <t>SULYA</t>
  </si>
  <si>
    <t>SUPA</t>
  </si>
  <si>
    <t>SYNDICATE BUS</t>
  </si>
  <si>
    <t>TARIKERE</t>
  </si>
  <si>
    <t>TIPTUR</t>
  </si>
  <si>
    <t>TIRTHAHALLI</t>
  </si>
  <si>
    <t>TIRUMAKUDAL NARSIPUR</t>
  </si>
  <si>
    <t>TUMKUR</t>
  </si>
  <si>
    <t>TUMKUR DISTRICT</t>
  </si>
  <si>
    <t>TURUVEKERE</t>
  </si>
  <si>
    <t>UDUPI</t>
  </si>
  <si>
    <t>UTTARA KANNADA</t>
  </si>
  <si>
    <t>VIRAJPET</t>
  </si>
  <si>
    <t>YADGIR</t>
  </si>
  <si>
    <t>YELANDUR</t>
  </si>
  <si>
    <t>YELBARGA</t>
  </si>
  <si>
    <t>YELLAMMA HILLS</t>
  </si>
  <si>
    <t>YELLAPUR</t>
  </si>
  <si>
    <t>KERALA</t>
  </si>
  <si>
    <t>ADOOR</t>
  </si>
  <si>
    <t>ALAAPUZHA</t>
  </si>
  <si>
    <t>ALATHUR</t>
  </si>
  <si>
    <t>ALLAHABAD, ALLAHABAD,</t>
  </si>
  <si>
    <t>ALUVA</t>
  </si>
  <si>
    <t>AMBALAPPUZHA</t>
  </si>
  <si>
    <t>CALICUT</t>
  </si>
  <si>
    <t>CARNICHAEL ROAD</t>
  </si>
  <si>
    <t>CHALAKUDI</t>
  </si>
  <si>
    <t>CHANGANASSERY</t>
  </si>
  <si>
    <t>CHAVAKKAD</t>
  </si>
  <si>
    <t>CHENGANNUR</t>
  </si>
  <si>
    <t>CHERTHALA</t>
  </si>
  <si>
    <t>CHIRAYINKEEZHU</t>
  </si>
  <si>
    <t>CHITTUR</t>
  </si>
  <si>
    <t>DEVIKULAM</t>
  </si>
  <si>
    <t>ERNAD</t>
  </si>
  <si>
    <t>ERNAKULAM</t>
  </si>
  <si>
    <t>HOSDURG</t>
  </si>
  <si>
    <t>IDUKKI</t>
  </si>
  <si>
    <t>JAMMALAMADUG</t>
  </si>
  <si>
    <t>KANAYANNUR</t>
  </si>
  <si>
    <t>KANJIRAPPALLY</t>
  </si>
  <si>
    <t>KANNUR</t>
  </si>
  <si>
    <t>KARTHIKAPPALLY</t>
  </si>
  <si>
    <t>KARUNAGAPPALLY</t>
  </si>
  <si>
    <t>KARUVANNUR</t>
  </si>
  <si>
    <t>KASARAGOD</t>
  </si>
  <si>
    <t>KOCHI</t>
  </si>
  <si>
    <t>KODUNGALLUR</t>
  </si>
  <si>
    <t>KOLLAM</t>
  </si>
  <si>
    <t>KOTHAMANGALAM</t>
  </si>
  <si>
    <t>KOTTARAKKARA</t>
  </si>
  <si>
    <t>KOTTAYAM</t>
  </si>
  <si>
    <t>KOZHENCHERY</t>
  </si>
  <si>
    <t>KOZHIKODE</t>
  </si>
  <si>
    <t>KUNNATHUNAD</t>
  </si>
  <si>
    <t>KUNNATHUR</t>
  </si>
  <si>
    <t>KUTTANAD</t>
  </si>
  <si>
    <t>MALAPPURAM</t>
  </si>
  <si>
    <t>MALLAPPALLY</t>
  </si>
  <si>
    <t>MANANTHAVADY</t>
  </si>
  <si>
    <t>MANNARKAD</t>
  </si>
  <si>
    <t>MAVELIKKARA</t>
  </si>
  <si>
    <t>MEENACHIL</t>
  </si>
  <si>
    <t>MUKUNDAPURAM</t>
  </si>
  <si>
    <t>MUVATTUPUZHA</t>
  </si>
  <si>
    <t>NEAR BADANT CINEMA,MUMBAI</t>
  </si>
  <si>
    <t>NEDUMANGAD</t>
  </si>
  <si>
    <t>NEHRU  NAGAR  GHAZIABAD</t>
  </si>
  <si>
    <t>NEYYATTINKARA</t>
  </si>
  <si>
    <t>NILAMBUR</t>
  </si>
  <si>
    <t>NOIDA - 201301</t>
  </si>
  <si>
    <t>OTTAPPALAM</t>
  </si>
  <si>
    <t>PALA</t>
  </si>
  <si>
    <t>PALAKKAD</t>
  </si>
  <si>
    <t>PARAVUR</t>
  </si>
  <si>
    <t>PATHANAMTHITTA</t>
  </si>
  <si>
    <t>PATHANAPURAM</t>
  </si>
  <si>
    <t>PEERUMADE</t>
  </si>
  <si>
    <t>PERINTHALMANNA</t>
  </si>
  <si>
    <t>PONNANI</t>
  </si>
  <si>
    <t>QUILANDY</t>
  </si>
  <si>
    <t>RANNI</t>
  </si>
  <si>
    <t>SULTHANBATHERY</t>
  </si>
  <si>
    <t>TALAPPILLY</t>
  </si>
  <si>
    <t>TALIPARAMBA</t>
  </si>
  <si>
    <t>THALASSERY</t>
  </si>
  <si>
    <t>THIRUVALLA</t>
  </si>
  <si>
    <t>THIRUVANANTHAPURAM</t>
  </si>
  <si>
    <t>THODUPUZHA</t>
  </si>
  <si>
    <t>THRISSUR</t>
  </si>
  <si>
    <t>TIRUR</t>
  </si>
  <si>
    <t>TIRURANGADI</t>
  </si>
  <si>
    <t>TIRUVALLA</t>
  </si>
  <si>
    <t>UDUMBANCHOLA</t>
  </si>
  <si>
    <t>VADAKARA</t>
  </si>
  <si>
    <t>VAIKOM</t>
  </si>
  <si>
    <t>VYTHIRI</t>
  </si>
  <si>
    <t>LAKSHADWEEP</t>
  </si>
  <si>
    <t>AMINI</t>
  </si>
  <si>
    <t>ANDROTT</t>
  </si>
  <si>
    <t>MADHYA PRADESH</t>
  </si>
  <si>
    <t>AGAR</t>
  </si>
  <si>
    <t>AJAIGARH</t>
  </si>
  <si>
    <t>ALGI</t>
  </si>
  <si>
    <t>ALIRAJPUR</t>
  </si>
  <si>
    <t>ALOT</t>
  </si>
  <si>
    <t>AMARPATAN</t>
  </si>
  <si>
    <t>AMARWARA</t>
  </si>
  <si>
    <t>AMBAH</t>
  </si>
  <si>
    <t>AMLA</t>
  </si>
  <si>
    <t>ANUPPUR</t>
  </si>
  <si>
    <t>ARRODA</t>
  </si>
  <si>
    <t>ASHOKNAGAR</t>
  </si>
  <si>
    <t>ASHTA</t>
  </si>
  <si>
    <t>ATER</t>
  </si>
  <si>
    <t>AYODHYA BYPASS ROAD,</t>
  </si>
  <si>
    <t>BABAI</t>
  </si>
  <si>
    <t>BADA-MALHERA</t>
  </si>
  <si>
    <t>BADNAGAR</t>
  </si>
  <si>
    <t>BADNAWAR</t>
  </si>
  <si>
    <t>BADOD</t>
  </si>
  <si>
    <t>BAHORIBAND</t>
  </si>
  <si>
    <t>BAIHAR</t>
  </si>
  <si>
    <t>BAJNA</t>
  </si>
  <si>
    <t>BALAGHAT</t>
  </si>
  <si>
    <t>BALDEOGARH</t>
  </si>
  <si>
    <t>BANDA</t>
  </si>
  <si>
    <t>BANDHOGARH</t>
  </si>
  <si>
    <t>BANKHEDI</t>
  </si>
  <si>
    <t>BARAILY</t>
  </si>
  <si>
    <t>BARGHAT</t>
  </si>
  <si>
    <t>BARWAHA</t>
  </si>
  <si>
    <t>BARWANI</t>
  </si>
  <si>
    <t>BASODA</t>
  </si>
  <si>
    <t>BATIYAGARH</t>
  </si>
  <si>
    <t>BEDIYA</t>
  </si>
  <si>
    <t>BEGAMGANJ</t>
  </si>
  <si>
    <t>BEOHARI</t>
  </si>
  <si>
    <t>BERASIA</t>
  </si>
  <si>
    <t>BETUL</t>
  </si>
  <si>
    <t>BHADBHADA</t>
  </si>
  <si>
    <t>BHAGWANPURA</t>
  </si>
  <si>
    <t>BHAINSDEHI</t>
  </si>
  <si>
    <t>BHANDER</t>
  </si>
  <si>
    <t>BHANPURA</t>
  </si>
  <si>
    <t>BHAVRA</t>
  </si>
  <si>
    <t>BHEL</t>
  </si>
  <si>
    <t>BHERUGARH</t>
  </si>
  <si>
    <t>BHIKANGAON</t>
  </si>
  <si>
    <t>BHIND</t>
  </si>
  <si>
    <t>BHITARWAR</t>
  </si>
  <si>
    <t>BHOPAL</t>
  </si>
  <si>
    <t>BHOPAL MACT COLLEGE</t>
  </si>
  <si>
    <t>BIAORA</t>
  </si>
  <si>
    <t>BICHHIYA</t>
  </si>
  <si>
    <t>BICHHUA</t>
  </si>
  <si>
    <t>BIJAWAR</t>
  </si>
  <si>
    <t>BINA</t>
  </si>
  <si>
    <t>BIRLA NAGAR</t>
  </si>
  <si>
    <t>BUDHIYA</t>
  </si>
  <si>
    <t>BUDNI</t>
  </si>
  <si>
    <t>BURHANPUR</t>
  </si>
  <si>
    <t>CHACHAURA</t>
  </si>
  <si>
    <t>CHANDERI</t>
  </si>
  <si>
    <t>CHAURAI</t>
  </si>
  <si>
    <t>CHHATARPUR</t>
  </si>
  <si>
    <t>CHHINDWARA</t>
  </si>
  <si>
    <t>CHITRANGI</t>
  </si>
  <si>
    <t>CHURHAT</t>
  </si>
  <si>
    <t>CITY OF DUBAI.</t>
  </si>
  <si>
    <t>DABRA</t>
  </si>
  <si>
    <t>DAK BHAWAN</t>
  </si>
  <si>
    <t>DAMOH</t>
  </si>
  <si>
    <t>DARPAN COLONY</t>
  </si>
  <si>
    <t>DATIA</t>
  </si>
  <si>
    <t>DEOSAR</t>
  </si>
  <si>
    <t>DEPALPUR</t>
  </si>
  <si>
    <t>DEWAS</t>
  </si>
  <si>
    <t>DHAR</t>
  </si>
  <si>
    <t>DHARAMPURI</t>
  </si>
  <si>
    <t>DINDORI</t>
  </si>
  <si>
    <t>DUDHICHUA</t>
  </si>
  <si>
    <t>GADARWARA</t>
  </si>
  <si>
    <t>GAIRATGANJ</t>
  </si>
  <si>
    <t>GALLA MANDI</t>
  </si>
  <si>
    <t>GARHAKOTA</t>
  </si>
  <si>
    <t>GAROTH</t>
  </si>
  <si>
    <t>GAURIHAR</t>
  </si>
  <si>
    <t>GHANSAUR</t>
  </si>
  <si>
    <t>GHATIYA</t>
  </si>
  <si>
    <t>GIRD</t>
  </si>
  <si>
    <t>GOHAD</t>
  </si>
  <si>
    <t>GOHARGANJ</t>
  </si>
  <si>
    <t>GOPADBANAS</t>
  </si>
  <si>
    <t>GOTEGAON</t>
  </si>
  <si>
    <t>GOUR NAGAR</t>
  </si>
  <si>
    <t>GUNA</t>
  </si>
  <si>
    <t>GUNNOR</t>
  </si>
  <si>
    <t>GURH</t>
  </si>
  <si>
    <t>GYARASPUR</t>
  </si>
  <si>
    <t>HANUMANA</t>
  </si>
  <si>
    <t>HARDA</t>
  </si>
  <si>
    <t>HARSUD</t>
  </si>
  <si>
    <t>HATTA</t>
  </si>
  <si>
    <t>HOSHANGABAD</t>
  </si>
  <si>
    <t>HUZUR</t>
  </si>
  <si>
    <t>ICHHAWAR</t>
  </si>
  <si>
    <t>INDORE</t>
  </si>
  <si>
    <t>ISAGARH</t>
  </si>
  <si>
    <t>ITARSI</t>
  </si>
  <si>
    <t>JABALPUR</t>
  </si>
  <si>
    <t>JABERA</t>
  </si>
  <si>
    <t>JAISINGHNAGAR</t>
  </si>
  <si>
    <t>JAITHARI</t>
  </si>
  <si>
    <t>JAMAI</t>
  </si>
  <si>
    <t>JAORA</t>
  </si>
  <si>
    <t>JATARA</t>
  </si>
  <si>
    <t>JAWAD</t>
  </si>
  <si>
    <t>JHABUA</t>
  </si>
  <si>
    <t>JHIRNIYA</t>
  </si>
  <si>
    <t>JIRAPUR</t>
  </si>
  <si>
    <t>JOBAT</t>
  </si>
  <si>
    <t>JOURA</t>
  </si>
  <si>
    <t>KAILARAS</t>
  </si>
  <si>
    <t>KALAPIPAL</t>
  </si>
  <si>
    <t>KANNOD</t>
  </si>
  <si>
    <t>KARAHAL</t>
  </si>
  <si>
    <t>KARAHI</t>
  </si>
  <si>
    <t>KARERA</t>
  </si>
  <si>
    <t>KASRAWAD</t>
  </si>
  <si>
    <t>KATANGI</t>
  </si>
  <si>
    <t>KEOLARI</t>
  </si>
  <si>
    <t>KESLI</t>
  </si>
  <si>
    <t>KHACHAROD</t>
  </si>
  <si>
    <t>KHANDWA</t>
  </si>
  <si>
    <t>KHANIYADHANA</t>
  </si>
  <si>
    <t>KHARGONE</t>
  </si>
  <si>
    <t>KHATEGAON</t>
  </si>
  <si>
    <t>KHILCHIPUR</t>
  </si>
  <si>
    <t>KHIRKIYA</t>
  </si>
  <si>
    <t>KHURAI</t>
  </si>
  <si>
    <t>KIRNAPUR</t>
  </si>
  <si>
    <t>KOLARAS</t>
  </si>
  <si>
    <t>KOTMA</t>
  </si>
  <si>
    <t>KUKSHI</t>
  </si>
  <si>
    <t>KUMBHRAJ</t>
  </si>
  <si>
    <t>KUNDAM</t>
  </si>
  <si>
    <t>KURAI</t>
  </si>
  <si>
    <t>KURWAI</t>
  </si>
  <si>
    <t>LAHAR</t>
  </si>
  <si>
    <t>LAKHNADON</t>
  </si>
  <si>
    <t>LANJI</t>
  </si>
  <si>
    <t>LASHKAR</t>
  </si>
  <si>
    <t>LATERI</t>
  </si>
  <si>
    <t>LAUNDI</t>
  </si>
  <si>
    <t>MAHAVEER NAGAR</t>
  </si>
  <si>
    <t>MAHESHWAR</t>
  </si>
  <si>
    <t>MAHIDPUR</t>
  </si>
  <si>
    <t>MAIHAR</t>
  </si>
  <si>
    <t>MAJAULI</t>
  </si>
  <si>
    <t>MALHARGARH</t>
  </si>
  <si>
    <t>MANASA</t>
  </si>
  <si>
    <t>MANAWAR</t>
  </si>
  <si>
    <t>MANDSAUR</t>
  </si>
  <si>
    <t>MANGAL NAGAR</t>
  </si>
  <si>
    <t>MAUGANJ</t>
  </si>
  <si>
    <t>MEGHNAGAR</t>
  </si>
  <si>
    <t>MEHGAON</t>
  </si>
  <si>
    <t>MHOW</t>
  </si>
  <si>
    <t>MIHONA</t>
  </si>
  <si>
    <t>MOMAN BADODIYA</t>
  </si>
  <si>
    <t>MORENA</t>
  </si>
  <si>
    <t>MOTI MAHAL</t>
  </si>
  <si>
    <t>MULTAI</t>
  </si>
  <si>
    <t>MUNGAOLI</t>
  </si>
  <si>
    <t>MURWARA</t>
  </si>
  <si>
    <t>NAGDA</t>
  </si>
  <si>
    <t>NAGOD</t>
  </si>
  <si>
    <t>NAIHAT</t>
  </si>
  <si>
    <t>NAINPUR</t>
  </si>
  <si>
    <t>NALKHEDA</t>
  </si>
  <si>
    <t>NANAKHEDA</t>
  </si>
  <si>
    <t>NARSIMHAPUR</t>
  </si>
  <si>
    <t>NARSINGHGARH</t>
  </si>
  <si>
    <t>NARWAR</t>
  </si>
  <si>
    <t>NASRULLAGANJ</t>
  </si>
  <si>
    <t>NATERAN</t>
  </si>
  <si>
    <t>NAYA BAZAR</t>
  </si>
  <si>
    <t>NEEMUCH</t>
  </si>
  <si>
    <t>NEPANAGAR</t>
  </si>
  <si>
    <t>NISHATPURA</t>
  </si>
  <si>
    <t>NIWARI</t>
  </si>
  <si>
    <t>NIWAS</t>
  </si>
  <si>
    <t>NOWGONG</t>
  </si>
  <si>
    <t>PALERA</t>
  </si>
  <si>
    <t>PANDHANA</t>
  </si>
  <si>
    <t>PANDHURNA</t>
  </si>
  <si>
    <t>PANNA</t>
  </si>
  <si>
    <t>PANSEMAL</t>
  </si>
  <si>
    <t>PARASIA</t>
  </si>
  <si>
    <t>PATERA</t>
  </si>
  <si>
    <t>PATHARIA</t>
  </si>
  <si>
    <t>PAWAI</t>
  </si>
  <si>
    <t>PETLAWAD</t>
  </si>
  <si>
    <t>PICHHORE</t>
  </si>
  <si>
    <t>PIPARIYA</t>
  </si>
  <si>
    <t>PIPLODA</t>
  </si>
  <si>
    <t>POHARI</t>
  </si>
  <si>
    <t>PORSA</t>
  </si>
  <si>
    <t>PRITHVIPUR</t>
  </si>
  <si>
    <t>PUSHPARAJGARH</t>
  </si>
  <si>
    <t>RAGHOGARH</t>
  </si>
  <si>
    <t>RAGHURAJ NAGAR</t>
  </si>
  <si>
    <t>RAGHURAJNAGAR</t>
  </si>
  <si>
    <t>RAHATGARH</t>
  </si>
  <si>
    <t>RAISEN</t>
  </si>
  <si>
    <t>RAJ BHAWAN</t>
  </si>
  <si>
    <t>RAJNAGAR</t>
  </si>
  <si>
    <t>RAMPUR NAIKIN</t>
  </si>
  <si>
    <t>RAMPUR-BAGHELAN</t>
  </si>
  <si>
    <t>RANAPUR</t>
  </si>
  <si>
    <t>RASALPURA</t>
  </si>
  <si>
    <t>RATLAM</t>
  </si>
  <si>
    <t>SABALGARH</t>
  </si>
  <si>
    <t>SALICHAUKA</t>
  </si>
  <si>
    <t>SANWER</t>
  </si>
  <si>
    <t>SARANGPUR</t>
  </si>
  <si>
    <t>SARDARPUR</t>
  </si>
  <si>
    <t>SATPUDA</t>
  </si>
  <si>
    <t>SAUSAR</t>
  </si>
  <si>
    <t>SAWER</t>
  </si>
  <si>
    <t>SEHORE</t>
  </si>
  <si>
    <t>SENDHWA</t>
  </si>
  <si>
    <t>SEONDHA</t>
  </si>
  <si>
    <t>SEONI-MALWA</t>
  </si>
  <si>
    <t>SHAHNAGAR</t>
  </si>
  <si>
    <t>SHAHPURA</t>
  </si>
  <si>
    <t>SHAJAPUR</t>
  </si>
  <si>
    <t>SHEOPUR</t>
  </si>
  <si>
    <t>SHIKSHA MANDAL</t>
  </si>
  <si>
    <t>SHIVPURI</t>
  </si>
  <si>
    <t>SHUJALPUR</t>
  </si>
  <si>
    <t>SIHAWAL</t>
  </si>
  <si>
    <t>SIHORA</t>
  </si>
  <si>
    <t>SILWANI</t>
  </si>
  <si>
    <t>SINGRAULI</t>
  </si>
  <si>
    <t>SIRMAUR</t>
  </si>
  <si>
    <t>SIRONJ</t>
  </si>
  <si>
    <t>SITAMAU</t>
  </si>
  <si>
    <t>SOHAGPUR</t>
  </si>
  <si>
    <t>SONKATCH</t>
  </si>
  <si>
    <t>SUSNER</t>
  </si>
  <si>
    <t>TAMIA</t>
  </si>
  <si>
    <t>TARANA</t>
  </si>
  <si>
    <t>TENDUKHEDA</t>
  </si>
  <si>
    <t>TEONTHAR</t>
  </si>
  <si>
    <t>THANDLA</t>
  </si>
  <si>
    <t>THIKRI</t>
  </si>
  <si>
    <t>TIKAMGARH</t>
  </si>
  <si>
    <t>TILLAKNAGAR</t>
  </si>
  <si>
    <t>TIMARNI</t>
  </si>
  <si>
    <t>TONK KHURD</t>
  </si>
  <si>
    <t>TRILANGA</t>
  </si>
  <si>
    <t>UDAIPURA</t>
  </si>
  <si>
    <t>UJJAIN</t>
  </si>
  <si>
    <t>UNCHEHARA</t>
  </si>
  <si>
    <t>VIDISHA</t>
  </si>
  <si>
    <t>VIJAYPUR</t>
  </si>
  <si>
    <t>VIJAYRAGHAVGARH</t>
  </si>
  <si>
    <t>WARASEONI</t>
  </si>
  <si>
    <t>MAHARASHTRA</t>
  </si>
  <si>
    <t>ACHALPUR</t>
  </si>
  <si>
    <t>AHERI</t>
  </si>
  <si>
    <t>AHMADNAGAR</t>
  </si>
  <si>
    <t>AHMADPUR</t>
  </si>
  <si>
    <t>AHMEDNAGAR</t>
  </si>
  <si>
    <t>AJRA</t>
  </si>
  <si>
    <t>AKKALKOT</t>
  </si>
  <si>
    <t>AKKALKUWA</t>
  </si>
  <si>
    <t>AKOLA</t>
  </si>
  <si>
    <t>AKOT</t>
  </si>
  <si>
    <t>AKRANI</t>
  </si>
  <si>
    <t>ALIBAG</t>
  </si>
  <si>
    <t>AMALNER</t>
  </si>
  <si>
    <t>AMBAD</t>
  </si>
  <si>
    <t>AMBAJOGAI</t>
  </si>
  <si>
    <t>AMBARNATH</t>
  </si>
  <si>
    <t>AMBEGAON</t>
  </si>
  <si>
    <t>AMBERNATH</t>
  </si>
  <si>
    <t>AMBERNATH WEST, THANE</t>
  </si>
  <si>
    <t>AMGAON</t>
  </si>
  <si>
    <t>AMRAVATI</t>
  </si>
  <si>
    <t>ANJANGAON</t>
  </si>
  <si>
    <t>ANJANGAON SURJI</t>
  </si>
  <si>
    <t>ARDHAPUR</t>
  </si>
  <si>
    <t>ARJUNI MORGAON</t>
  </si>
  <si>
    <t>ARMORI</t>
  </si>
  <si>
    <t>ARNI</t>
  </si>
  <si>
    <t>ARVI</t>
  </si>
  <si>
    <t>ASHTI</t>
  </si>
  <si>
    <t>ATPADI</t>
  </si>
  <si>
    <t>AUNDHA NAGNATH</t>
  </si>
  <si>
    <t>AUSA</t>
  </si>
  <si>
    <t>BABHULGAON</t>
  </si>
  <si>
    <t>BADNAPUR</t>
  </si>
  <si>
    <t>BALAPUR</t>
  </si>
  <si>
    <t>BALLARPUR</t>
  </si>
  <si>
    <t>BARAMATI</t>
  </si>
  <si>
    <t>BARSHI</t>
  </si>
  <si>
    <t>BARSHITAKLI</t>
  </si>
  <si>
    <t>BASMATHNAGAR</t>
  </si>
  <si>
    <t>BASSEIN</t>
  </si>
  <si>
    <t>BAVDA</t>
  </si>
  <si>
    <t>BHADGAON</t>
  </si>
  <si>
    <t>BHANDARA</t>
  </si>
  <si>
    <t>BHATKULI</t>
  </si>
  <si>
    <t>BHIWANDI</t>
  </si>
  <si>
    <t>BHIWAPUR</t>
  </si>
  <si>
    <t>BHOKAR</t>
  </si>
  <si>
    <t>BHOR</t>
  </si>
  <si>
    <t>BHUDARGAD</t>
  </si>
  <si>
    <t>BHUM</t>
  </si>
  <si>
    <t>BHUSAWAL</t>
  </si>
  <si>
    <t>BID</t>
  </si>
  <si>
    <t>BILOLI</t>
  </si>
  <si>
    <t>BODWAD</t>
  </si>
  <si>
    <t>BORIVALI EAST</t>
  </si>
  <si>
    <t>BORIVALI WEST</t>
  </si>
  <si>
    <t>BRAHMAPURI</t>
  </si>
  <si>
    <t>BULDHANA</t>
  </si>
  <si>
    <t>CHAKUR</t>
  </si>
  <si>
    <t>CHALISGAON</t>
  </si>
  <si>
    <t>CHAMORSHI</t>
  </si>
  <si>
    <t>CHANDGAD</t>
  </si>
  <si>
    <t>CHANDUR BAZAR</t>
  </si>
  <si>
    <t>CHANDUR RAILWAY</t>
  </si>
  <si>
    <t>CHANDVAD</t>
  </si>
  <si>
    <t>CHIKHALDARA</t>
  </si>
  <si>
    <t>CHIMUR</t>
  </si>
  <si>
    <t>CHIPLUN</t>
  </si>
  <si>
    <t>CHOPDA</t>
  </si>
  <si>
    <t>DAHANU</t>
  </si>
  <si>
    <t>DAHISAR EAST</t>
  </si>
  <si>
    <t>DAPOLI</t>
  </si>
  <si>
    <t>DARWHA</t>
  </si>
  <si>
    <t>DARYAPUR</t>
  </si>
  <si>
    <t>DAUND</t>
  </si>
  <si>
    <t>DEGLUR</t>
  </si>
  <si>
    <t>DEOLI</t>
  </si>
  <si>
    <t>DESAIGANJ (VADASA)</t>
  </si>
  <si>
    <t>DEVGAD</t>
  </si>
  <si>
    <t>DEVLA</t>
  </si>
  <si>
    <t>DHAMANGAON</t>
  </si>
  <si>
    <t>DHAMANGAON RLY</t>
  </si>
  <si>
    <t>DHANORA</t>
  </si>
  <si>
    <t>DHARANGAON</t>
  </si>
  <si>
    <t>DHARMABAD</t>
  </si>
  <si>
    <t>DHARNI</t>
  </si>
  <si>
    <t>DHARUR</t>
  </si>
  <si>
    <t>DHULE</t>
  </si>
  <si>
    <t>DIGRAS</t>
  </si>
  <si>
    <t>DODAMARG</t>
  </si>
  <si>
    <t>EDLABAD</t>
  </si>
  <si>
    <t>ERANDOL</t>
  </si>
  <si>
    <t>ETTAPALLI</t>
  </si>
  <si>
    <t>GADHINGLAJ</t>
  </si>
  <si>
    <t>GANGAKHED</t>
  </si>
  <si>
    <t>GANGAPUR</t>
  </si>
  <si>
    <t>GEORAI</t>
  </si>
  <si>
    <t>GHANSAWANGI</t>
  </si>
  <si>
    <t>GHATANJI</t>
  </si>
  <si>
    <t>GONDIYA</t>
  </si>
  <si>
    <t>GONDPIPRI</t>
  </si>
  <si>
    <t>GOREGAON</t>
  </si>
  <si>
    <t>GOREGAON EAST</t>
  </si>
  <si>
    <t>GOREGAON WEST</t>
  </si>
  <si>
    <t>GUHAGAR</t>
  </si>
  <si>
    <t>HADGAON</t>
  </si>
  <si>
    <t>HATKANANGALE</t>
  </si>
  <si>
    <t>HIMAYATNAGAR</t>
  </si>
  <si>
    <t>HINGANGHAT</t>
  </si>
  <si>
    <t>HINGNA</t>
  </si>
  <si>
    <t>HINGOLI</t>
  </si>
  <si>
    <t>IGATPURI</t>
  </si>
  <si>
    <t>INDAPUR</t>
  </si>
  <si>
    <t>JAFFERABAD</t>
  </si>
  <si>
    <t>JALGAON</t>
  </si>
  <si>
    <t>JALGAON (JAMOD)</t>
  </si>
  <si>
    <t>JALKOT</t>
  </si>
  <si>
    <t>JALNA</t>
  </si>
  <si>
    <t>JAMKHED</t>
  </si>
  <si>
    <t>JAMNER</t>
  </si>
  <si>
    <t>JAT</t>
  </si>
  <si>
    <t>JAWHAR</t>
  </si>
  <si>
    <t>JINTUR</t>
  </si>
  <si>
    <t>JOGESHWARI EAST</t>
  </si>
  <si>
    <t>JOGESHWARI WEST</t>
  </si>
  <si>
    <t>JUNNAR</t>
  </si>
  <si>
    <t>KAIJ</t>
  </si>
  <si>
    <t>KALAMB</t>
  </si>
  <si>
    <t>KALAMBOLI</t>
  </si>
  <si>
    <t>KALAMESHWAR</t>
  </si>
  <si>
    <t>KALAMNURI</t>
  </si>
  <si>
    <t>KALWAN</t>
  </si>
  <si>
    <t>KALYAN</t>
  </si>
  <si>
    <t>KAMTHI</t>
  </si>
  <si>
    <t>KANDHAR</t>
  </si>
  <si>
    <t>KANDIVALI EAST</t>
  </si>
  <si>
    <t>KANDIVALI WEST</t>
  </si>
  <si>
    <t>KANKAVLI</t>
  </si>
  <si>
    <t>KANNAD</t>
  </si>
  <si>
    <t>KARAD</t>
  </si>
  <si>
    <t>KARANJA</t>
  </si>
  <si>
    <t>KARJAT</t>
  </si>
  <si>
    <t>KARMALA</t>
  </si>
  <si>
    <t>KARVIR</t>
  </si>
  <si>
    <t>KATOL</t>
  </si>
  <si>
    <t>KAVATHE MAHANKAL</t>
  </si>
  <si>
    <t>KELAPUR</t>
  </si>
  <si>
    <t>KHALAPUR</t>
  </si>
  <si>
    <t>KHAMGAON</t>
  </si>
  <si>
    <t>KHANDALA</t>
  </si>
  <si>
    <t>KHATAV</t>
  </si>
  <si>
    <t>KHED</t>
  </si>
  <si>
    <t>KHULDABAD</t>
  </si>
  <si>
    <t>KINWAT</t>
  </si>
  <si>
    <t>KOLHAPUR</t>
  </si>
  <si>
    <t>KOPARGAON</t>
  </si>
  <si>
    <t>KOPERGAON</t>
  </si>
  <si>
    <t>KORCHI</t>
  </si>
  <si>
    <t>KOREGAON</t>
  </si>
  <si>
    <t>KORPHANA</t>
  </si>
  <si>
    <t>KUDAL</t>
  </si>
  <si>
    <t>KUHI</t>
  </si>
  <si>
    <t>KUNJ NEW</t>
  </si>
  <si>
    <t>LAKHANDUR</t>
  </si>
  <si>
    <t>LAKHANI</t>
  </si>
  <si>
    <t>LAKHNI</t>
  </si>
  <si>
    <t>LANJA</t>
  </si>
  <si>
    <t>LATUR</t>
  </si>
  <si>
    <t>LOHA</t>
  </si>
  <si>
    <t>LONAR</t>
  </si>
  <si>
    <t>MADHA</t>
  </si>
  <si>
    <t>MAHAD</t>
  </si>
  <si>
    <t>MAHAGAON</t>
  </si>
  <si>
    <t>MAHOOR</t>
  </si>
  <si>
    <t>MAJAL</t>
  </si>
  <si>
    <t>MALAD EAST</t>
  </si>
  <si>
    <t>MALAD WEST</t>
  </si>
  <si>
    <t>MALEGAON</t>
  </si>
  <si>
    <t>MALKAPUR</t>
  </si>
  <si>
    <t>MALSHIRAS</t>
  </si>
  <si>
    <t>MALSIRAS</t>
  </si>
  <si>
    <t>MALWAN</t>
  </si>
  <si>
    <t>MAN</t>
  </si>
  <si>
    <t>MANDANGAD</t>
  </si>
  <si>
    <t>MANGALVEDHA</t>
  </si>
  <si>
    <t>MANGAON</t>
  </si>
  <si>
    <t>MANMANGALAM</t>
  </si>
  <si>
    <t>MANTHA</t>
  </si>
  <si>
    <t>MANWATH</t>
  </si>
  <si>
    <t>MAREGAON</t>
  </si>
  <si>
    <t>MAUDA</t>
  </si>
  <si>
    <t>MAVAL</t>
  </si>
  <si>
    <t>MAWAL</t>
  </si>
  <si>
    <t>MEHKAR</t>
  </si>
  <si>
    <t>MHASLA</t>
  </si>
  <si>
    <t>MIRAJ</t>
  </si>
  <si>
    <t>MOHADI</t>
  </si>
  <si>
    <t>MOHOL</t>
  </si>
  <si>
    <t>MOKHADA</t>
  </si>
  <si>
    <t>MORE, PS KOTWALI</t>
  </si>
  <si>
    <t>MORSHI</t>
  </si>
  <si>
    <t>MOTALA</t>
  </si>
  <si>
    <t>MOTERA</t>
  </si>
  <si>
    <t>MUKHED</t>
  </si>
  <si>
    <t>MUL</t>
  </si>
  <si>
    <t>MULSHI</t>
  </si>
  <si>
    <t>MUMBAI</t>
  </si>
  <si>
    <t>MURBAD</t>
  </si>
  <si>
    <t>NAGAR , DELHI</t>
  </si>
  <si>
    <t>NAGBHIR</t>
  </si>
  <si>
    <t>NAGPUR</t>
  </si>
  <si>
    <t>NAIGAON</t>
  </si>
  <si>
    <t>NANDED</t>
  </si>
  <si>
    <t>NANDGAON</t>
  </si>
  <si>
    <t>NANDGAON KHANDESHWAR</t>
  </si>
  <si>
    <t>NANDURA</t>
  </si>
  <si>
    <t>NANDURBAR</t>
  </si>
  <si>
    <t>NARKHED</t>
  </si>
  <si>
    <t>NASHIK</t>
  </si>
  <si>
    <t>NAVI  MUMBAI</t>
  </si>
  <si>
    <t>NAVI MUMBAI</t>
  </si>
  <si>
    <t>NAVI MUMBAI - 400614</t>
  </si>
  <si>
    <t>NAWAPUR</t>
  </si>
  <si>
    <t>NER</t>
  </si>
  <si>
    <t>NEVASA</t>
  </si>
  <si>
    <t>NILANGA</t>
  </si>
  <si>
    <t>NIPHAD</t>
  </si>
  <si>
    <t>NORTH SOLAPUR</t>
  </si>
  <si>
    <t>OSMANABAD</t>
  </si>
  <si>
    <t>PACHORA</t>
  </si>
  <si>
    <t>PAITHAN</t>
  </si>
  <si>
    <t>PALAM</t>
  </si>
  <si>
    <t>PALGHAR</t>
  </si>
  <si>
    <t>PALUS</t>
  </si>
  <si>
    <t>PANDHARPUR</t>
  </si>
  <si>
    <t>PANHALA</t>
  </si>
  <si>
    <t>PANVEL</t>
  </si>
  <si>
    <t>PARANDA</t>
  </si>
  <si>
    <t>PARATWADA</t>
  </si>
  <si>
    <t>PARBHANI</t>
  </si>
  <si>
    <t>PARLI</t>
  </si>
  <si>
    <t>PARNER</t>
  </si>
  <si>
    <t>PAROLA</t>
  </si>
  <si>
    <t>PARSEONI</t>
  </si>
  <si>
    <t>PARTUR</t>
  </si>
  <si>
    <t>PATHARDI</t>
  </si>
  <si>
    <t>PATHRI</t>
  </si>
  <si>
    <t>PATODA</t>
  </si>
  <si>
    <t>PAUNI</t>
  </si>
  <si>
    <t>PEINT</t>
  </si>
  <si>
    <t>PEN</t>
  </si>
  <si>
    <t>PHALTAN</t>
  </si>
  <si>
    <t>PHULAMBRI</t>
  </si>
  <si>
    <t>PHULUMBRI</t>
  </si>
  <si>
    <t>PUNE</t>
  </si>
  <si>
    <t>PURANDAR</t>
  </si>
  <si>
    <t>PURANDHAR</t>
  </si>
  <si>
    <t>PURNA</t>
  </si>
  <si>
    <t>PUSAD</t>
  </si>
  <si>
    <t>RADHANAGARI</t>
  </si>
  <si>
    <t>RAHTA</t>
  </si>
  <si>
    <t>RAHURI</t>
  </si>
  <si>
    <t>RAIGARH JUTE MILLS</t>
  </si>
  <si>
    <t>RAJAPUR</t>
  </si>
  <si>
    <t>RAJURA</t>
  </si>
  <si>
    <t>RALEGAON</t>
  </si>
  <si>
    <t>RAMTEK</t>
  </si>
  <si>
    <t>RATNAGIRI</t>
  </si>
  <si>
    <t>RAVER</t>
  </si>
  <si>
    <t>RENAPUR</t>
  </si>
  <si>
    <t>ROHA</t>
  </si>
  <si>
    <t>SADAK ARJUNI</t>
  </si>
  <si>
    <t>SADAK-ARJUNI</t>
  </si>
  <si>
    <t>SAKOLI</t>
  </si>
  <si>
    <t>SAKRI</t>
  </si>
  <si>
    <t>SALEKASA</t>
  </si>
  <si>
    <t>SAMUDRAPUR</t>
  </si>
  <si>
    <t>SANGAMESHWAR</t>
  </si>
  <si>
    <t>SANGAMNER</t>
  </si>
  <si>
    <t>SANGLI</t>
  </si>
  <si>
    <t>SANGMESHWAR</t>
  </si>
  <si>
    <t>SANGOLE</t>
  </si>
  <si>
    <t>SANTACRUZ</t>
  </si>
  <si>
    <t>SASWAD - 411001</t>
  </si>
  <si>
    <t>SATANA</t>
  </si>
  <si>
    <t>SATARA</t>
  </si>
  <si>
    <t>SAVNER</t>
  </si>
  <si>
    <t>SAWALI</t>
  </si>
  <si>
    <t>SAWANTWADI</t>
  </si>
  <si>
    <t>SELOO</t>
  </si>
  <si>
    <t>SENGAON</t>
  </si>
  <si>
    <t>SHAHADE</t>
  </si>
  <si>
    <t>SHAHAPUR</t>
  </si>
  <si>
    <t>SHAHUWADI</t>
  </si>
  <si>
    <t>SHEGAON</t>
  </si>
  <si>
    <t>SHEVGAON</t>
  </si>
  <si>
    <t>SHINDKHEDE</t>
  </si>
  <si>
    <t>SHIRALA</t>
  </si>
  <si>
    <t>SHIROL</t>
  </si>
  <si>
    <t>SHIRPUR</t>
  </si>
  <si>
    <t>SHIRUR</t>
  </si>
  <si>
    <t>SHIRUR ANANTPAL</t>
  </si>
  <si>
    <t>SHRIGONDA</t>
  </si>
  <si>
    <t>SHRIRAMPUR</t>
  </si>
  <si>
    <t>SHRIVARDHAN</t>
  </si>
  <si>
    <t>SILLOD</t>
  </si>
  <si>
    <t>SIMADA ROAD SURAT</t>
  </si>
  <si>
    <t>SINDEWAHI</t>
  </si>
  <si>
    <t>SINDKHEDE</t>
  </si>
  <si>
    <t>SINNAR</t>
  </si>
  <si>
    <t>SOEGAON</t>
  </si>
  <si>
    <t>SOLAPUR</t>
  </si>
  <si>
    <t>SONPETH</t>
  </si>
  <si>
    <t>SOUTH SOLAPUR</t>
  </si>
  <si>
    <t>SUDHAGAD</t>
  </si>
  <si>
    <t>SULTANWIND</t>
  </si>
  <si>
    <t>TALASARI</t>
  </si>
  <si>
    <t>TALODE</t>
  </si>
  <si>
    <t>TASGAON</t>
  </si>
  <si>
    <t>TELHARA</t>
  </si>
  <si>
    <t>TEOSA</t>
  </si>
  <si>
    <t>THANE</t>
  </si>
  <si>
    <t>TIRORA</t>
  </si>
  <si>
    <t>TULJAPUR</t>
  </si>
  <si>
    <t>TUMSAR</t>
  </si>
  <si>
    <t>UDGIR</t>
  </si>
  <si>
    <t>ULHASNAGAR</t>
  </si>
  <si>
    <t>UMARGA</t>
  </si>
  <si>
    <t>UMARI</t>
  </si>
  <si>
    <t>UMARKHED</t>
  </si>
  <si>
    <t>UMRED</t>
  </si>
  <si>
    <t>UNNAV</t>
  </si>
  <si>
    <t>URAN</t>
  </si>
  <si>
    <t>VAIBHAVWADI</t>
  </si>
  <si>
    <t>VAIJAPUR</t>
  </si>
  <si>
    <t>VASAI</t>
  </si>
  <si>
    <t>VELHE</t>
  </si>
  <si>
    <t>VENGURLA</t>
  </si>
  <si>
    <t>VIKRAMGAD</t>
  </si>
  <si>
    <t>VIRAR</t>
  </si>
  <si>
    <t>WADA</t>
  </si>
  <si>
    <t>WAI</t>
  </si>
  <si>
    <t>WALWA</t>
  </si>
  <si>
    <t>WANI</t>
  </si>
  <si>
    <t>WARDHA</t>
  </si>
  <si>
    <t>WARORA</t>
  </si>
  <si>
    <t>WARUD</t>
  </si>
  <si>
    <t>WASHIM</t>
  </si>
  <si>
    <t>YAVATMAL</t>
  </si>
  <si>
    <t>YAWAL</t>
  </si>
  <si>
    <t>YEVLA</t>
  </si>
  <si>
    <t>MANIPUR</t>
  </si>
  <si>
    <t>BISHENPUR</t>
  </si>
  <si>
    <t>CHANDEL</t>
  </si>
  <si>
    <t>CHENDEL</t>
  </si>
  <si>
    <t>CHURACHANDPUR</t>
  </si>
  <si>
    <t>D M COLLEGE</t>
  </si>
  <si>
    <t>IMPHAL</t>
  </si>
  <si>
    <t>KARONG</t>
  </si>
  <si>
    <t>NIL</t>
  </si>
  <si>
    <t>SENAPATI</t>
  </si>
  <si>
    <t>TAMENGLONG</t>
  </si>
  <si>
    <t>THOUBAL</t>
  </si>
  <si>
    <t>UKHRUL</t>
  </si>
  <si>
    <t>MEGHALAYA</t>
  </si>
  <si>
    <t>AMLAREM</t>
  </si>
  <si>
    <t>ARAIMILE</t>
  </si>
  <si>
    <t>ASSAM RIFLES</t>
  </si>
  <si>
    <t>BAGHMARA</t>
  </si>
  <si>
    <t>BALAT</t>
  </si>
  <si>
    <t>BETASING</t>
  </si>
  <si>
    <t>BYRNIHAT</t>
  </si>
  <si>
    <t>CHERRABAZAR</t>
  </si>
  <si>
    <t>CHERRAPUNJEE</t>
  </si>
  <si>
    <t>DALU</t>
  </si>
  <si>
    <t>HAPPY VALLEY</t>
  </si>
  <si>
    <t>IEWDUH</t>
  </si>
  <si>
    <t>KHLIEHRIAT</t>
  </si>
  <si>
    <t>LAITUMKHRAH</t>
  </si>
  <si>
    <t>LOWER CHANDMARI</t>
  </si>
  <si>
    <t>MAIRANG</t>
  </si>
  <si>
    <t>MAWKYRWAT</t>
  </si>
  <si>
    <t>MAWPHLANG</t>
  </si>
  <si>
    <t>MAWRYNGKNENG</t>
  </si>
  <si>
    <t>MAWSYNRAM</t>
  </si>
  <si>
    <t>MENDIPATHAR</t>
  </si>
  <si>
    <t>MYLLIEM</t>
  </si>
  <si>
    <t>NANGWALBIBRA</t>
  </si>
  <si>
    <t>NEIGRIHMS</t>
  </si>
  <si>
    <t>NONGPOH</t>
  </si>
  <si>
    <t>NONGSTOIN</t>
  </si>
  <si>
    <t>PHUDMAWRI</t>
  </si>
  <si>
    <t>PYNURSLA</t>
  </si>
  <si>
    <t>RESUBELPARA</t>
  </si>
  <si>
    <t>RONGARA</t>
  </si>
  <si>
    <t>RONGRAM</t>
  </si>
  <si>
    <t>SAMANDA</t>
  </si>
  <si>
    <t>SELSELLA</t>
  </si>
  <si>
    <t>SHELLA BHOLAGANJ</t>
  </si>
  <si>
    <t>SHILLONG</t>
  </si>
  <si>
    <t>SUMER</t>
  </si>
  <si>
    <t>THADLASKEIN</t>
  </si>
  <si>
    <t>TIKRIKILLA</t>
  </si>
  <si>
    <t>UMIAM</t>
  </si>
  <si>
    <t>UMLING</t>
  </si>
  <si>
    <t>UMSNING</t>
  </si>
  <si>
    <t>ZIKZAK</t>
  </si>
  <si>
    <t>MIZORAM</t>
  </si>
  <si>
    <t>AIBAWK</t>
  </si>
  <si>
    <t>AIZAWL</t>
  </si>
  <si>
    <t>CHAWNGTE</t>
  </si>
  <si>
    <t>DARLAWN</t>
  </si>
  <si>
    <t>EAST LUNGDAR (PART)</t>
  </si>
  <si>
    <t>HNAHTHIAL</t>
  </si>
  <si>
    <t>KHAWBUNG</t>
  </si>
  <si>
    <t>KHAWZAWL</t>
  </si>
  <si>
    <t>LAWNGTLAI</t>
  </si>
  <si>
    <t>LUNGLEI</t>
  </si>
  <si>
    <t>LUNGSEN</t>
  </si>
  <si>
    <t>NGOPA</t>
  </si>
  <si>
    <t>NORTH THINGDAWL</t>
  </si>
  <si>
    <t>REIEK</t>
  </si>
  <si>
    <t>SAIRANG</t>
  </si>
  <si>
    <t>SERCHHIP</t>
  </si>
  <si>
    <t>THINGSULTHLIAH</t>
  </si>
  <si>
    <t>THINGSULTHLIAH (PART)</t>
  </si>
  <si>
    <t>TLANGNUAM</t>
  </si>
  <si>
    <t>TUIPANG</t>
  </si>
  <si>
    <t>WEST BUNGHMUN</t>
  </si>
  <si>
    <t>WEST PHAILENG</t>
  </si>
  <si>
    <t>ZEMABAWK</t>
  </si>
  <si>
    <t>NAGALAND</t>
  </si>
  <si>
    <t>DIMAPUR</t>
  </si>
  <si>
    <t>DOYANG H PROJECT</t>
  </si>
  <si>
    <t>KOHIMA</t>
  </si>
  <si>
    <t>KOHIMA H O</t>
  </si>
  <si>
    <t>MELURI</t>
  </si>
  <si>
    <t>MOKOKCHUNG</t>
  </si>
  <si>
    <t>PHEK</t>
  </si>
  <si>
    <t>WOKHA</t>
  </si>
  <si>
    <t>ORISSA</t>
  </si>
  <si>
    <t>AWALWADI PUNE</t>
  </si>
  <si>
    <t>GURGAON , HARYANA</t>
  </si>
  <si>
    <t>NO 1, TANAJI NAGAR,</t>
  </si>
  <si>
    <t>THEREPURAM</t>
  </si>
  <si>
    <t>AALI</t>
  </si>
  <si>
    <t>AGARPADA</t>
  </si>
  <si>
    <t>AINTHAPALI</t>
  </si>
  <si>
    <t>ALBA</t>
  </si>
  <si>
    <t>AMABAPAL</t>
  </si>
  <si>
    <t>AMALANIGUDA</t>
  </si>
  <si>
    <t>AMBABHONA</t>
  </si>
  <si>
    <t>AMBLIATHA</t>
  </si>
  <si>
    <t>AMNARA</t>
  </si>
  <si>
    <t>ANAL</t>
  </si>
  <si>
    <t>ANANDAPUR</t>
  </si>
  <si>
    <t>ANGUL</t>
  </si>
  <si>
    <t>ANUGUL</t>
  </si>
  <si>
    <t>ARAGAL</t>
  </si>
  <si>
    <t>ARUNODAYA</t>
  </si>
  <si>
    <t>ASIKA</t>
  </si>
  <si>
    <t>ASKA</t>
  </si>
  <si>
    <t>ASURESWAR</t>
  </si>
  <si>
    <t>ASWASTHAPAL</t>
  </si>
  <si>
    <t>ATHAGARH</t>
  </si>
  <si>
    <t>ATHARBANKI</t>
  </si>
  <si>
    <t>ATHMALLIK</t>
  </si>
  <si>
    <t>ATTABIRA</t>
  </si>
  <si>
    <t>AUSHA</t>
  </si>
  <si>
    <t>AVINAB</t>
  </si>
  <si>
    <t>BADABARAGAM</t>
  </si>
  <si>
    <t>BADABARCHIKAYAN</t>
  </si>
  <si>
    <t>BADACHANA</t>
  </si>
  <si>
    <t>BADADUMBALA</t>
  </si>
  <si>
    <t>BADAGADA</t>
  </si>
  <si>
    <t>BADAGAON</t>
  </si>
  <si>
    <t>BADAKHARIDA</t>
  </si>
  <si>
    <t>BADAMBA</t>
  </si>
  <si>
    <t>BADAMPAHAR</t>
  </si>
  <si>
    <t>BADCHHURUNI</t>
  </si>
  <si>
    <t>BADDALIMA</t>
  </si>
  <si>
    <t>BADDAUSEN</t>
  </si>
  <si>
    <t>BADKARLAKOTE</t>
  </si>
  <si>
    <t>BAGJHUMPA</t>
  </si>
  <si>
    <t>BAGUSALA</t>
  </si>
  <si>
    <t>BAHALDA</t>
  </si>
  <si>
    <t>BAHMANDA</t>
  </si>
  <si>
    <t>BAIDYESWAR</t>
  </si>
  <si>
    <t>BAISINGA</t>
  </si>
  <si>
    <t>BAJPUR</t>
  </si>
  <si>
    <t>BAJRAKABARI</t>
  </si>
  <si>
    <t>BALAMUKULIHAT</t>
  </si>
  <si>
    <t>BALANGIR</t>
  </si>
  <si>
    <t>BALESHWAR</t>
  </si>
  <si>
    <t>BALIANTA</t>
  </si>
  <si>
    <t>BALIAPAL</t>
  </si>
  <si>
    <t>BALICHANDRAPUR</t>
  </si>
  <si>
    <t>BALIGUDA</t>
  </si>
  <si>
    <t>BALIKUDA</t>
  </si>
  <si>
    <t>BALIMI</t>
  </si>
  <si>
    <t>BALIPATNA</t>
  </si>
  <si>
    <t>BALUGAON</t>
  </si>
  <si>
    <t>BAMANGADIA</t>
  </si>
  <si>
    <t>BANAPUR</t>
  </si>
  <si>
    <t>BANARPAL</t>
  </si>
  <si>
    <t>BANDHAKATA</t>
  </si>
  <si>
    <t>BANEI</t>
  </si>
  <si>
    <t>BANGIRIPOSI</t>
  </si>
  <si>
    <t>BANGUARY</t>
  </si>
  <si>
    <t>BANITIA</t>
  </si>
  <si>
    <t>BANKI</t>
  </si>
  <si>
    <t>BANKOI</t>
  </si>
  <si>
    <t>BANRA</t>
  </si>
  <si>
    <t>BANSADA</t>
  </si>
  <si>
    <t>BANTALA</t>
  </si>
  <si>
    <t>BARAIPALI</t>
  </si>
  <si>
    <t>BARALABALUNKESWAR</t>
  </si>
  <si>
    <t>BARANG</t>
  </si>
  <si>
    <t>BARATANIA</t>
  </si>
  <si>
    <t>BARBIL</t>
  </si>
  <si>
    <t>BARDEZ CHANDOLIM,</t>
  </si>
  <si>
    <t>BAREHIPANI</t>
  </si>
  <si>
    <t>BARGARH</t>
  </si>
  <si>
    <t>BARI</t>
  </si>
  <si>
    <t>BARIA</t>
  </si>
  <si>
    <t>BARIKUL</t>
  </si>
  <si>
    <t>BARINIPUT</t>
  </si>
  <si>
    <t>BARIPADA</t>
  </si>
  <si>
    <t>BARKOT</t>
  </si>
  <si>
    <t>BARPARA</t>
  </si>
  <si>
    <t>BARSAHI</t>
  </si>
  <si>
    <t>BASTA</t>
  </si>
  <si>
    <t>BASUDEBPUR</t>
  </si>
  <si>
    <t>BASUDEVPUR</t>
  </si>
  <si>
    <t>BATALPUR</t>
  </si>
  <si>
    <t>BATASENA</t>
  </si>
  <si>
    <t>BATULA</t>
  </si>
  <si>
    <t>BAUDH</t>
  </si>
  <si>
    <t>BEGUNIA</t>
  </si>
  <si>
    <t>BELAGHAR</t>
  </si>
  <si>
    <t>BELATIKIRI</t>
  </si>
  <si>
    <t>BELPAHAR</t>
  </si>
  <si>
    <t>BELPARA</t>
  </si>
  <si>
    <t>BENAGAON</t>
  </si>
  <si>
    <t>BERBOI</t>
  </si>
  <si>
    <t>BERHAMPUR</t>
  </si>
  <si>
    <t>BERHAMPUR (GM)</t>
  </si>
  <si>
    <t>BERHAMPUR CITY</t>
  </si>
  <si>
    <t>BERHAMPUR INDUSTRIAL ESTE</t>
  </si>
  <si>
    <t>BETANATI</t>
  </si>
  <si>
    <t>BHADRAK</t>
  </si>
  <si>
    <t>BHAGIBINDHA</t>
  </si>
  <si>
    <t>BHAIRAPUR</t>
  </si>
  <si>
    <t>BHANDARI</t>
  </si>
  <si>
    <t>BHANJANAGAR</t>
  </si>
  <si>
    <t>BHASMA</t>
  </si>
  <si>
    <t>BHATAPATNA</t>
  </si>
  <si>
    <t>BHATLI</t>
  </si>
  <si>
    <t>BHEDEN</t>
  </si>
  <si>
    <t>BHETNOI</t>
  </si>
  <si>
    <t>BHOGRAI</t>
  </si>
  <si>
    <t>BHUBAN</t>
  </si>
  <si>
    <t>BHUBANESWAR</t>
  </si>
  <si>
    <t>BIDANASI</t>
  </si>
  <si>
    <t>BIJEPUR</t>
  </si>
  <si>
    <t>BINJHARPUR</t>
  </si>
  <si>
    <t>BIRAMAHARAJPUR</t>
  </si>
  <si>
    <t>BIRAMITRAPUR</t>
  </si>
  <si>
    <t>BIRINGI</t>
  </si>
  <si>
    <t>BIRMITRAPUR</t>
  </si>
  <si>
    <t>BISHAMAKATAK</t>
  </si>
  <si>
    <t>BISOI</t>
  </si>
  <si>
    <t>BISRA</t>
  </si>
  <si>
    <t>BISSAMGIRI</t>
  </si>
  <si>
    <t>BODEN</t>
  </si>
  <si>
    <t>BODILI</t>
  </si>
  <si>
    <t>BOIPARIGUDA</t>
  </si>
  <si>
    <t>BOLAGAD</t>
  </si>
  <si>
    <t>BOLANI</t>
  </si>
  <si>
    <t>BONDAMUNDA</t>
  </si>
  <si>
    <t>BONTH</t>
  </si>
  <si>
    <t>BOUDH</t>
  </si>
  <si>
    <t>BRAHMAGIRI</t>
  </si>
  <si>
    <t>BRAHMAPUR</t>
  </si>
  <si>
    <t>BUGUDA</t>
  </si>
  <si>
    <t>BURLA</t>
  </si>
  <si>
    <t>CHAMPUA</t>
  </si>
  <si>
    <t>CHAMPULIPADA</t>
  </si>
  <si>
    <t>CHANDABALI</t>
  </si>
  <si>
    <t>CHANDAHANDI</t>
  </si>
  <si>
    <t>CHANDANPUR</t>
  </si>
  <si>
    <t>CHANDBALI</t>
  </si>
  <si>
    <t>CHANDINCHOWK</t>
  </si>
  <si>
    <t>CHANDIPUR</t>
  </si>
  <si>
    <t>CHANDUA</t>
  </si>
  <si>
    <t>CHARAMAL</t>
  </si>
  <si>
    <t>CHARBAHAL</t>
  </si>
  <si>
    <t>CHAULIAGANJ</t>
  </si>
  <si>
    <t>CHELLAGADA</t>
  </si>
  <si>
    <t>CHENAPADI</t>
  </si>
  <si>
    <t>CHHATRAPUR</t>
  </si>
  <si>
    <t>CHHENDIPADA</t>
  </si>
  <si>
    <t>CHIKATI</t>
  </si>
  <si>
    <t>CHILIKA</t>
  </si>
  <si>
    <t>CHITRAKONDA</t>
  </si>
  <si>
    <t>CHOUDWAR</t>
  </si>
  <si>
    <t>COLLECTORATE</t>
  </si>
  <si>
    <t>CUTTACK</t>
  </si>
  <si>
    <t>D.PANGA</t>
  </si>
  <si>
    <t>DABUGAM</t>
  </si>
  <si>
    <t>DABUGAN</t>
  </si>
  <si>
    <t>DAITARI</t>
  </si>
  <si>
    <t>DALIJODA</t>
  </si>
  <si>
    <t>DARINGBADI</t>
  </si>
  <si>
    <t>DARPANIGARH</t>
  </si>
  <si>
    <t>DASAMANTAPUR</t>
  </si>
  <si>
    <t>DASAPALLA</t>
  </si>
  <si>
    <t>DASHIPUR</t>
  </si>
  <si>
    <t>DASPALLA</t>
  </si>
  <si>
    <t>DAULATABAD</t>
  </si>
  <si>
    <t>DEBAGARH</t>
  </si>
  <si>
    <t>DEDHASURDEULI</t>
  </si>
  <si>
    <t>DEEPASIKHA</t>
  </si>
  <si>
    <t>DELANGA</t>
  </si>
  <si>
    <t>DENGIBHADI</t>
  </si>
  <si>
    <t>DEOPARA</t>
  </si>
  <si>
    <t>DEULBERA</t>
  </si>
  <si>
    <t>DHAMA</t>
  </si>
  <si>
    <t>DHAMANAGAR</t>
  </si>
  <si>
    <t>DHAMNAGAR</t>
  </si>
  <si>
    <t>DHARAMGARH</t>
  </si>
  <si>
    <t>DHARMASALA</t>
  </si>
  <si>
    <t>DHENKANAL</t>
  </si>
  <si>
    <t>DHUSURI</t>
  </si>
  <si>
    <t>DIGAPAHANDI</t>
  </si>
  <si>
    <t>DIST SAS NAGAR</t>
  </si>
  <si>
    <t>DLF CITY PHASE V</t>
  </si>
  <si>
    <t>DOHONA</t>
  </si>
  <si>
    <t>DOLAKASATI</t>
  </si>
  <si>
    <t>DOMPARA</t>
  </si>
  <si>
    <t>EKALPUR</t>
  </si>
  <si>
    <t>ERSAMA</t>
  </si>
  <si>
    <t>FERRO</t>
  </si>
  <si>
    <t>GAISILET</t>
  </si>
  <si>
    <t>GALLERI</t>
  </si>
  <si>
    <t>GANIA</t>
  </si>
  <si>
    <t>GANJAM</t>
  </si>
  <si>
    <t>GARABANDHA</t>
  </si>
  <si>
    <t>GARHDEULIA</t>
  </si>
  <si>
    <t>GARPOSH</t>
  </si>
  <si>
    <t>GGF</t>
  </si>
  <si>
    <t>GHASIPURA</t>
  </si>
  <si>
    <t>GHATGAON</t>
  </si>
  <si>
    <t>GHESS</t>
  </si>
  <si>
    <t>GOCHHAPADA</t>
  </si>
  <si>
    <t>GOHIRA</t>
  </si>
  <si>
    <t>GOLANTHARA</t>
  </si>
  <si>
    <t>GOLEBAZAR</t>
  </si>
  <si>
    <t>GOP</t>
  </si>
  <si>
    <t>GORUMAHISANI</t>
  </si>
  <si>
    <t>GOSANINUAGAM</t>
  </si>
  <si>
    <t>GOUDRUMA</t>
  </si>
  <si>
    <t>GOUDUNIDUBA</t>
  </si>
  <si>
    <t>GOUDUNIPADIA</t>
  </si>
  <si>
    <t>GOVINDPUR</t>
  </si>
  <si>
    <t>GUDVELLA</t>
  </si>
  <si>
    <t>GUNDRIBIDA</t>
  </si>
  <si>
    <t>GUNUPUR</t>
  </si>
  <si>
    <t>GURUNDIA</t>
  </si>
  <si>
    <t>HALVA</t>
  </si>
  <si>
    <t>HANDAPA</t>
  </si>
  <si>
    <t>HARBHANGA</t>
  </si>
  <si>
    <t>HARICHANDANPUR</t>
  </si>
  <si>
    <t>HARIDAKHANDI</t>
  </si>
  <si>
    <t>HEMGIR</t>
  </si>
  <si>
    <t>HILLPATNA</t>
  </si>
  <si>
    <t>HILPATNA (BERHAMPUR5)</t>
  </si>
  <si>
    <t>HINDOL</t>
  </si>
  <si>
    <t>HINJILI</t>
  </si>
  <si>
    <t>HIRAKUD</t>
  </si>
  <si>
    <t>INSTITUTE</t>
  </si>
  <si>
    <t>JAGADA</t>
  </si>
  <si>
    <t>JAGATPUR</t>
  </si>
  <si>
    <t>JAGATSINGHAPUR</t>
  </si>
  <si>
    <t>JAGATSINGHPUR</t>
  </si>
  <si>
    <t>JAGRUTI</t>
  </si>
  <si>
    <t>JAIPUR, RAJASTHAN,</t>
  </si>
  <si>
    <t>JAJAPUR</t>
  </si>
  <si>
    <t>JAJPUR</t>
  </si>
  <si>
    <t>JAJPUR ROAD</t>
  </si>
  <si>
    <t>JALESWAR</t>
  </si>
  <si>
    <t>JALPUT</t>
  </si>
  <si>
    <t>JAMANKIRA</t>
  </si>
  <si>
    <t>JANKIA</t>
  </si>
  <si>
    <t>JARADA</t>
  </si>
  <si>
    <t>JARAPADA</t>
  </si>
  <si>
    <t>JARIA</t>
  </si>
  <si>
    <t>JASHIPUR</t>
  </si>
  <si>
    <t>JATANI</t>
  </si>
  <si>
    <t>JAYAPATNA</t>
  </si>
  <si>
    <t>JAYASREE</t>
  </si>
  <si>
    <t>JEYPUR</t>
  </si>
  <si>
    <t>JHARIGAN</t>
  </si>
  <si>
    <t>JHARPOKHARIA</t>
  </si>
  <si>
    <t>JHARSUGUDA</t>
  </si>
  <si>
    <t>JIRTAL</t>
  </si>
  <si>
    <t>JODA</t>
  </si>
  <si>
    <t>JONK</t>
  </si>
  <si>
    <t>JULLUNDI</t>
  </si>
  <si>
    <t>JUNAGARH</t>
  </si>
  <si>
    <t>JYOTI</t>
  </si>
  <si>
    <t>KABERA</t>
  </si>
  <si>
    <t>KABISURYANAGAR</t>
  </si>
  <si>
    <t>KACHERI</t>
  </si>
  <si>
    <t>KAIPARA</t>
  </si>
  <si>
    <t>KAKATPUR</t>
  </si>
  <si>
    <t>KALIMELA</t>
  </si>
  <si>
    <t>KALINGA</t>
  </si>
  <si>
    <t>KALUPARAGHAT</t>
  </si>
  <si>
    <t>KALYANASINGPUR</t>
  </si>
  <si>
    <t>KAMAKSHYANAGAR</t>
  </si>
  <si>
    <t>KAMARPOSH</t>
  </si>
  <si>
    <t>KANIHA</t>
  </si>
  <si>
    <t>KANPUR</t>
  </si>
  <si>
    <t>KANTAMAL</t>
  </si>
  <si>
    <t>KAPTIPADA</t>
  </si>
  <si>
    <t>KARADGADIA</t>
  </si>
  <si>
    <t>KARANJIA</t>
  </si>
  <si>
    <t>KASHIPUR</t>
  </si>
  <si>
    <t>KENABETA</t>
  </si>
  <si>
    <t>KENDRAPARA</t>
  </si>
  <si>
    <t>KEONJHAR</t>
  </si>
  <si>
    <t>KEONJHAT</t>
  </si>
  <si>
    <t>KESINGA</t>
  </si>
  <si>
    <t>KHAJURIPADA</t>
  </si>
  <si>
    <t>KHALARDA</t>
  </si>
  <si>
    <t>KHALIKOTE</t>
  </si>
  <si>
    <t>KHAMAR</t>
  </si>
  <si>
    <t>KHAMBARIGAM</t>
  </si>
  <si>
    <t>KHANDAPADA</t>
  </si>
  <si>
    <t>KHAPRAKHOL</t>
  </si>
  <si>
    <t>KHARIAR</t>
  </si>
  <si>
    <t>KHORDHA</t>
  </si>
  <si>
    <t>KHUMBARI</t>
  </si>
  <si>
    <t>KHUNTA</t>
  </si>
  <si>
    <t>KHURDA</t>
  </si>
  <si>
    <t>KISHANNAGAR</t>
  </si>
  <si>
    <t>KISHORENAGAR</t>
  </si>
  <si>
    <t>KODALA</t>
  </si>
  <si>
    <t>KODINGA</t>
  </si>
  <si>
    <t>KOIDA</t>
  </si>
  <si>
    <t>KOKASARA</t>
  </si>
  <si>
    <t>KOKHADI</t>
  </si>
  <si>
    <t>KOLABIRA</t>
  </si>
  <si>
    <t>KOLIANA</t>
  </si>
  <si>
    <t>KOMANA</t>
  </si>
  <si>
    <t>KONAGAM</t>
  </si>
  <si>
    <t>KONARK</t>
  </si>
  <si>
    <t>KORAI</t>
  </si>
  <si>
    <t>KORAPUT</t>
  </si>
  <si>
    <t>KOTAGARH</t>
  </si>
  <si>
    <t>KRISHNA COLONY BHIWANI</t>
  </si>
  <si>
    <t>KRISHNANANDAPUR</t>
  </si>
  <si>
    <t>KRUSHNAPUR</t>
  </si>
  <si>
    <t>KUDGUNDERPUR</t>
  </si>
  <si>
    <t>KUNDURA</t>
  </si>
  <si>
    <t>KUTRA</t>
  </si>
  <si>
    <t>LAHUNIPARA</t>
  </si>
  <si>
    <t>LAIKERA</t>
  </si>
  <si>
    <t>LAKHANPUR</t>
  </si>
  <si>
    <t>LANJIGARH</t>
  </si>
  <si>
    <t>LATHIKATA</t>
  </si>
  <si>
    <t>LEPHRIPARA</t>
  </si>
  <si>
    <t>LETHINGIA</t>
  </si>
  <si>
    <t>LINEPADA</t>
  </si>
  <si>
    <t>LINGARAJ</t>
  </si>
  <si>
    <t>LOIDA</t>
  </si>
  <si>
    <t>LOISINGA</t>
  </si>
  <si>
    <t>LUAKERA</t>
  </si>
  <si>
    <t>M.V.</t>
  </si>
  <si>
    <t>MACHKUND</t>
  </si>
  <si>
    <t>MADAR</t>
  </si>
  <si>
    <t>MADHUPATNA</t>
  </si>
  <si>
    <t>MAHADEVPALI</t>
  </si>
  <si>
    <t>MAHAKALAPADA</t>
  </si>
  <si>
    <t>MAHALLICKPADA</t>
  </si>
  <si>
    <t>MAHANGA</t>
  </si>
  <si>
    <t>MAHULDIHA</t>
  </si>
  <si>
    <t>MAHULPALLI</t>
  </si>
  <si>
    <t>MALKANGIRI</t>
  </si>
  <si>
    <t>MANAMUNDA</t>
  </si>
  <si>
    <t>MANGALPUR</t>
  </si>
  <si>
    <t>MATHILI</t>
  </si>
  <si>
    <t>MATIKHAL</t>
  </si>
  <si>
    <t>MATKAMBEDA</t>
  </si>
  <si>
    <t>MAYURBHANJ</t>
  </si>
  <si>
    <t>MELCHHAMUNDA</t>
  </si>
  <si>
    <t>MOHAMMAD</t>
  </si>
  <si>
    <t>MOHANA</t>
  </si>
  <si>
    <t>MOTU</t>
  </si>
  <si>
    <t>MOTUNGA</t>
  </si>
  <si>
    <t>MOUSUDHA</t>
  </si>
  <si>
    <t>MUNIGUDA</t>
  </si>
  <si>
    <t>MURUDA</t>
  </si>
  <si>
    <t>NABARANGAPUR</t>
  </si>
  <si>
    <t>NABEEN</t>
  </si>
  <si>
    <t>NAIKANIDIHI</t>
  </si>
  <si>
    <t>NAKTIDEUL</t>
  </si>
  <si>
    <t>NALAGAJA</t>
  </si>
  <si>
    <t>NAMOUZA</t>
  </si>
  <si>
    <t>NANDANKANAN</t>
  </si>
  <si>
    <t>NANDAPUR</t>
  </si>
  <si>
    <t>NANDIPADA</t>
  </si>
  <si>
    <t>NARALA</t>
  </si>
  <si>
    <t>NARASINGHPUR</t>
  </si>
  <si>
    <t>NARAYANPATANA</t>
  </si>
  <si>
    <t>NAUGAONHAT</t>
  </si>
  <si>
    <t>NAYABAZAR</t>
  </si>
  <si>
    <t>NAYAGARH</t>
  </si>
  <si>
    <t>NAYAKOTE</t>
  </si>
  <si>
    <t>NIALI</t>
  </si>
  <si>
    <t>NILAGIRI</t>
  </si>
  <si>
    <t>NIMAPADA</t>
  </si>
  <si>
    <t>NIMAPARA</t>
  </si>
  <si>
    <t>NUAGAON</t>
  </si>
  <si>
    <t>NUAPADA</t>
  </si>
  <si>
    <t>NUDADIHA</t>
  </si>
  <si>
    <t>O M P LINE KORAPUT</t>
  </si>
  <si>
    <t>O S E</t>
  </si>
  <si>
    <t>ODAGAON</t>
  </si>
  <si>
    <t>ODAVA</t>
  </si>
  <si>
    <t>ONDRAHAL</t>
  </si>
  <si>
    <t>ONUKADELI</t>
  </si>
  <si>
    <t>ORIENT</t>
  </si>
  <si>
    <t>ORKEL</t>
  </si>
  <si>
    <t>OUPADA</t>
  </si>
  <si>
    <t>P N COLLEGE</t>
  </si>
  <si>
    <t>PADMAPUR</t>
  </si>
  <si>
    <t>PADWA</t>
  </si>
  <si>
    <t>PAIKAMAL</t>
  </si>
  <si>
    <t>PALALAHADA</t>
  </si>
  <si>
    <t>PANCHABATI</t>
  </si>
  <si>
    <t>PANDAPARA</t>
  </si>
  <si>
    <t>PAPARAHANDI</t>
  </si>
  <si>
    <t>PARADIP</t>
  </si>
  <si>
    <t>PARAJANG</t>
  </si>
  <si>
    <t>PARALAKHEMUNDI</t>
  </si>
  <si>
    <t>PARLAKHEMUNDI</t>
  </si>
  <si>
    <t>PATANA</t>
  </si>
  <si>
    <t>PATAPUR</t>
  </si>
  <si>
    <t>PATKURA</t>
  </si>
  <si>
    <t>PATNAGARH</t>
  </si>
  <si>
    <t>PATTAMUNDAI</t>
  </si>
  <si>
    <t>PHIRINGIA</t>
  </si>
  <si>
    <t>PIPILI</t>
  </si>
  <si>
    <t>POTTANGI</t>
  </si>
  <si>
    <t>PPL</t>
  </si>
  <si>
    <t>PRASADRAOPETA</t>
  </si>
  <si>
    <t>PURI</t>
  </si>
  <si>
    <t>PURUNA</t>
  </si>
  <si>
    <t>PURUNAPANI</t>
  </si>
  <si>
    <t>RAIGAD-410218</t>
  </si>
  <si>
    <t>RAIGHAR</t>
  </si>
  <si>
    <t>RAIKIA</t>
  </si>
  <si>
    <t>RAIRANGPUR</t>
  </si>
  <si>
    <t>RAJABAGICHA</t>
  </si>
  <si>
    <t>RAJAGANGAPUR</t>
  </si>
  <si>
    <t>RAJKANIKA</t>
  </si>
  <si>
    <t>RAMAGIRI</t>
  </si>
  <si>
    <t>RAMANATHAPURAM DISTRICT,</t>
  </si>
  <si>
    <t>RAMBHA</t>
  </si>
  <si>
    <t>RARUAN</t>
  </si>
  <si>
    <t>RASGOVINDPUR</t>
  </si>
  <si>
    <t>RASOL</t>
  </si>
  <si>
    <t>RAYAGADA</t>
  </si>
  <si>
    <t>REAMAL</t>
  </si>
  <si>
    <t>REMUNA</t>
  </si>
  <si>
    <t>RENGALI</t>
  </si>
  <si>
    <t>ROURKELA</t>
  </si>
  <si>
    <t>RUPSA</t>
  </si>
  <si>
    <t>S RAMPUR</t>
  </si>
  <si>
    <t>SADAR</t>
  </si>
  <si>
    <t>SAINKUL</t>
  </si>
  <si>
    <t>SAINTALA</t>
  </si>
  <si>
    <t>SAKTINAGAR</t>
  </si>
  <si>
    <t>SALAPADA</t>
  </si>
  <si>
    <t>SALCHUA</t>
  </si>
  <si>
    <t>SALEPUR</t>
  </si>
  <si>
    <t>SAMAL</t>
  </si>
  <si>
    <t>SAMBALPUR</t>
  </si>
  <si>
    <t>SANGADAMA</t>
  </si>
  <si>
    <t>SARANGAGARH</t>
  </si>
  <si>
    <t>SARANKUL</t>
  </si>
  <si>
    <t>SASAN</t>
  </si>
  <si>
    <t>SATPATNA</t>
  </si>
  <si>
    <t>SATYABADI</t>
  </si>
  <si>
    <t>SCHEME ROAD 1,</t>
  </si>
  <si>
    <t>SERANGO</t>
  </si>
  <si>
    <t>SIMILIA</t>
  </si>
  <si>
    <t>SIMILIGUDA</t>
  </si>
  <si>
    <t>SINAPALI</t>
  </si>
  <si>
    <t>SINDHEKELA</t>
  </si>
  <si>
    <t>SINGLA</t>
  </si>
  <si>
    <t>SOGURU</t>
  </si>
  <si>
    <t>SOHELA</t>
  </si>
  <si>
    <t>SORO</t>
  </si>
  <si>
    <t>SOSO</t>
  </si>
  <si>
    <t>SRI</t>
  </si>
  <si>
    <t>SRIVIHAR</t>
  </si>
  <si>
    <t>SUKINDA</t>
  </si>
  <si>
    <t>SULIAPADA</t>
  </si>
  <si>
    <t>SUNABEDA</t>
  </si>
  <si>
    <t>SUNATHARA</t>
  </si>
  <si>
    <t>SUNDARGARH</t>
  </si>
  <si>
    <t>SUNGRA</t>
  </si>
  <si>
    <t>SURADA</t>
  </si>
  <si>
    <t>TALASARA</t>
  </si>
  <si>
    <t>TALCHER</t>
  </si>
  <si>
    <t>TALMUL</t>
  </si>
  <si>
    <t>TALPADA</t>
  </si>
  <si>
    <t>TANGI</t>
  </si>
  <si>
    <t>TARBHA</t>
  </si>
  <si>
    <t>TATO</t>
  </si>
  <si>
    <t>TELKOI</t>
  </si>
  <si>
    <t>TENTULIKHUNTI</t>
  </si>
  <si>
    <t>THAKURMUNDA</t>
  </si>
  <si>
    <t>THUAMUL</t>
  </si>
  <si>
    <t>TIGIRIA</t>
  </si>
  <si>
    <t>TIHIDI</t>
  </si>
  <si>
    <t>TIKABALI</t>
  </si>
  <si>
    <t>TIRTOL</t>
  </si>
  <si>
    <t>TITILAGARH</t>
  </si>
  <si>
    <t>TITLAGARH</t>
  </si>
  <si>
    <t>TUKLA</t>
  </si>
  <si>
    <t>TULOSIPUR</t>
  </si>
  <si>
    <t>TUMUSINGHA</t>
  </si>
  <si>
    <t>TUREKELA</t>
  </si>
  <si>
    <t>TURUMUNGA</t>
  </si>
  <si>
    <t>TUSHURA</t>
  </si>
  <si>
    <t>UDALA</t>
  </si>
  <si>
    <t>UMARKOTE</t>
  </si>
  <si>
    <t>VEDVYAS</t>
  </si>
  <si>
    <t>VIKRAMPUR</t>
  </si>
  <si>
    <t>ARIYANKUPPAM</t>
  </si>
  <si>
    <t>BAHOUR COMMUNE PANCHAYAT</t>
  </si>
  <si>
    <t>BOMMAYARPALAYAM</t>
  </si>
  <si>
    <t>DHANVANTRI NAGAR</t>
  </si>
  <si>
    <t>KARAIKAL</t>
  </si>
  <si>
    <t>KOTTUCHERRY COMMUNE PANCHAYAT</t>
  </si>
  <si>
    <t>KOTTUCHERY</t>
  </si>
  <si>
    <t>KUILAPALAYAM</t>
  </si>
  <si>
    <t>LAWSPET</t>
  </si>
  <si>
    <t>MAHE</t>
  </si>
  <si>
    <t>MANNADIPATTU</t>
  </si>
  <si>
    <t>MOUROUNGAPAKKAM</t>
  </si>
  <si>
    <t>MUTHIALPET</t>
  </si>
  <si>
    <t>NELLITHOPE</t>
  </si>
  <si>
    <t>NETTAPAKKAM COMMUNE PANCHAYAT</t>
  </si>
  <si>
    <t>PILLAICHAVADY</t>
  </si>
  <si>
    <t>SARAM</t>
  </si>
  <si>
    <t>THIRUNALLAR COMMUNE PANCHAYAT</t>
  </si>
  <si>
    <t>TIRUMALAIRAYANPATTINAM</t>
  </si>
  <si>
    <t>VANUR</t>
  </si>
  <si>
    <t>VENKATA NAGAR</t>
  </si>
  <si>
    <t>VILLIANUR COMMUNE PANCHAYAT</t>
  </si>
  <si>
    <t>YANAM</t>
  </si>
  <si>
    <t>PUNJAB</t>
  </si>
  <si>
    <t>ABOHAR</t>
  </si>
  <si>
    <t>AJNALA</t>
  </si>
  <si>
    <t>AMRITSAR</t>
  </si>
  <si>
    <t>ANANDPUR SAHIB</t>
  </si>
  <si>
    <t>BABA BAKALA</t>
  </si>
  <si>
    <t>BALACHAUR</t>
  </si>
  <si>
    <t>BARNALA</t>
  </si>
  <si>
    <t>BASSI PATHANA</t>
  </si>
  <si>
    <t>BATALA</t>
  </si>
  <si>
    <t>BATHINDA</t>
  </si>
  <si>
    <t>BHAGHA PURANA</t>
  </si>
  <si>
    <t>BHULATH</t>
  </si>
  <si>
    <t>BUDHLADA</t>
  </si>
  <si>
    <t>DASUA</t>
  </si>
  <si>
    <t>DERA BABA NANAK</t>
  </si>
  <si>
    <t>DERA BASSI</t>
  </si>
  <si>
    <t>DHAR KALAN</t>
  </si>
  <si>
    <t>DHURI</t>
  </si>
  <si>
    <t>DIST PMS</t>
  </si>
  <si>
    <t>FARIDKOT</t>
  </si>
  <si>
    <t>FATEHGARH SAHIB</t>
  </si>
  <si>
    <t>FATEHGARH SAHIB - 147301</t>
  </si>
  <si>
    <t>FAZILKA</t>
  </si>
  <si>
    <t>FIROZPUR</t>
  </si>
  <si>
    <t>GANESH TEMPLE</t>
  </si>
  <si>
    <t>GARHSHANKAR</t>
  </si>
  <si>
    <t>GIDDARBAHA</t>
  </si>
  <si>
    <t>GURDASPUR</t>
  </si>
  <si>
    <t>HOSHIARPUR</t>
  </si>
  <si>
    <t>JAGRAON</t>
  </si>
  <si>
    <t>JAITU</t>
  </si>
  <si>
    <t>JALALABAD</t>
  </si>
  <si>
    <t>JALANDHAR</t>
  </si>
  <si>
    <t>KAPURTHALA</t>
  </si>
  <si>
    <t>KHADUR SAHIB</t>
  </si>
  <si>
    <t>KHAMANON</t>
  </si>
  <si>
    <t>KHANNA</t>
  </si>
  <si>
    <t>KHARAR</t>
  </si>
  <si>
    <t>LUDHIANA</t>
  </si>
  <si>
    <t>MALERKOTLA</t>
  </si>
  <si>
    <t>MALOUT</t>
  </si>
  <si>
    <t>MOGA</t>
  </si>
  <si>
    <t>MOHALI</t>
  </si>
  <si>
    <t>MOHALI (PHASE - 9)</t>
  </si>
  <si>
    <t>MOONAK</t>
  </si>
  <si>
    <t>MUKERIAN</t>
  </si>
  <si>
    <t>MUKTSAR</t>
  </si>
  <si>
    <t>NABHA</t>
  </si>
  <si>
    <t>NAKODAR</t>
  </si>
  <si>
    <t>NAWANSHAHR</t>
  </si>
  <si>
    <t>NIHAL SINGHWALA</t>
  </si>
  <si>
    <t>PATHANKOT</t>
  </si>
  <si>
    <t>PATIALA</t>
  </si>
  <si>
    <t>PATTI</t>
  </si>
  <si>
    <t>PAYAL</t>
  </si>
  <si>
    <t>PHAGWARA</t>
  </si>
  <si>
    <t>PHILLAUR</t>
  </si>
  <si>
    <t>RAIKOT</t>
  </si>
  <si>
    <t>RAJPURA</t>
  </si>
  <si>
    <t>RAMPURA PHUL</t>
  </si>
  <si>
    <t>ROAD ƒ??GURGAON</t>
  </si>
  <si>
    <t>RUPNAGAR</t>
  </si>
  <si>
    <t>S.A.S.NAGAR</t>
  </si>
  <si>
    <t>SALTLAKE</t>
  </si>
  <si>
    <t>SAMANA</t>
  </si>
  <si>
    <t>SAMRALA</t>
  </si>
  <si>
    <t>SANGRUR</t>
  </si>
  <si>
    <t>SARDULGARH</t>
  </si>
  <si>
    <t>SHAHKOT</t>
  </si>
  <si>
    <t>SIALBA MAJRI</t>
  </si>
  <si>
    <t>SULTANPUR LODHI</t>
  </si>
  <si>
    <t>SUNAM</t>
  </si>
  <si>
    <t>TALWANDI SABO</t>
  </si>
  <si>
    <t>TAPA</t>
  </si>
  <si>
    <t>TARN-TARAN</t>
  </si>
  <si>
    <t>ZIRA</t>
  </si>
  <si>
    <t>ZIRAKPUR</t>
  </si>
  <si>
    <t>RAJASTHAN</t>
  </si>
  <si>
    <t>24 NORTH PARGA</t>
  </si>
  <si>
    <t>AHORE</t>
  </si>
  <si>
    <t>AJMER</t>
  </si>
  <si>
    <t>AKLERA</t>
  </si>
  <si>
    <t>ALASAN</t>
  </si>
  <si>
    <t>ALWAR</t>
  </si>
  <si>
    <t>AMBER</t>
  </si>
  <si>
    <t>AMER</t>
  </si>
  <si>
    <t>ANUPGARH</t>
  </si>
  <si>
    <t>ARNOD</t>
  </si>
  <si>
    <t>ASIND</t>
  </si>
  <si>
    <t>ASPUR</t>
  </si>
  <si>
    <t>ATRU</t>
  </si>
  <si>
    <t>BABRANA</t>
  </si>
  <si>
    <t>BAGIDORA</t>
  </si>
  <si>
    <t>BAGORA</t>
  </si>
  <si>
    <t>BALI</t>
  </si>
  <si>
    <t>BANERA</t>
  </si>
  <si>
    <t>BANSUR</t>
  </si>
  <si>
    <t>BANSWARA</t>
  </si>
  <si>
    <t>BARAN</t>
  </si>
  <si>
    <t>BARI SADRI</t>
  </si>
  <si>
    <t>BARMER</t>
  </si>
  <si>
    <t>BASERI</t>
  </si>
  <si>
    <t>BASSI</t>
  </si>
  <si>
    <t>BASWA</t>
  </si>
  <si>
    <t>BAYTOO</t>
  </si>
  <si>
    <t>BEHROR</t>
  </si>
  <si>
    <t>BHADESAR</t>
  </si>
  <si>
    <t>BHADRA</t>
  </si>
  <si>
    <t>BHILWARA</t>
  </si>
  <si>
    <t>BHINMAL</t>
  </si>
  <si>
    <t>BHOPALGARH</t>
  </si>
  <si>
    <t>BHUWANESWAR</t>
  </si>
  <si>
    <t>BIKANER</t>
  </si>
  <si>
    <t>BILARA</t>
  </si>
  <si>
    <t>BUHANA</t>
  </si>
  <si>
    <t>BUNDI</t>
  </si>
  <si>
    <t>CHAKSU</t>
  </si>
  <si>
    <t>CHHABRA</t>
  </si>
  <si>
    <t>CHHATARGARH</t>
  </si>
  <si>
    <t>CHHOTI SADRI</t>
  </si>
  <si>
    <t>CHIRAWA</t>
  </si>
  <si>
    <t>CHITTAURGARH</t>
  </si>
  <si>
    <t>CHITTORGARH</t>
  </si>
  <si>
    <t>CHOHTAN</t>
  </si>
  <si>
    <t>CHOMU</t>
  </si>
  <si>
    <t>CHURU</t>
  </si>
  <si>
    <t>DAUSA</t>
  </si>
  <si>
    <t>DAUSA H O</t>
  </si>
  <si>
    <t>DEEG</t>
  </si>
  <si>
    <t>DEGANA</t>
  </si>
  <si>
    <t>DEOGARH</t>
  </si>
  <si>
    <t>DHAMPUR, BIJNOR</t>
  </si>
  <si>
    <t>DHAULPUR</t>
  </si>
  <si>
    <t>DIDWANA</t>
  </si>
  <si>
    <t>DUDU</t>
  </si>
  <si>
    <t>DUNGARGARH</t>
  </si>
  <si>
    <t>DUNGARPUR</t>
  </si>
  <si>
    <t>DUNGLA</t>
  </si>
  <si>
    <t>FATEHGARH</t>
  </si>
  <si>
    <t>GANGANAGAR</t>
  </si>
  <si>
    <t>GANGDHAR</t>
  </si>
  <si>
    <t>GANGRAR</t>
  </si>
  <si>
    <t>GHARSANA</t>
  </si>
  <si>
    <t>GHATOL</t>
  </si>
  <si>
    <t>GUDHA MALANI</t>
  </si>
  <si>
    <t>HANUMANGARH</t>
  </si>
  <si>
    <t>HINDAUN</t>
  </si>
  <si>
    <t>HINDOLI</t>
  </si>
  <si>
    <t>HURDA</t>
  </si>
  <si>
    <t>INDRAGARH</t>
  </si>
  <si>
    <t>JAHAZPUR</t>
  </si>
  <si>
    <t>JAIPUR</t>
  </si>
  <si>
    <t>JAISALMER</t>
  </si>
  <si>
    <t>JALOR</t>
  </si>
  <si>
    <t>JAMWA RAMGARH</t>
  </si>
  <si>
    <t>JAYAL</t>
  </si>
  <si>
    <t>JHALAWAR</t>
  </si>
  <si>
    <t>JHALRAPATAN</t>
  </si>
  <si>
    <t>JHUNJHUNUN</t>
  </si>
  <si>
    <t>JODHPUR</t>
  </si>
  <si>
    <t>KAPASAN</t>
  </si>
  <si>
    <t>KARANPUR</t>
  </si>
  <si>
    <t>KARAULI</t>
  </si>
  <si>
    <t>KATHUMAR</t>
  </si>
  <si>
    <t>KESHORAIPATAN</t>
  </si>
  <si>
    <t>KHAJUWALA</t>
  </si>
  <si>
    <t>KHETRI</t>
  </si>
  <si>
    <t>KISHANGARH BAS</t>
  </si>
  <si>
    <t>KOLAYAT</t>
  </si>
  <si>
    <t>KOTPUTLI</t>
  </si>
  <si>
    <t>KOTRI</t>
  </si>
  <si>
    <t>KUSHALGARH</t>
  </si>
  <si>
    <t>LACHHMANGARH</t>
  </si>
  <si>
    <t>LADNU</t>
  </si>
  <si>
    <t>LALSOT</t>
  </si>
  <si>
    <t>LUNI</t>
  </si>
  <si>
    <t>LUNKARANSAR</t>
  </si>
  <si>
    <t>MAHWA</t>
  </si>
  <si>
    <t>MAKRANA</t>
  </si>
  <si>
    <t>MALARNA DOONGAR</t>
  </si>
  <si>
    <t>MALPURA</t>
  </si>
  <si>
    <t>MANDALGARH</t>
  </si>
  <si>
    <t>MANOHAR THANA</t>
  </si>
  <si>
    <t>MERTA</t>
  </si>
  <si>
    <t>NADBAI</t>
  </si>
  <si>
    <t>NADOTI</t>
  </si>
  <si>
    <t>NAGAR</t>
  </si>
  <si>
    <t>NAGAUR</t>
  </si>
  <si>
    <t>NAINWA</t>
  </si>
  <si>
    <t>NASIRABAD</t>
  </si>
  <si>
    <t>NAWA</t>
  </si>
  <si>
    <t>NAWALGARH</t>
  </si>
  <si>
    <t>NEEM-KA-THANA</t>
  </si>
  <si>
    <t>NIMBAHERA</t>
  </si>
  <si>
    <t>NOHAR</t>
  </si>
  <si>
    <t>NOKHA</t>
  </si>
  <si>
    <t>OSIAN</t>
  </si>
  <si>
    <t>PACHPADRA</t>
  </si>
  <si>
    <t>PACHPAHAR</t>
  </si>
  <si>
    <t>PADAMPUR</t>
  </si>
  <si>
    <t>PAHARI</t>
  </si>
  <si>
    <t>PALI</t>
  </si>
  <si>
    <t>PARBATSAR</t>
  </si>
  <si>
    <t>PHAGI</t>
  </si>
  <si>
    <t>PHALODI</t>
  </si>
  <si>
    <t>PHULERA</t>
  </si>
  <si>
    <t>PILIBANGA</t>
  </si>
  <si>
    <t>PIRAWA</t>
  </si>
  <si>
    <t>POKARAN</t>
  </si>
  <si>
    <t>PRATAPGARH</t>
  </si>
  <si>
    <t>RAJAKHERA</t>
  </si>
  <si>
    <t>RAJSAMAND</t>
  </si>
  <si>
    <t>RAMGANJ MANDI</t>
  </si>
  <si>
    <t>RAMSAR</t>
  </si>
  <si>
    <t>RANIWARA</t>
  </si>
  <si>
    <t>RATANGARH</t>
  </si>
  <si>
    <t>RAWATBHATA</t>
  </si>
  <si>
    <t>RAWATSAR</t>
  </si>
  <si>
    <t>RUPBAS</t>
  </si>
  <si>
    <t>SADULSHAHAR</t>
  </si>
  <si>
    <t>SAGWARA</t>
  </si>
  <si>
    <t>SAHARA</t>
  </si>
  <si>
    <t>SANCHORE</t>
  </si>
  <si>
    <t>SANGANER</t>
  </si>
  <si>
    <t>SANGARIA</t>
  </si>
  <si>
    <t>SARDARSHAHAR</t>
  </si>
  <si>
    <t>SARWAR</t>
  </si>
  <si>
    <t>SAWAI MADHOPUR</t>
  </si>
  <si>
    <t>SEPAU</t>
  </si>
  <si>
    <t>SHEO</t>
  </si>
  <si>
    <t>SHERGARH</t>
  </si>
  <si>
    <t>SIKAR</t>
  </si>
  <si>
    <t>SIKRAI</t>
  </si>
  <si>
    <t>SIMALWARA</t>
  </si>
  <si>
    <t>SIROHI</t>
  </si>
  <si>
    <t>SIWANA</t>
  </si>
  <si>
    <t>SOJAT</t>
  </si>
  <si>
    <t>SRI MADHOPUR</t>
  </si>
  <si>
    <t>SUJANGARH</t>
  </si>
  <si>
    <t>SURATGARH</t>
  </si>
  <si>
    <t>TARANAGAR</t>
  </si>
  <si>
    <t>THANAGAZI</t>
  </si>
  <si>
    <t>TIBI</t>
  </si>
  <si>
    <t>TIJARA</t>
  </si>
  <si>
    <t>TONK</t>
  </si>
  <si>
    <t>UDAIPUR(RJ)</t>
  </si>
  <si>
    <t>UDAIPURWATI</t>
  </si>
  <si>
    <t>UNIARA</t>
  </si>
  <si>
    <t>VIRATNAGAR</t>
  </si>
  <si>
    <t>WEIR</t>
  </si>
  <si>
    <t>SIKKIM</t>
  </si>
  <si>
    <t>DIKCHU</t>
  </si>
  <si>
    <t>EAST DISTRICT</t>
  </si>
  <si>
    <t>GANGTOK BAZAR</t>
  </si>
  <si>
    <t>KABI</t>
  </si>
  <si>
    <t>MAKHA</t>
  </si>
  <si>
    <t>MELLI</t>
  </si>
  <si>
    <t>NAMCHI</t>
  </si>
  <si>
    <t>NAYABAZAR (SIKKIM)</t>
  </si>
  <si>
    <t>NORTH DISTRICT</t>
  </si>
  <si>
    <t>PAKYONG</t>
  </si>
  <si>
    <t>PELLING</t>
  </si>
  <si>
    <t>PHENSONG</t>
  </si>
  <si>
    <t>PHODONG</t>
  </si>
  <si>
    <t>RAJ BHAVAN</t>
  </si>
  <si>
    <t>RANGLU BAZAR</t>
  </si>
  <si>
    <t>RANGPO</t>
  </si>
  <si>
    <t>RANIPOOL</t>
  </si>
  <si>
    <t>RAVANGLA</t>
  </si>
  <si>
    <t>RHENOCK</t>
  </si>
  <si>
    <t>SINGTAM</t>
  </si>
  <si>
    <t>SOUTH DISTRICT</t>
  </si>
  <si>
    <t>TAMIL NADU</t>
  </si>
  <si>
    <t>AGASTHEESWARAM</t>
  </si>
  <si>
    <t>AKSHIPAKKAM</t>
  </si>
  <si>
    <t>ALANGUDI</t>
  </si>
  <si>
    <t>ALANGULAM</t>
  </si>
  <si>
    <t>ALAPAKKAM</t>
  </si>
  <si>
    <t>AMBASAMUDRAM</t>
  </si>
  <si>
    <t>AMBATTUR</t>
  </si>
  <si>
    <t>AMMAPET</t>
  </si>
  <si>
    <t>ANDHERI EAST MUMBAI MAHARASHTR</t>
  </si>
  <si>
    <t>ANDIPATTI</t>
  </si>
  <si>
    <t>ARAKONAM</t>
  </si>
  <si>
    <t>ARANI</t>
  </si>
  <si>
    <t>ARANTHANGI</t>
  </si>
  <si>
    <t>ARAVAKURICHI</t>
  </si>
  <si>
    <t>ARCOT</t>
  </si>
  <si>
    <t>ARIYALUR</t>
  </si>
  <si>
    <t>ARUPPUKKOTTAI</t>
  </si>
  <si>
    <t>ATTUR</t>
  </si>
  <si>
    <t>AVANASHI</t>
  </si>
  <si>
    <t>AVUDAYARKOIL</t>
  </si>
  <si>
    <t>BHAVANI</t>
  </si>
  <si>
    <t>BODINAYAKANUR</t>
  </si>
  <si>
    <t>CHENGALPATTU</t>
  </si>
  <si>
    <t>CHENGAM</t>
  </si>
  <si>
    <t>CHENNAI</t>
  </si>
  <si>
    <t>CHENNAI-601203</t>
  </si>
  <si>
    <t>CHENNAI-603001</t>
  </si>
  <si>
    <t>CHEYYAR</t>
  </si>
  <si>
    <t>CHEYYUR</t>
  </si>
  <si>
    <t>CHIDAMBARAM</t>
  </si>
  <si>
    <t>CHINGLEPET</t>
  </si>
  <si>
    <t>COIMBATORE</t>
  </si>
  <si>
    <t>COMPLEX SD ROAD</t>
  </si>
  <si>
    <t>COONOOR</t>
  </si>
  <si>
    <t>CUDDALORE</t>
  </si>
  <si>
    <t>DEVAKOTTAI</t>
  </si>
  <si>
    <t>DHARAPURAM</t>
  </si>
  <si>
    <t>DHARMAPURI</t>
  </si>
  <si>
    <t>DINDIGUL</t>
  </si>
  <si>
    <t>EDAPPADI</t>
  </si>
  <si>
    <t>ERACHAKULAM</t>
  </si>
  <si>
    <t>ERODE</t>
  </si>
  <si>
    <t>ETTAYAPURAM</t>
  </si>
  <si>
    <t>GANGAVALLI</t>
  </si>
  <si>
    <t>GINGEE</t>
  </si>
  <si>
    <t>GOBICHETTIPALAYAM</t>
  </si>
  <si>
    <t>GUDALUR</t>
  </si>
  <si>
    <t>GUDALUR NILGIRIS</t>
  </si>
  <si>
    <t>GUDIYATHAM</t>
  </si>
  <si>
    <t>GUMMIDIPOONDI</t>
  </si>
  <si>
    <t>HARUR</t>
  </si>
  <si>
    <t>HOSUR</t>
  </si>
  <si>
    <t>ILAYANGUDI</t>
  </si>
  <si>
    <t>ILUPPUR</t>
  </si>
  <si>
    <t>K KEERANUR</t>
  </si>
  <si>
    <t>KADALADI</t>
  </si>
  <si>
    <t>KADATHUR</t>
  </si>
  <si>
    <t>KADAVASAL</t>
  </si>
  <si>
    <t>KALKULAM</t>
  </si>
  <si>
    <t>KALLAKKURICHI</t>
  </si>
  <si>
    <t>KALLAKURICHI</t>
  </si>
  <si>
    <t>KALPAKKAM</t>
  </si>
  <si>
    <t>KAMUTHI</t>
  </si>
  <si>
    <t>KANCHEEPURAM</t>
  </si>
  <si>
    <t>KANGEYAM</t>
  </si>
  <si>
    <t>KARAIKKUDI</t>
  </si>
  <si>
    <t>KARIAPATTI</t>
  </si>
  <si>
    <t>KARUR</t>
  </si>
  <si>
    <t>KATPADI</t>
  </si>
  <si>
    <t>KATTUMANNARKOIL</t>
  </si>
  <si>
    <t>KILVELUR</t>
  </si>
  <si>
    <t>KODAIKANAL</t>
  </si>
  <si>
    <t>KODALIKARUPPUR</t>
  </si>
  <si>
    <t>KODAMBAKKAM</t>
  </si>
  <si>
    <t>KODAVASAL</t>
  </si>
  <si>
    <t>KOLAPPALURE CBE</t>
  </si>
  <si>
    <t>KOTAGIRI</t>
  </si>
  <si>
    <t>KOVILPATTI</t>
  </si>
  <si>
    <t>KOVILUR MADURAI</t>
  </si>
  <si>
    <t>KRISHNAGIRI</t>
  </si>
  <si>
    <t>KRISHNARAYAPURAM</t>
  </si>
  <si>
    <t>KUDDAPAKKAM</t>
  </si>
  <si>
    <t>KULATHUR</t>
  </si>
  <si>
    <t>KULITHALAI</t>
  </si>
  <si>
    <t>KUMBAKONAM</t>
  </si>
  <si>
    <t>KUNDAH</t>
  </si>
  <si>
    <t>KUNNAM</t>
  </si>
  <si>
    <t>LALGUDI</t>
  </si>
  <si>
    <t>MADURAI</t>
  </si>
  <si>
    <t>MADURANTHAKAM</t>
  </si>
  <si>
    <t>MAILPATTI</t>
  </si>
  <si>
    <t>MANACHANALLUR</t>
  </si>
  <si>
    <t>MANAMADURAI</t>
  </si>
  <si>
    <t>MANAMELKUDI</t>
  </si>
  <si>
    <t>MANAPPARAI</t>
  </si>
  <si>
    <t>MANNARGUDI</t>
  </si>
  <si>
    <t>MAYILADUTHURAI</t>
  </si>
  <si>
    <t>MELUR</t>
  </si>
  <si>
    <t>METTUPALAYAM</t>
  </si>
  <si>
    <t>METTUR</t>
  </si>
  <si>
    <t>MUDUKULATHUR</t>
  </si>
  <si>
    <t>MUSIRI</t>
  </si>
  <si>
    <t>NAGAPATTINAM</t>
  </si>
  <si>
    <t>NAMAKKAL</t>
  </si>
  <si>
    <t>NANGUNERI</t>
  </si>
  <si>
    <t>NANNILAM</t>
  </si>
  <si>
    <t>NARASINGAPURAM</t>
  </si>
  <si>
    <t>NATHAM</t>
  </si>
  <si>
    <t>NEEDAMANGALAM</t>
  </si>
  <si>
    <t>NEYVELI - 02</t>
  </si>
  <si>
    <t>NILAKKOTTAI</t>
  </si>
  <si>
    <t>ODDANCHATRAM</t>
  </si>
  <si>
    <t>OMALUR</t>
  </si>
  <si>
    <t>ORATHANADU</t>
  </si>
  <si>
    <t>OTTAPIDARAM</t>
  </si>
  <si>
    <t>PALAKKODU</t>
  </si>
  <si>
    <t>PALANI</t>
  </si>
  <si>
    <t>PALAYAMKOTTAI</t>
  </si>
  <si>
    <t>PALLADAM</t>
  </si>
  <si>
    <t>PALLIPATTU</t>
  </si>
  <si>
    <t>PANDALUR</t>
  </si>
  <si>
    <t>PANTHALUR</t>
  </si>
  <si>
    <t>PAPANASAM</t>
  </si>
  <si>
    <t>PAPPIREDDIPATTI</t>
  </si>
  <si>
    <t>PARAMAKUDI</t>
  </si>
  <si>
    <t>PARAMATHI-VELUR</t>
  </si>
  <si>
    <t>PATTUKKOTTAI</t>
  </si>
  <si>
    <t>PENNAGARAM</t>
  </si>
  <si>
    <t>PERAIYUR</t>
  </si>
  <si>
    <t>PERAMBALUR</t>
  </si>
  <si>
    <t>PERAVURANI</t>
  </si>
  <si>
    <t>PERIYAKULAM</t>
  </si>
  <si>
    <t>PERUNDURAI</t>
  </si>
  <si>
    <t>POCHAMPALLI</t>
  </si>
  <si>
    <t>POLLACHI</t>
  </si>
  <si>
    <t>POLUR</t>
  </si>
  <si>
    <t>PONDICHERY</t>
  </si>
  <si>
    <t>PONNERI</t>
  </si>
  <si>
    <t>POONAMALLEE</t>
  </si>
  <si>
    <t>PUDUKKOTTAI</t>
  </si>
  <si>
    <t>RADHAPURAM</t>
  </si>
  <si>
    <t>RAJAPALAYAM</t>
  </si>
  <si>
    <t>RAMANATHAPURAM</t>
  </si>
  <si>
    <t>RAMESWARAM</t>
  </si>
  <si>
    <t>RASIPURAM</t>
  </si>
  <si>
    <t>SALEM</t>
  </si>
  <si>
    <t>SANKARANKOIL</t>
  </si>
  <si>
    <t>SANKARAPURAM</t>
  </si>
  <si>
    <t>SANKARI</t>
  </si>
  <si>
    <t>SATHANKULAM</t>
  </si>
  <si>
    <t>SATHYAMANGALAM</t>
  </si>
  <si>
    <t>SATTUR</t>
  </si>
  <si>
    <t>SENDURAI</t>
  </si>
  <si>
    <t>SHENKOTTAI</t>
  </si>
  <si>
    <t>SIRKALI</t>
  </si>
  <si>
    <t>SIVAGANGA</t>
  </si>
  <si>
    <t>SIVAGIRI</t>
  </si>
  <si>
    <t>SIVAKASI</t>
  </si>
  <si>
    <t>SRI RAMANASHRAMAN</t>
  </si>
  <si>
    <t>SRIPERUMBADUR</t>
  </si>
  <si>
    <t>SRIPERUMBUDUR</t>
  </si>
  <si>
    <t>SRIRANGAM</t>
  </si>
  <si>
    <t>SRIVAIKUNTAM</t>
  </si>
  <si>
    <t>SRIVILLIPUTHUR</t>
  </si>
  <si>
    <t>TAMBARAM</t>
  </si>
  <si>
    <t>TEIZHANDUR</t>
  </si>
  <si>
    <t>TENKASI</t>
  </si>
  <si>
    <t>THACHANALLUR</t>
  </si>
  <si>
    <t>THANJAVUR</t>
  </si>
  <si>
    <t>THARANGAMBADI</t>
  </si>
  <si>
    <t>THENI</t>
  </si>
  <si>
    <t>THIRUKKUVALAI</t>
  </si>
  <si>
    <t>THIRUMANGALAM</t>
  </si>
  <si>
    <t>THIRUMAYAM</t>
  </si>
  <si>
    <t>THIRUTHURAIPOONDI</t>
  </si>
  <si>
    <t>THIRUVAIYARU</t>
  </si>
  <si>
    <t>THIRUVALLUR</t>
  </si>
  <si>
    <t>THIRUVARUR</t>
  </si>
  <si>
    <t>THIRUVIDAIMARUDUR</t>
  </si>
  <si>
    <t>THOOTHUKKUDI</t>
  </si>
  <si>
    <t>THOOTHUKUDI</t>
  </si>
  <si>
    <t>THOTTIYAM</t>
  </si>
  <si>
    <t>THOVALA</t>
  </si>
  <si>
    <t>THURAIYUR</t>
  </si>
  <si>
    <t>TINDIVANAM</t>
  </si>
  <si>
    <t>TINDIVANAM-604001</t>
  </si>
  <si>
    <t>TIRUCHENDUR</t>
  </si>
  <si>
    <t>TIRUCHENGODE</t>
  </si>
  <si>
    <t>TIRUCHIRAPPALLI</t>
  </si>
  <si>
    <t>TIRUCHULI</t>
  </si>
  <si>
    <t>TIRUKALUKUNDRAM</t>
  </si>
  <si>
    <t>TIRUKKOYILUR</t>
  </si>
  <si>
    <t>TIRUMANI ARNI</t>
  </si>
  <si>
    <t>TIRUNELVELI</t>
  </si>
  <si>
    <t>TIRUPANDI</t>
  </si>
  <si>
    <t>TIRUPATHUR</t>
  </si>
  <si>
    <t>TIRUPATTUR</t>
  </si>
  <si>
    <t>TIRUPPUR</t>
  </si>
  <si>
    <t>TIRUPUR</t>
  </si>
  <si>
    <t>TIRUTTANI</t>
  </si>
  <si>
    <t>TIRUVADANAI</t>
  </si>
  <si>
    <t>TIRUVANNAMALAI</t>
  </si>
  <si>
    <t>TITTAKUDI</t>
  </si>
  <si>
    <t>UDAYARPALAYAM</t>
  </si>
  <si>
    <t>UDHAGAMANDALAM</t>
  </si>
  <si>
    <t>UDUMALAIPETTAI</t>
  </si>
  <si>
    <t>ULUNDURPETTAI</t>
  </si>
  <si>
    <t>USILAMPATTI</t>
  </si>
  <si>
    <t>UTHAMAPALAYAM</t>
  </si>
  <si>
    <t>UTHANGARAI</t>
  </si>
  <si>
    <t>UTHIRAMERUR</t>
  </si>
  <si>
    <t>UTHUKKOTTAI</t>
  </si>
  <si>
    <t>VADAKKU MANGUDI</t>
  </si>
  <si>
    <t>VADIPATTI</t>
  </si>
  <si>
    <t>VALANGAIMAN</t>
  </si>
  <si>
    <t>VALATHOOR</t>
  </si>
  <si>
    <t>VALPARAI</t>
  </si>
  <si>
    <t>VANDAVASI</t>
  </si>
  <si>
    <t>VANIYAMBADI</t>
  </si>
  <si>
    <t>VAZHAPADI</t>
  </si>
  <si>
    <t>VEDARANYAM</t>
  </si>
  <si>
    <t>VEDASANDUR</t>
  </si>
  <si>
    <t>VEERAKERALAMPUTHUR</t>
  </si>
  <si>
    <t>VELLODU</t>
  </si>
  <si>
    <t>VELLORE</t>
  </si>
  <si>
    <t>VELUR S A</t>
  </si>
  <si>
    <t>VEMBAKKAM</t>
  </si>
  <si>
    <t>VEPPANTHATTAI</t>
  </si>
  <si>
    <t>VILATHIKULAM</t>
  </si>
  <si>
    <t>VILAVANCODE</t>
  </si>
  <si>
    <t>VILLUPURAM</t>
  </si>
  <si>
    <t>VILUPPURAM</t>
  </si>
  <si>
    <t>VIRUDHACHALAM</t>
  </si>
  <si>
    <t>VIRUDHUNAGAR</t>
  </si>
  <si>
    <t>WALLAJAH</t>
  </si>
  <si>
    <t>YERCAUD</t>
  </si>
  <si>
    <t>TELANGANA</t>
  </si>
  <si>
    <t>ACHAMPET</t>
  </si>
  <si>
    <t>ADILABAD</t>
  </si>
  <si>
    <t>AIR FORCE STATION</t>
  </si>
  <si>
    <t>ALAIR</t>
  </si>
  <si>
    <t>ALAMPUR</t>
  </si>
  <si>
    <t>ALLADURG</t>
  </si>
  <si>
    <t>AMANGAL</t>
  </si>
  <si>
    <t>AMRABAD</t>
  </si>
  <si>
    <t>ANDOLE</t>
  </si>
  <si>
    <t>ANUMULA</t>
  </si>
  <si>
    <t>AREPALLE</t>
  </si>
  <si>
    <t>ARMOOR BUS STATION</t>
  </si>
  <si>
    <t>ARMUR</t>
  </si>
  <si>
    <t>ASIFABAD</t>
  </si>
  <si>
    <t>ASWAPURAM</t>
  </si>
  <si>
    <t>ASWARAOPETA</t>
  </si>
  <si>
    <t>BACHANNAPET</t>
  </si>
  <si>
    <t>BALANAGAR</t>
  </si>
  <si>
    <t>BALKONDA</t>
  </si>
  <si>
    <t>BANSWADA</t>
  </si>
  <si>
    <t>BASHEERABAD</t>
  </si>
  <si>
    <t>BAYYARAM</t>
  </si>
  <si>
    <t>BEJJANKI</t>
  </si>
  <si>
    <t>BEJJUR</t>
  </si>
  <si>
    <t>BELLAMPALLE</t>
  </si>
  <si>
    <t>BHADRACHALAM</t>
  </si>
  <si>
    <t>BHAINSA</t>
  </si>
  <si>
    <t>BHEEMADEVARPALLE</t>
  </si>
  <si>
    <t>BHEEMGAL</t>
  </si>
  <si>
    <t>BHIKNOOR</t>
  </si>
  <si>
    <t>BHONGIR</t>
  </si>
  <si>
    <t>BHOOTHPUR</t>
  </si>
  <si>
    <t>BHUPALPALLE</t>
  </si>
  <si>
    <t>BIBINAGAR</t>
  </si>
  <si>
    <t>BICHKUNDA</t>
  </si>
  <si>
    <t>BIJINAPALLE</t>
  </si>
  <si>
    <t>BIRKOOR</t>
  </si>
  <si>
    <t>BOATH</t>
  </si>
  <si>
    <t>BODHAN</t>
  </si>
  <si>
    <t>BOINPALLE</t>
  </si>
  <si>
    <t>BOMRASPET</t>
  </si>
  <si>
    <t>BONAKAL</t>
  </si>
  <si>
    <t>BURGAMPAHAD</t>
  </si>
  <si>
    <t>CHANDARABHAGANAGAR</t>
  </si>
  <si>
    <t>CHANDRUGONDA</t>
  </si>
  <si>
    <t>CHANDUR</t>
  </si>
  <si>
    <t>CHANDURTHI</t>
  </si>
  <si>
    <t>CHEGUNTA</t>
  </si>
  <si>
    <t>CHENGALPET</t>
  </si>
  <si>
    <t>CHENNUR</t>
  </si>
  <si>
    <t>CHERIAL</t>
  </si>
  <si>
    <t>CHERLA</t>
  </si>
  <si>
    <t>CHIGURUMAMIDI</t>
  </si>
  <si>
    <t>CHILKUR</t>
  </si>
  <si>
    <t>CHINNACHINTAKUNTA</t>
  </si>
  <si>
    <t>CHINTHAKANI</t>
  </si>
  <si>
    <t>CHINTUR</t>
  </si>
  <si>
    <t>CHITYALA</t>
  </si>
  <si>
    <t>CHOPPADANDI</t>
  </si>
  <si>
    <t>CHOUTUPPAL</t>
  </si>
  <si>
    <t>DAMARAGIDDA</t>
  </si>
  <si>
    <t>DAMMAPETA</t>
  </si>
  <si>
    <t>DANDEPALLE</t>
  </si>
  <si>
    <t>DEVARAKONDA</t>
  </si>
  <si>
    <t>DEVARKADRA</t>
  </si>
  <si>
    <t>DEVARUPPULA</t>
  </si>
  <si>
    <t>DHADING</t>
  </si>
  <si>
    <t>DHANWADA</t>
  </si>
  <si>
    <t>DHARMASAGAR</t>
  </si>
  <si>
    <t>DHARPALLE</t>
  </si>
  <si>
    <t>DICHPALLE</t>
  </si>
  <si>
    <t>DILAWARPUR</t>
  </si>
  <si>
    <t>DOMA</t>
  </si>
  <si>
    <t>DOMAKONDA</t>
  </si>
  <si>
    <t>DOREPALLE</t>
  </si>
  <si>
    <t>DUBBAK</t>
  </si>
  <si>
    <t>DUGGONDI</t>
  </si>
  <si>
    <t>DUMMUGUDEM</t>
  </si>
  <si>
    <t>ELKATHURTHI</t>
  </si>
  <si>
    <t>ENKURU</t>
  </si>
  <si>
    <t>ETURNAGARAM</t>
  </si>
  <si>
    <t>FAROOQNAGAR</t>
  </si>
  <si>
    <t>FATORDA MARGAO,</t>
  </si>
  <si>
    <t>GAJWEL</t>
  </si>
  <si>
    <t>GAMBHIRAOPET</t>
  </si>
  <si>
    <t>GANDHARI</t>
  </si>
  <si>
    <t>GANGADHARA</t>
  </si>
  <si>
    <t>GARIDEPALLE</t>
  </si>
  <si>
    <t>GARLA</t>
  </si>
  <si>
    <t>GHANPUR</t>
  </si>
  <si>
    <t>GHATKESAR</t>
  </si>
  <si>
    <t>GHATTU</t>
  </si>
  <si>
    <t>GOLLAPALLE</t>
  </si>
  <si>
    <t>GOPALPETA</t>
  </si>
  <si>
    <t>GOVINDARAOPET</t>
  </si>
  <si>
    <t>GROVE, PUTTAPARTHI</t>
  </si>
  <si>
    <t>GUDIHATHNOOR</t>
  </si>
  <si>
    <t>GURRAMPODE</t>
  </si>
  <si>
    <t>HANAMKONDA</t>
  </si>
  <si>
    <t>HANWADA</t>
  </si>
  <si>
    <t>HASANPARTHY</t>
  </si>
  <si>
    <t>HATHNOORA</t>
  </si>
  <si>
    <t>HAYATHNAGAR</t>
  </si>
  <si>
    <t>HUSNABAD</t>
  </si>
  <si>
    <t>HUZURABAD</t>
  </si>
  <si>
    <t>HUZURNAGAR</t>
  </si>
  <si>
    <t>HYDERABAD</t>
  </si>
  <si>
    <t>HYDERABAD CITY</t>
  </si>
  <si>
    <t>HYDERABAD(AP)</t>
  </si>
  <si>
    <t>HYDERABAD-502319</t>
  </si>
  <si>
    <t>ICHODA</t>
  </si>
  <si>
    <t>ICRISAT</t>
  </si>
  <si>
    <t>IEEJ</t>
  </si>
  <si>
    <t>INDARAM</t>
  </si>
  <si>
    <t>INDERAVELLY</t>
  </si>
  <si>
    <t>INDUSTRIAL AREA</t>
  </si>
  <si>
    <t>JADCHERLA</t>
  </si>
  <si>
    <t>JAGDEVPUR</t>
  </si>
  <si>
    <t>JAGTIAL</t>
  </si>
  <si>
    <t>JAINOOR</t>
  </si>
  <si>
    <t>JAKRANPALLE</t>
  </si>
  <si>
    <t>JAMMIKUNTA</t>
  </si>
  <si>
    <t>JAMSHEDAPUR</t>
  </si>
  <si>
    <t>JANGAON</t>
  </si>
  <si>
    <t>JANNARAM</t>
  </si>
  <si>
    <t>JHARASANGAM</t>
  </si>
  <si>
    <t>JUKKAL</t>
  </si>
  <si>
    <t>JULAPALLE</t>
  </si>
  <si>
    <t>KADDAM</t>
  </si>
  <si>
    <t>KALLUR</t>
  </si>
  <si>
    <t>KALWAKURTHY</t>
  </si>
  <si>
    <t>KAMALAPUR</t>
  </si>
  <si>
    <t>KAMAREDDY</t>
  </si>
  <si>
    <t>KAMEPALLE</t>
  </si>
  <si>
    <t>KAMMARPALLE</t>
  </si>
  <si>
    <t>KARIMNAGAR</t>
  </si>
  <si>
    <t>KASIPET</t>
  </si>
  <si>
    <t>KATARAM</t>
  </si>
  <si>
    <t>KATHLAPUR</t>
  </si>
  <si>
    <t>KATTANGOOR</t>
  </si>
  <si>
    <t>KESAMUDRAM</t>
  </si>
  <si>
    <t>KESHAMPET</t>
  </si>
  <si>
    <t>KETHE PALLE</t>
  </si>
  <si>
    <t>KHAMMAM</t>
  </si>
  <si>
    <t>KODAD</t>
  </si>
  <si>
    <t>KODAKANDLA</t>
  </si>
  <si>
    <t>KODANGAL</t>
  </si>
  <si>
    <t>KODIMIAL</t>
  </si>
  <si>
    <t>KOHIR</t>
  </si>
  <si>
    <t>KOILKONDA</t>
  </si>
  <si>
    <t>KOLLAPUR</t>
  </si>
  <si>
    <t>KONARAOPETA</t>
  </si>
  <si>
    <t>KONDAPAK</t>
  </si>
  <si>
    <t>KONDAPUR</t>
  </si>
  <si>
    <t>KONDURG</t>
  </si>
  <si>
    <t>KONIJERLA</t>
  </si>
  <si>
    <t>KORATLA</t>
  </si>
  <si>
    <t>KOSGI</t>
  </si>
  <si>
    <t>KOTAPALLE</t>
  </si>
  <si>
    <t>KOTGIRI</t>
  </si>
  <si>
    <t>KOTHAGUDEM</t>
  </si>
  <si>
    <t>KOTHAKOTA</t>
  </si>
  <si>
    <t>KOTHUR</t>
  </si>
  <si>
    <t>KOWDIPALLE</t>
  </si>
  <si>
    <t>KUKUNOOR</t>
  </si>
  <si>
    <t>KULCHARAM</t>
  </si>
  <si>
    <t>KUNAVARAM</t>
  </si>
  <si>
    <t>KUNTALA</t>
  </si>
  <si>
    <t>KURAVI</t>
  </si>
  <si>
    <t>KUSUMANCHI</t>
  </si>
  <si>
    <t>LINGAL</t>
  </si>
  <si>
    <t>LINGALAGHANPUR</t>
  </si>
  <si>
    <t>LUXETTIPET</t>
  </si>
  <si>
    <t>MADGUL</t>
  </si>
  <si>
    <t>MADHIRA</t>
  </si>
  <si>
    <t>MADNOOR</t>
  </si>
  <si>
    <t>MAGANOOR</t>
  </si>
  <si>
    <t>MAHABUBABAD</t>
  </si>
  <si>
    <t>MAHADEVPUR</t>
  </si>
  <si>
    <t>MAHBUBNAGAR</t>
  </si>
  <si>
    <t>MAHESWARAM</t>
  </si>
  <si>
    <t>MAKLOOR</t>
  </si>
  <si>
    <t>MAKTHAL</t>
  </si>
  <si>
    <t>MALLIAL</t>
  </si>
  <si>
    <t>MAMDA</t>
  </si>
  <si>
    <t>MANAKONDUR</t>
  </si>
  <si>
    <t>MANCHAL</t>
  </si>
  <si>
    <t>MANCHERIAL</t>
  </si>
  <si>
    <t>MANDAL,GUNTUR</t>
  </si>
  <si>
    <t>MANOPAD</t>
  </si>
  <si>
    <t>MARRIGUDA</t>
  </si>
  <si>
    <t>MATUNGA MUMBAI</t>
  </si>
  <si>
    <t>MEDAK</t>
  </si>
  <si>
    <t>MEDCHAL</t>
  </si>
  <si>
    <t>MEDIPALLE</t>
  </si>
  <si>
    <t>MELLA CHERUVU</t>
  </si>
  <si>
    <t>METPALLE</t>
  </si>
  <si>
    <t>MIDJIL</t>
  </si>
  <si>
    <t>MIRDODDI</t>
  </si>
  <si>
    <t>MOGULLAPALLE</t>
  </si>
  <si>
    <t>MOINABAD</t>
  </si>
  <si>
    <t>MORTAD</t>
  </si>
  <si>
    <t>MOTHEY</t>
  </si>
  <si>
    <t>MOTHKUR</t>
  </si>
  <si>
    <t>MUDHOLE</t>
  </si>
  <si>
    <t>MUDIGONDA</t>
  </si>
  <si>
    <t>MULUG</t>
  </si>
  <si>
    <t>MUNAGALA</t>
  </si>
  <si>
    <t>MUNUGODE</t>
  </si>
  <si>
    <t>MUSTABAD</t>
  </si>
  <si>
    <t>MUTHARAM</t>
  </si>
  <si>
    <t>NADIGUDEM</t>
  </si>
  <si>
    <t>NAGAREDDIPET</t>
  </si>
  <si>
    <t>NAGARKURNOOL</t>
  </si>
  <si>
    <t>NAKREKAL</t>
  </si>
  <si>
    <t>NALGONDA</t>
  </si>
  <si>
    <t>NAMPALLE</t>
  </si>
  <si>
    <t>NANGNOOR</t>
  </si>
  <si>
    <t>NARAYANAPUR</t>
  </si>
  <si>
    <t>NARAYANKHED</t>
  </si>
  <si>
    <t>NARAYANPET</t>
  </si>
  <si>
    <t>NARKETPALLE</t>
  </si>
  <si>
    <t>NARNOOR</t>
  </si>
  <si>
    <t>NARSAMPET</t>
  </si>
  <si>
    <t>NARSAPUR</t>
  </si>
  <si>
    <t>NARSIMHULAPET</t>
  </si>
  <si>
    <t>NAVIPET</t>
  </si>
  <si>
    <t>NAWABPET</t>
  </si>
  <si>
    <t>NEKKONDA</t>
  </si>
  <si>
    <t>NELAKONDAPALLE</t>
  </si>
  <si>
    <t>NELLIKUDUR</t>
  </si>
  <si>
    <t>NERADIGONDA</t>
  </si>
  <si>
    <t>NEREDCHERLA</t>
  </si>
  <si>
    <t>NERELLA</t>
  </si>
  <si>
    <t>NIDAMANUR</t>
  </si>
  <si>
    <t>NIRMAL</t>
  </si>
  <si>
    <t>NIZAMABAD</t>
  </si>
  <si>
    <t>NIZAMSAGAR</t>
  </si>
  <si>
    <t>NUTHANKAL</t>
  </si>
  <si>
    <t>NYALKAL</t>
  </si>
  <si>
    <t>PALWANCHA</t>
  </si>
  <si>
    <t>PANGAL</t>
  </si>
  <si>
    <t>PAPANNAPET</t>
  </si>
  <si>
    <t>PARGI</t>
  </si>
  <si>
    <t>PARKAL</t>
  </si>
  <si>
    <t>PATANCHERU</t>
  </si>
  <si>
    <t>PEBBAIR</t>
  </si>
  <si>
    <t>PEDDA ADISERLA PALLE</t>
  </si>
  <si>
    <t>PEDDAPALLE</t>
  </si>
  <si>
    <t>PEDDAVOORA</t>
  </si>
  <si>
    <t>PEDDEMUL</t>
  </si>
  <si>
    <t>PITLAM</t>
  </si>
  <si>
    <t>POCHAMPALLE</t>
  </si>
  <si>
    <t>PULKAL</t>
  </si>
  <si>
    <t>R E COLLEGE</t>
  </si>
  <si>
    <t>RAGHUNATHPALLE</t>
  </si>
  <si>
    <t>RAIGARGH</t>
  </si>
  <si>
    <t>RAIKAL</t>
  </si>
  <si>
    <t>RAIKODE</t>
  </si>
  <si>
    <t>RAIPARTHY</t>
  </si>
  <si>
    <t>RAJAPET</t>
  </si>
  <si>
    <t>RAMADUGU</t>
  </si>
  <si>
    <t>RAMAGUNDAM</t>
  </si>
  <si>
    <t>RAMANNAPETA</t>
  </si>
  <si>
    <t>RAMAYAMPET</t>
  </si>
  <si>
    <t>RANGAREDDI</t>
  </si>
  <si>
    <t>REGODE</t>
  </si>
  <si>
    <t>REGONDA</t>
  </si>
  <si>
    <t>SADASIVANAGAR</t>
  </si>
  <si>
    <t>SADASIVPET</t>
  </si>
  <si>
    <t>SALI GOURARAM</t>
  </si>
  <si>
    <t>SANGAREDDY</t>
  </si>
  <si>
    <t>SARANGAPUR</t>
  </si>
  <si>
    <t>SATHUPALLE</t>
  </si>
  <si>
    <t>SECUNDERABAD</t>
  </si>
  <si>
    <t>SHANKARAMPET</t>
  </si>
  <si>
    <t>SHANKARAPATNAM</t>
  </si>
  <si>
    <t>SHAYAMPET</t>
  </si>
  <si>
    <t>SHIVAMPET</t>
  </si>
  <si>
    <t>SIDDIPET</t>
  </si>
  <si>
    <t>SINGARENI</t>
  </si>
  <si>
    <t>SIRCILLA</t>
  </si>
  <si>
    <t>SIRPUR</t>
  </si>
  <si>
    <t>SUBHASHNAGAR</t>
  </si>
  <si>
    <t>SULTANABAD</t>
  </si>
  <si>
    <t>SURYAPET</t>
  </si>
  <si>
    <t>TADWAI</t>
  </si>
  <si>
    <t>TALLADA</t>
  </si>
  <si>
    <t>TAMSI</t>
  </si>
  <si>
    <t>TANDUR</t>
  </si>
  <si>
    <t>TANOOR</t>
  </si>
  <si>
    <t>TEKULAPALLE</t>
  </si>
  <si>
    <t>THIMMAJIPET</t>
  </si>
  <si>
    <t>THIPPARTHI</t>
  </si>
  <si>
    <t>THIRUMALAYAPALEM</t>
  </si>
  <si>
    <t>THORRUR</t>
  </si>
  <si>
    <t>THUNGATHURTHI</t>
  </si>
  <si>
    <t>TIMMAPUR</t>
  </si>
  <si>
    <t>TIRUNELVELR</t>
  </si>
  <si>
    <t>TUPRAN</t>
  </si>
  <si>
    <t>UDAYPUER</t>
  </si>
  <si>
    <t>UPPUNUNTHALA</t>
  </si>
  <si>
    <t>UTKOOR</t>
  </si>
  <si>
    <t>UTNOOR</t>
  </si>
  <si>
    <t>VALIGONDA</t>
  </si>
  <si>
    <t>VANGOOR</t>
  </si>
  <si>
    <t>VARNI</t>
  </si>
  <si>
    <t>VEENAVANKA</t>
  </si>
  <si>
    <t>VELAIRPADU</t>
  </si>
  <si>
    <t>VELDANDA</t>
  </si>
  <si>
    <t>VELGATOOR</t>
  </si>
  <si>
    <t>VELPUR</t>
  </si>
  <si>
    <t>VEMSOOR</t>
  </si>
  <si>
    <t>VEMULAPALLE</t>
  </si>
  <si>
    <t>VEMULAWADA</t>
  </si>
  <si>
    <t>VENKATAPURAM</t>
  </si>
  <si>
    <t>WADDEPALLE</t>
  </si>
  <si>
    <t>WANKDI</t>
  </si>
  <si>
    <t>WARANGAL</t>
  </si>
  <si>
    <t>WARDHANNA PET</t>
  </si>
  <si>
    <t>WARGAL</t>
  </si>
  <si>
    <t>WYRA</t>
  </si>
  <si>
    <t>YACHARAM</t>
  </si>
  <si>
    <t>YADAGARIGUTTA</t>
  </si>
  <si>
    <t>YADAGIRIGUTTA</t>
  </si>
  <si>
    <t>YEDPALLE</t>
  </si>
  <si>
    <t>YELAL</t>
  </si>
  <si>
    <t>YELDURTHY</t>
  </si>
  <si>
    <t>YELLANDU</t>
  </si>
  <si>
    <t>YELLAREDDIPET</t>
  </si>
  <si>
    <t>YERRUPALEM</t>
  </si>
  <si>
    <t>ZAFFERGADH</t>
  </si>
  <si>
    <t>ZAHIRABAD</t>
  </si>
  <si>
    <t>TRIPURA</t>
  </si>
  <si>
    <t>ABHAYNAGAR</t>
  </si>
  <si>
    <t>AGARTALA</t>
  </si>
  <si>
    <t>BAGAFA</t>
  </si>
  <si>
    <t>BISHALGARH</t>
  </si>
  <si>
    <t>DAMCHHARA</t>
  </si>
  <si>
    <t>DASDA</t>
  </si>
  <si>
    <t>DHALAI</t>
  </si>
  <si>
    <t>DHALESWAR</t>
  </si>
  <si>
    <t>DUKLI</t>
  </si>
  <si>
    <t>DUMBURNAGAR</t>
  </si>
  <si>
    <t>GOURNAGAR</t>
  </si>
  <si>
    <t>HEZAMARA</t>
  </si>
  <si>
    <t>HRISHYAMUKH</t>
  </si>
  <si>
    <t>JAMPUII HILLS</t>
  </si>
  <si>
    <t>JATANBARI</t>
  </si>
  <si>
    <t>JIRANIA</t>
  </si>
  <si>
    <t>KADAMTALA</t>
  </si>
  <si>
    <t>KAKRABAN</t>
  </si>
  <si>
    <t>KATHALIA</t>
  </si>
  <si>
    <t>KHOWAI</t>
  </si>
  <si>
    <t>KUMARGHAT</t>
  </si>
  <si>
    <t>MANU</t>
  </si>
  <si>
    <t>MATARBARI</t>
  </si>
  <si>
    <t>MELAGHAR</t>
  </si>
  <si>
    <t>MUHURIPUR</t>
  </si>
  <si>
    <t>NORTH TRIPURA</t>
  </si>
  <si>
    <t>PANISAGAR</t>
  </si>
  <si>
    <t>PENCHARTHAL</t>
  </si>
  <si>
    <t>RADHANAGAR</t>
  </si>
  <si>
    <t>SALEMA</t>
  </si>
  <si>
    <t>SANTIRBAZAR</t>
  </si>
  <si>
    <t>SATCHAND</t>
  </si>
  <si>
    <t>SEKERKOTE</t>
  </si>
  <si>
    <t>SOUTH TRIPURA</t>
  </si>
  <si>
    <t>SUNAMURA</t>
  </si>
  <si>
    <t>WEST TRIPURA</t>
  </si>
  <si>
    <t>UTTAR PRADESH</t>
  </si>
  <si>
    <t>AGRA</t>
  </si>
  <si>
    <t>ALAPUR</t>
  </si>
  <si>
    <t>ALIGANJ</t>
  </si>
  <si>
    <t>ALIGARH</t>
  </si>
  <si>
    <t>ALLAHABAD</t>
  </si>
  <si>
    <t>ALLAPUR</t>
  </si>
  <si>
    <t>ALMORA</t>
  </si>
  <si>
    <t>AMBEDKAR NAGAR</t>
  </si>
  <si>
    <t>AMETHI</t>
  </si>
  <si>
    <t>AMROHA</t>
  </si>
  <si>
    <t>AONLA</t>
  </si>
  <si>
    <t>ATARRA</t>
  </si>
  <si>
    <t>ATRAULI</t>
  </si>
  <si>
    <t>AURAIYA</t>
  </si>
  <si>
    <t>AZAMGARH</t>
  </si>
  <si>
    <t>BABERU</t>
  </si>
  <si>
    <t>BADAUN</t>
  </si>
  <si>
    <t>BADLAPUR</t>
  </si>
  <si>
    <t>BAGHPAT</t>
  </si>
  <si>
    <t>BAH</t>
  </si>
  <si>
    <t>BAHERI</t>
  </si>
  <si>
    <t>BAHRAICH</t>
  </si>
  <si>
    <t>BAIRIA</t>
  </si>
  <si>
    <t>BAKSHI</t>
  </si>
  <si>
    <t>BALLIA</t>
  </si>
  <si>
    <t>BALRAMPUR</t>
  </si>
  <si>
    <t>BANEL</t>
  </si>
  <si>
    <t>BANSDIH</t>
  </si>
  <si>
    <t>BANSGAON</t>
  </si>
  <si>
    <t>BANSI</t>
  </si>
  <si>
    <t>BARA</t>
  </si>
  <si>
    <t>BARABANKI</t>
  </si>
  <si>
    <t>BARAUT</t>
  </si>
  <si>
    <t>BAREILLY</t>
  </si>
  <si>
    <t>BARHAJ</t>
  </si>
  <si>
    <t>BASTI</t>
  </si>
  <si>
    <t>BASTI SADAR</t>
  </si>
  <si>
    <t>BEHAT</t>
  </si>
  <si>
    <t>BELTHARA</t>
  </si>
  <si>
    <t>BHADOHI</t>
  </si>
  <si>
    <t>BHANPUR</t>
  </si>
  <si>
    <t>BHARTHANA</t>
  </si>
  <si>
    <t>BHATPAR</t>
  </si>
  <si>
    <t>BHINGA</t>
  </si>
  <si>
    <t>BHOGAON</t>
  </si>
  <si>
    <t>BHOGNIPUR</t>
  </si>
  <si>
    <t>BIDHUNA</t>
  </si>
  <si>
    <t>BIJNOR</t>
  </si>
  <si>
    <t>BIKAPUR</t>
  </si>
  <si>
    <t>BILARI</t>
  </si>
  <si>
    <t>BILGRAM</t>
  </si>
  <si>
    <t>BILHAUR</t>
  </si>
  <si>
    <t>BILSI</t>
  </si>
  <si>
    <t>BINDKI</t>
  </si>
  <si>
    <t>BISALPUR</t>
  </si>
  <si>
    <t>BISAULI</t>
  </si>
  <si>
    <t>BISWAN</t>
  </si>
  <si>
    <t>BUDAUN</t>
  </si>
  <si>
    <t>BUDHANA</t>
  </si>
  <si>
    <t>BULANDSHAHAR</t>
  </si>
  <si>
    <t>CAMPIERGANJ</t>
  </si>
  <si>
    <t>CHAIL</t>
  </si>
  <si>
    <t>CHAKARNAGAR</t>
  </si>
  <si>
    <t>CHANDAULI</t>
  </si>
  <si>
    <t>CHANDAUSI</t>
  </si>
  <si>
    <t>CHANDPUR</t>
  </si>
  <si>
    <t>CHARKHARI</t>
  </si>
  <si>
    <t>CHAURI</t>
  </si>
  <si>
    <t>CHHATA</t>
  </si>
  <si>
    <t>CHUNAR</t>
  </si>
  <si>
    <t>COLONELGANJ</t>
  </si>
  <si>
    <t>DALMAU</t>
  </si>
  <si>
    <t>DATAGANJ</t>
  </si>
  <si>
    <t>DEOBAND</t>
  </si>
  <si>
    <t>DEORIA</t>
  </si>
  <si>
    <t>DERAPUR</t>
  </si>
  <si>
    <t>DHAMPUR</t>
  </si>
  <si>
    <t>DHANAURA</t>
  </si>
  <si>
    <t>DHANGHATA</t>
  </si>
  <si>
    <t>DHAURAHARA</t>
  </si>
  <si>
    <t>DOMARIYAGANJ</t>
  </si>
  <si>
    <t>DUDHI</t>
  </si>
  <si>
    <t>ETAH</t>
  </si>
  <si>
    <t>ETAWAH</t>
  </si>
  <si>
    <t>ETMADPUR</t>
  </si>
  <si>
    <t>FAIZABAD</t>
  </si>
  <si>
    <t>FARIDPUR</t>
  </si>
  <si>
    <t>FARRUKHABAD</t>
  </si>
  <si>
    <t>FIROZABAD</t>
  </si>
  <si>
    <t>GANJ AJMER</t>
  </si>
  <si>
    <t>GARAUTHA</t>
  </si>
  <si>
    <t>GARHMUKTESHWAR</t>
  </si>
  <si>
    <t>GAURIGANJ</t>
  </si>
  <si>
    <t>GAUTAM BUDDHA NAGAR</t>
  </si>
  <si>
    <t>GHANGHATA</t>
  </si>
  <si>
    <t>GHATAMPUR</t>
  </si>
  <si>
    <t>GHAZIABAD</t>
  </si>
  <si>
    <t>GHAZIPUR</t>
  </si>
  <si>
    <t>GHORAWAL</t>
  </si>
  <si>
    <t>GHOSHI</t>
  </si>
  <si>
    <t>GHOSI</t>
  </si>
  <si>
    <t>GONDA</t>
  </si>
  <si>
    <t>GORAKHPUR</t>
  </si>
  <si>
    <t>GUNNAUR</t>
  </si>
  <si>
    <t>GYANPUR</t>
  </si>
  <si>
    <t>HAIDERGARH</t>
  </si>
  <si>
    <t>HANDIA</t>
  </si>
  <si>
    <t>HAPUR</t>
  </si>
  <si>
    <t>HARDOI</t>
  </si>
  <si>
    <t>HARRAIYA</t>
  </si>
  <si>
    <t>HASANGANJ</t>
  </si>
  <si>
    <t>HASANPUR</t>
  </si>
  <si>
    <t>HATA</t>
  </si>
  <si>
    <t>IGLAS</t>
  </si>
  <si>
    <t>IKAUNA</t>
  </si>
  <si>
    <t>ITWA</t>
  </si>
  <si>
    <t>JAKHANIAN</t>
  </si>
  <si>
    <t>JALAUN</t>
  </si>
  <si>
    <t>JALESAR</t>
  </si>
  <si>
    <t>JANSATH</t>
  </si>
  <si>
    <t>JASWANTNAGAR</t>
  </si>
  <si>
    <t>JAUNPUR</t>
  </si>
  <si>
    <t>JEWAR</t>
  </si>
  <si>
    <t>JHANSI</t>
  </si>
  <si>
    <t>KADIPUR</t>
  </si>
  <si>
    <t>KAIRANA</t>
  </si>
  <si>
    <t>KAISERGANJ</t>
  </si>
  <si>
    <t>KALPI</t>
  </si>
  <si>
    <t>KANNAUJ</t>
  </si>
  <si>
    <t>KARCHHANA</t>
  </si>
  <si>
    <t>KARHAL</t>
  </si>
  <si>
    <t>KARWI</t>
  </si>
  <si>
    <t>KASGANJ</t>
  </si>
  <si>
    <t>KERAKAT</t>
  </si>
  <si>
    <t>KHAGA</t>
  </si>
  <si>
    <t>KHAIR</t>
  </si>
  <si>
    <t>KHAJNI</t>
  </si>
  <si>
    <t>KHALILABAD</t>
  </si>
  <si>
    <t>KHARAGPUR</t>
  </si>
  <si>
    <t>KHEKADA</t>
  </si>
  <si>
    <t>KHERAGARH</t>
  </si>
  <si>
    <t>KHURJA</t>
  </si>
  <si>
    <t>KIRAOLI</t>
  </si>
  <si>
    <t>KOIL</t>
  </si>
  <si>
    <t>KORAON</t>
  </si>
  <si>
    <t>KULPAHAR</t>
  </si>
  <si>
    <t>KUNDA</t>
  </si>
  <si>
    <t>KUSHINAGAR</t>
  </si>
  <si>
    <t>LAHARPUR</t>
  </si>
  <si>
    <t>LAKHIMPUR</t>
  </si>
  <si>
    <t>LALITPUR</t>
  </si>
  <si>
    <t>LAMBHUA</t>
  </si>
  <si>
    <t>LUCKNOW</t>
  </si>
  <si>
    <t>MACHHLISHAHR</t>
  </si>
  <si>
    <t>MADHOGARH</t>
  </si>
  <si>
    <t>MADHUBAN</t>
  </si>
  <si>
    <t>MAHAMAYA NAGAR</t>
  </si>
  <si>
    <t>MAHARAJGANJ</t>
  </si>
  <si>
    <t>MAHASI</t>
  </si>
  <si>
    <t>MAHMUDABAD</t>
  </si>
  <si>
    <t>MAHOBA</t>
  </si>
  <si>
    <t>MAHRONI</t>
  </si>
  <si>
    <t>MAINPURI</t>
  </si>
  <si>
    <t>MALIHABAD</t>
  </si>
  <si>
    <t>MANJHANPUR</t>
  </si>
  <si>
    <t>MANKAPUR</t>
  </si>
  <si>
    <t>MARIAHU</t>
  </si>
  <si>
    <t>MARIHAN</t>
  </si>
  <si>
    <t>MAT</t>
  </si>
  <si>
    <t>MATHURA</t>
  </si>
  <si>
    <t>MAU</t>
  </si>
  <si>
    <t>MAUDAHA</t>
  </si>
  <si>
    <t>MAUNATH</t>
  </si>
  <si>
    <t>MAURANIPUR</t>
  </si>
  <si>
    <t>MAWANA</t>
  </si>
  <si>
    <t>MEERGANJ</t>
  </si>
  <si>
    <t>MEERUT</t>
  </si>
  <si>
    <t>MEHDAWAL</t>
  </si>
  <si>
    <t>MEHNAGAR</t>
  </si>
  <si>
    <t>MEJA</t>
  </si>
  <si>
    <t>MILKIPUR</t>
  </si>
  <si>
    <t>MIRZAPUR</t>
  </si>
  <si>
    <t>MISRIKH</t>
  </si>
  <si>
    <t>MODINAGAR</t>
  </si>
  <si>
    <t>MOHAMMADABAD</t>
  </si>
  <si>
    <t>MOHAMMDI</t>
  </si>
  <si>
    <t>MOHANLALGANJ</t>
  </si>
  <si>
    <t>MORADABAD</t>
  </si>
  <si>
    <t>MOTH</t>
  </si>
  <si>
    <t>MUHAMMADABAD</t>
  </si>
  <si>
    <t>MUSAFIRKHANA</t>
  </si>
  <si>
    <t>MUZAFARNAGAR</t>
  </si>
  <si>
    <t>MUZAFFARNAGAR</t>
  </si>
  <si>
    <t>NAGINA</t>
  </si>
  <si>
    <t>NAJIBABAD</t>
  </si>
  <si>
    <t>NAKUR</t>
  </si>
  <si>
    <t>NANPARA</t>
  </si>
  <si>
    <t>NARAINI</t>
  </si>
  <si>
    <t>NAUGARH</t>
  </si>
  <si>
    <t>NAUTANWA</t>
  </si>
  <si>
    <t>NAWABGANJ</t>
  </si>
  <si>
    <t>NICHLAUL</t>
  </si>
  <si>
    <t>NIGHASAN</t>
  </si>
  <si>
    <t>NOIDA</t>
  </si>
  <si>
    <t>ORAI</t>
  </si>
  <si>
    <t>PADRAUNA</t>
  </si>
  <si>
    <t>PARVATINAGAR</t>
  </si>
  <si>
    <t>PATIYALI</t>
  </si>
  <si>
    <t>PAYAGPUR</t>
  </si>
  <si>
    <t>PENINSULA VILLAGE</t>
  </si>
  <si>
    <t>PHARENDA</t>
  </si>
  <si>
    <t>PHOOLPUR</t>
  </si>
  <si>
    <t>PHULPUR</t>
  </si>
  <si>
    <t>PILIBHIT</t>
  </si>
  <si>
    <t>PINDRA</t>
  </si>
  <si>
    <t>POWAYAN</t>
  </si>
  <si>
    <t>PRATAPGARH CITY</t>
  </si>
  <si>
    <t>PURANPUR</t>
  </si>
  <si>
    <t>PURWA</t>
  </si>
  <si>
    <t>RAE BARELI</t>
  </si>
  <si>
    <t>RAMSANEHIGHAT</t>
  </si>
  <si>
    <t>RANIGAJ</t>
  </si>
  <si>
    <t>RASRA</t>
  </si>
  <si>
    <t>RASULABAD</t>
  </si>
  <si>
    <t>RATH</t>
  </si>
  <si>
    <t>ROBERTSGANJ</t>
  </si>
  <si>
    <t>RUDAULI</t>
  </si>
  <si>
    <t>RUDRAPUR</t>
  </si>
  <si>
    <t>SADABAD</t>
  </si>
  <si>
    <t>SAGRI</t>
  </si>
  <si>
    <t>SAHANPUR</t>
  </si>
  <si>
    <t>SAHARANPUR</t>
  </si>
  <si>
    <t>SAHASWAN</t>
  </si>
  <si>
    <t>SAIDPUR</t>
  </si>
  <si>
    <t>SAIFAI</t>
  </si>
  <si>
    <t>SAKALDIHA</t>
  </si>
  <si>
    <t>SALEMPUR</t>
  </si>
  <si>
    <t>SALON</t>
  </si>
  <si>
    <t>SAMBHAL</t>
  </si>
  <si>
    <t>SANDILA</t>
  </si>
  <si>
    <t>SANT KABIR NAGAR</t>
  </si>
  <si>
    <t>SARDHANA</t>
  </si>
  <si>
    <t>SASNI</t>
  </si>
  <si>
    <t>SAWAYAJPUR</t>
  </si>
  <si>
    <t>SHAHABAD</t>
  </si>
  <si>
    <t>SHAHGANJ</t>
  </si>
  <si>
    <t>SHAHJAHANPUR</t>
  </si>
  <si>
    <t>SHAJNWA</t>
  </si>
  <si>
    <t>SHAMLI</t>
  </si>
  <si>
    <t>SHIKOHABAD</t>
  </si>
  <si>
    <t>SHOHRATGARH</t>
  </si>
  <si>
    <t>SIDDHARTHNAGAR</t>
  </si>
  <si>
    <t>SIDHAULI</t>
  </si>
  <si>
    <t>SIKANDERPUR</t>
  </si>
  <si>
    <t>SIKANDRABAD</t>
  </si>
  <si>
    <t>SILIGIRI</t>
  </si>
  <si>
    <t>SIRATHU</t>
  </si>
  <si>
    <t>SIRAULI</t>
  </si>
  <si>
    <t>SITAPUR</t>
  </si>
  <si>
    <t>SOHAWAL</t>
  </si>
  <si>
    <t>SONBHADRA</t>
  </si>
  <si>
    <t>SONEBHADRA</t>
  </si>
  <si>
    <t>SORAON</t>
  </si>
  <si>
    <t>SUAR</t>
  </si>
  <si>
    <t>SULTANPUR</t>
  </si>
  <si>
    <t>TALBEHAT</t>
  </si>
  <si>
    <t>TANDA</t>
  </si>
  <si>
    <t>TARABGANJ</t>
  </si>
  <si>
    <t>THAKURDWARA</t>
  </si>
  <si>
    <t>TILHAR</t>
  </si>
  <si>
    <t>TILOI</t>
  </si>
  <si>
    <t>TULSIPUR</t>
  </si>
  <si>
    <t>TUNDLA</t>
  </si>
  <si>
    <t>UNCHAHAR</t>
  </si>
  <si>
    <t>UNNAO</t>
  </si>
  <si>
    <t>UTRAULA</t>
  </si>
  <si>
    <t>VARANASI</t>
  </si>
  <si>
    <t>ZAMANIA</t>
  </si>
  <si>
    <t>UTTARAKHAND</t>
  </si>
  <si>
    <t>ALMORA COURTS</t>
  </si>
  <si>
    <t>BAGESHWAR</t>
  </si>
  <si>
    <t>BHATWARI</t>
  </si>
  <si>
    <t>BHIKIA SAIN</t>
  </si>
  <si>
    <t>CHAKRATA</t>
  </si>
  <si>
    <t>CHAMOLI</t>
  </si>
  <si>
    <t>CHAMPAWAT</t>
  </si>
  <si>
    <t>DEHRADUN</t>
  </si>
  <si>
    <t>DEVPRAYAG</t>
  </si>
  <si>
    <t>DHARCHULA</t>
  </si>
  <si>
    <t>DHUMAKOT</t>
  </si>
  <si>
    <t>DIDIHAT</t>
  </si>
  <si>
    <t>DUNDA</t>
  </si>
  <si>
    <t>GADARPUR</t>
  </si>
  <si>
    <t>GAIR SAIN</t>
  </si>
  <si>
    <t>GANGOLIHAT</t>
  </si>
  <si>
    <t>GARUR</t>
  </si>
  <si>
    <t>GHANSALI</t>
  </si>
  <si>
    <t>HALDWANI</t>
  </si>
  <si>
    <t>HARDWAR</t>
  </si>
  <si>
    <t>HARIDWAR</t>
  </si>
  <si>
    <t>JAKHNIDHAR</t>
  </si>
  <si>
    <t>JOSHIMATH</t>
  </si>
  <si>
    <t>KANDA</t>
  </si>
  <si>
    <t>KAPKOT</t>
  </si>
  <si>
    <t>KARNAPRAYAG</t>
  </si>
  <si>
    <t>KHATIMA</t>
  </si>
  <si>
    <t>KICHHA</t>
  </si>
  <si>
    <t>KOSYA KUTAULI</t>
  </si>
  <si>
    <t>KOTDWARA</t>
  </si>
  <si>
    <t>LAKSAR</t>
  </si>
  <si>
    <t>LANSDOWNE</t>
  </si>
  <si>
    <t>LOHAGHAT</t>
  </si>
  <si>
    <t>MUNSIARI</t>
  </si>
  <si>
    <t>NAINITAL</t>
  </si>
  <si>
    <t>NARENDRA NAGAR</t>
  </si>
  <si>
    <t>PAURI GARHWAL</t>
  </si>
  <si>
    <t>PITHORAGARH</t>
  </si>
  <si>
    <t>POKHARI</t>
  </si>
  <si>
    <t>PURAULA</t>
  </si>
  <si>
    <t>RAJGARHI</t>
  </si>
  <si>
    <t>RANIKHET</t>
  </si>
  <si>
    <t>RISHIKESH</t>
  </si>
  <si>
    <t>ROORKEE</t>
  </si>
  <si>
    <t>RUDARPUR</t>
  </si>
  <si>
    <t>RUDRAPRAYAG</t>
  </si>
  <si>
    <t>SITARGANJ</t>
  </si>
  <si>
    <t>SOMESHWAR</t>
  </si>
  <si>
    <t>SRIANGAR</t>
  </si>
  <si>
    <t>TANAKPUR</t>
  </si>
  <si>
    <t>TARNAKA,SECUNDERABAD</t>
  </si>
  <si>
    <t>TEHRI</t>
  </si>
  <si>
    <t>THALISAIN</t>
  </si>
  <si>
    <t>THARALI</t>
  </si>
  <si>
    <t>UKHIMATH</t>
  </si>
  <si>
    <t>UTTARKASHI</t>
  </si>
  <si>
    <t>VIKASNAGAR</t>
  </si>
  <si>
    <t>UTTARANCHAL</t>
  </si>
  <si>
    <t>DELHLI</t>
  </si>
  <si>
    <t>WEST BENGAL</t>
  </si>
  <si>
    <t>ALIPORE</t>
  </si>
  <si>
    <t>ALIPURDUAR</t>
  </si>
  <si>
    <t>AMDANGA</t>
  </si>
  <si>
    <t>AMTA</t>
  </si>
  <si>
    <t>ANDAL</t>
  </si>
  <si>
    <t>ARAMBAG</t>
  </si>
  <si>
    <t>ARGOAL</t>
  </si>
  <si>
    <t>ARSHA</t>
  </si>
  <si>
    <t>ASANSOL</t>
  </si>
  <si>
    <t>AUSGRAM</t>
  </si>
  <si>
    <t>BADURIA</t>
  </si>
  <si>
    <t>BAGDA</t>
  </si>
  <si>
    <t>BAGMUNDI</t>
  </si>
  <si>
    <t>BAGNAN</t>
  </si>
  <si>
    <t>BALAGARH</t>
  </si>
  <si>
    <t>BALARAMPUR</t>
  </si>
  <si>
    <t>BALIGHAI</t>
  </si>
  <si>
    <t>BALLICHAK</t>
  </si>
  <si>
    <t>BALLY JAGACHHA</t>
  </si>
  <si>
    <t>BALURGHAT H O</t>
  </si>
  <si>
    <t>BAMANGOLA</t>
  </si>
  <si>
    <t>BANKURA</t>
  </si>
  <si>
    <t>BANSIHARI</t>
  </si>
  <si>
    <t>BARABANI</t>
  </si>
  <si>
    <t>BARABAZAR</t>
  </si>
  <si>
    <t>BARACKPORE</t>
  </si>
  <si>
    <t>BARASAT</t>
  </si>
  <si>
    <t>BARDDHAMAN</t>
  </si>
  <si>
    <t>BARJORA</t>
  </si>
  <si>
    <t>BARRACKPUR</t>
  </si>
  <si>
    <t>BARUA</t>
  </si>
  <si>
    <t>BARUIPUR</t>
  </si>
  <si>
    <t>BASANTI</t>
  </si>
  <si>
    <t>BASIRHAT</t>
  </si>
  <si>
    <t>BELDANGA</t>
  </si>
  <si>
    <t>BELGHARIA</t>
  </si>
  <si>
    <t>BERHAMPORE</t>
  </si>
  <si>
    <t>BHAGAWANGOLA</t>
  </si>
  <si>
    <t>BHAGAWANPUR</t>
  </si>
  <si>
    <t>BHANGAR</t>
  </si>
  <si>
    <t>BHATAR</t>
  </si>
  <si>
    <t>BINPUR</t>
  </si>
  <si>
    <t>BIRBHUM</t>
  </si>
  <si>
    <t>BISHNUPUR</t>
  </si>
  <si>
    <t>BOLPUR SRINIKETAN</t>
  </si>
  <si>
    <t>BONGAON</t>
  </si>
  <si>
    <t>BUDGE BUDGE</t>
  </si>
  <si>
    <t>BUDGE BUDGE - I</t>
  </si>
  <si>
    <t>BURDWAN</t>
  </si>
  <si>
    <t>BURWAN</t>
  </si>
  <si>
    <t>CANNING</t>
  </si>
  <si>
    <t>CHAIGHARIA</t>
  </si>
  <si>
    <t>CHAKDAH</t>
  </si>
  <si>
    <t>CHANCHAL</t>
  </si>
  <si>
    <t>CHANDANNAGAR</t>
  </si>
  <si>
    <t>CHANDITALA</t>
  </si>
  <si>
    <t>CHANDRAKONA</t>
  </si>
  <si>
    <t>CHHATNA</t>
  </si>
  <si>
    <t>CHINA</t>
  </si>
  <si>
    <t>CHINSURAH - MAGRA</t>
  </si>
  <si>
    <t>CONTAI</t>
  </si>
  <si>
    <t>COOCH BEHAR</t>
  </si>
  <si>
    <t>DAKSHIN DINAJPUR</t>
  </si>
  <si>
    <t>DANTAN</t>
  </si>
  <si>
    <t>DARJEELING</t>
  </si>
  <si>
    <t>DARJEELING PULBAZAR</t>
  </si>
  <si>
    <t>DARJILING</t>
  </si>
  <si>
    <t>DASPUR</t>
  </si>
  <si>
    <t>DEBRA</t>
  </si>
  <si>
    <t>DEGANGA</t>
  </si>
  <si>
    <t>DHANIAKHALI</t>
  </si>
  <si>
    <t>DHUPGURI</t>
  </si>
  <si>
    <t>DIAMOND HARBOUR</t>
  </si>
  <si>
    <t>DINHATA</t>
  </si>
  <si>
    <t>DOMJUR</t>
  </si>
  <si>
    <t>DOMKAL</t>
  </si>
  <si>
    <t>DUBRAJPUR</t>
  </si>
  <si>
    <t>DURGAPUR</t>
  </si>
  <si>
    <t>DURGAPUR MC</t>
  </si>
  <si>
    <t>EAST MIDNAPORE</t>
  </si>
  <si>
    <t>EGRA</t>
  </si>
  <si>
    <t>ENGLISH BAZAR</t>
  </si>
  <si>
    <t>FALAKATA</t>
  </si>
  <si>
    <t>FALTA</t>
  </si>
  <si>
    <t>FARAKKA</t>
  </si>
  <si>
    <t>FARIDPUR DURGAPUR</t>
  </si>
  <si>
    <t>GAIGHATA</t>
  </si>
  <si>
    <t>GALSI</t>
  </si>
  <si>
    <t>GANGAJALGHATI</t>
  </si>
  <si>
    <t>GANGARAMPUR</t>
  </si>
  <si>
    <t>GARBETA</t>
  </si>
  <si>
    <t>GAZOLE</t>
  </si>
  <si>
    <t>GHATAL</t>
  </si>
  <si>
    <t>GOALPOKHAR</t>
  </si>
  <si>
    <t>GOGHAT</t>
  </si>
  <si>
    <t>GOPIBALLAVPUR</t>
  </si>
  <si>
    <t>GOSABA</t>
  </si>
  <si>
    <t>HABIBPUR</t>
  </si>
  <si>
    <t>HABRA</t>
  </si>
  <si>
    <t>HALDIA</t>
  </si>
  <si>
    <t>HALDIBARI</t>
  </si>
  <si>
    <t>HANSKHALI</t>
  </si>
  <si>
    <t>HARIHARPARA</t>
  </si>
  <si>
    <t>HARINGHAT</t>
  </si>
  <si>
    <t>HARINGHATA</t>
  </si>
  <si>
    <t>HARIPAL</t>
  </si>
  <si>
    <t>HARIRAMPUR</t>
  </si>
  <si>
    <t>HARISCHANDRAPUR</t>
  </si>
  <si>
    <t>HAROA</t>
  </si>
  <si>
    <t>HASNABAD</t>
  </si>
  <si>
    <t>HD AMSTERDAM,</t>
  </si>
  <si>
    <t>HEMTABAD</t>
  </si>
  <si>
    <t>HILLI</t>
  </si>
  <si>
    <t>HINGALGANJ</t>
  </si>
  <si>
    <t>HOOGHLY</t>
  </si>
  <si>
    <t>HOOGHLY - 712136</t>
  </si>
  <si>
    <t>HOWRAH</t>
  </si>
  <si>
    <t>HURA</t>
  </si>
  <si>
    <t>ILLAMBAZAR</t>
  </si>
  <si>
    <t>INDPUR</t>
  </si>
  <si>
    <t>INDUS</t>
  </si>
  <si>
    <t>ISLAMPUR</t>
  </si>
  <si>
    <t>ITAHAR</t>
  </si>
  <si>
    <t>JAGATBALLAVPUR</t>
  </si>
  <si>
    <t>JALANGI</t>
  </si>
  <si>
    <t>JALPAIGURI</t>
  </si>
  <si>
    <t>JAMBONI</t>
  </si>
  <si>
    <t>JAMURIA</t>
  </si>
  <si>
    <t>JANGIPARA</t>
  </si>
  <si>
    <t>JAYPUR</t>
  </si>
  <si>
    <t>JHALDA</t>
  </si>
  <si>
    <t>JHARGRAM</t>
  </si>
  <si>
    <t>JOREBUNGLOW SUKIAPOKHRI</t>
  </si>
  <si>
    <t>KAKDWIP</t>
  </si>
  <si>
    <t>KALCHINI</t>
  </si>
  <si>
    <t>KALIACHAK</t>
  </si>
  <si>
    <t>KALIAGANJ</t>
  </si>
  <si>
    <t>KALIGANJ</t>
  </si>
  <si>
    <t>KALIMPONG</t>
  </si>
  <si>
    <t>KALNA</t>
  </si>
  <si>
    <t>KANDI</t>
  </si>
  <si>
    <t>KANKSA</t>
  </si>
  <si>
    <t>KARANDIGHI</t>
  </si>
  <si>
    <t>KARIMPUR</t>
  </si>
  <si>
    <t>KATWA</t>
  </si>
  <si>
    <t>KESHIARY</t>
  </si>
  <si>
    <t>KESHIRARY</t>
  </si>
  <si>
    <t>KESHPUR</t>
  </si>
  <si>
    <t>KETUGRAM</t>
  </si>
  <si>
    <t>KHANAKUL</t>
  </si>
  <si>
    <t>KHANDAGHOSH</t>
  </si>
  <si>
    <t>KHARIBARI</t>
  </si>
  <si>
    <t>KHATRA</t>
  </si>
  <si>
    <t>KHEJURI</t>
  </si>
  <si>
    <t>KHOYRASOL</t>
  </si>
  <si>
    <t>KOCH BIHAR</t>
  </si>
  <si>
    <t>KOLKATA</t>
  </si>
  <si>
    <t>KOLKATA-700081</t>
  </si>
  <si>
    <t>KOLKATTA</t>
  </si>
  <si>
    <t>KOTULPUR</t>
  </si>
  <si>
    <t>KRISHNAGANJ</t>
  </si>
  <si>
    <t>KRISHNAGAR</t>
  </si>
  <si>
    <t>KRISHNAGAR - II</t>
  </si>
  <si>
    <t>KULPI</t>
  </si>
  <si>
    <t>KULTALI</t>
  </si>
  <si>
    <t>KULTI</t>
  </si>
  <si>
    <t>KUMARGANJ</t>
  </si>
  <si>
    <t>KUMARGRAM</t>
  </si>
  <si>
    <t>KURSEONG</t>
  </si>
  <si>
    <t>KUSHMUNDI</t>
  </si>
  <si>
    <t>LABPUR</t>
  </si>
  <si>
    <t>LALGOLA</t>
  </si>
  <si>
    <t>MADARAT</t>
  </si>
  <si>
    <t>MADARIHAT</t>
  </si>
  <si>
    <t>MAGRAHAT</t>
  </si>
  <si>
    <t>MAHISADAL</t>
  </si>
  <si>
    <t>MAL</t>
  </si>
  <si>
    <t>MALDA</t>
  </si>
  <si>
    <t>MALDAH</t>
  </si>
  <si>
    <t>MANBAZAR</t>
  </si>
  <si>
    <t>MANDIRBAZAR</t>
  </si>
  <si>
    <t>MANGOLKOTE</t>
  </si>
  <si>
    <t>MANIKCHAK</t>
  </si>
  <si>
    <t>MANTESWAR</t>
  </si>
  <si>
    <t>MATHABHANGA</t>
  </si>
  <si>
    <t>MATHURAPUR</t>
  </si>
  <si>
    <t>MATIALI</t>
  </si>
  <si>
    <t>MATIGARA</t>
  </si>
  <si>
    <t>MAYNAGURI</t>
  </si>
  <si>
    <t>MAYURESWAR</t>
  </si>
  <si>
    <t>MEDAK,</t>
  </si>
  <si>
    <t>MEDINIPUR</t>
  </si>
  <si>
    <t>MEJHIA</t>
  </si>
  <si>
    <t>MEKLIGANJ</t>
  </si>
  <si>
    <t>MEMARI</t>
  </si>
  <si>
    <t>MIDNAPORE</t>
  </si>
  <si>
    <t>MIDNAPUR</t>
  </si>
  <si>
    <t>MIRIK</t>
  </si>
  <si>
    <t>MOHAMMAD BAZAR</t>
  </si>
  <si>
    <t>MORDABAD</t>
  </si>
  <si>
    <t>MOSAT</t>
  </si>
  <si>
    <t>MOYNA</t>
  </si>
  <si>
    <t>MUNJER</t>
  </si>
  <si>
    <t>MURARAI</t>
  </si>
  <si>
    <t>MURSHIDABAD</t>
  </si>
  <si>
    <t>MURSHIDABAD JIAGANJ</t>
  </si>
  <si>
    <t>NABADWIP</t>
  </si>
  <si>
    <t>NABAGRAM</t>
  </si>
  <si>
    <t>NADIA</t>
  </si>
  <si>
    <t>NAGRAKATA</t>
  </si>
  <si>
    <t>NAIHATI</t>
  </si>
  <si>
    <t>NAKASHIPARA</t>
  </si>
  <si>
    <t>NALHATI</t>
  </si>
  <si>
    <t>NAMKHANA</t>
  </si>
  <si>
    <t>NANDA KUMAR</t>
  </si>
  <si>
    <t>NANDIGRAM</t>
  </si>
  <si>
    <t>NANOOR</t>
  </si>
  <si>
    <t>NARAYANGARH</t>
  </si>
  <si>
    <t>NAWDA</t>
  </si>
  <si>
    <t>NAXALBARI</t>
  </si>
  <si>
    <t>NETURIA</t>
  </si>
  <si>
    <t>NORTH 24 PARGANAS</t>
  </si>
  <si>
    <t>NORTH TWENTY FOUR PARGANAS</t>
  </si>
  <si>
    <t>ONDA</t>
  </si>
  <si>
    <t>ONDAL</t>
  </si>
  <si>
    <t>PANCHLA</t>
  </si>
  <si>
    <t>PANDABESWAR</t>
  </si>
  <si>
    <t>PANDUA</t>
  </si>
  <si>
    <t>PANSKURA</t>
  </si>
  <si>
    <t>PARA</t>
  </si>
  <si>
    <t>PATHARPRATIMA</t>
  </si>
  <si>
    <t>PATRASAYER</t>
  </si>
  <si>
    <t>PHANSIDEWA</t>
  </si>
  <si>
    <t>PINGLA</t>
  </si>
  <si>
    <t>POTASHPUR</t>
  </si>
  <si>
    <t>PUNCHA</t>
  </si>
  <si>
    <t>PURBASTHALI</t>
  </si>
  <si>
    <t>PURSURA</t>
  </si>
  <si>
    <t>PURULIA</t>
  </si>
  <si>
    <t>PURULIYA</t>
  </si>
  <si>
    <t>RAGHUNATHGANJ</t>
  </si>
  <si>
    <t>RAGHUNATHPUR</t>
  </si>
  <si>
    <t>RAIGANJ</t>
  </si>
  <si>
    <t>RAINA</t>
  </si>
  <si>
    <t>RAJARHAT</t>
  </si>
  <si>
    <t>RAJGANJ</t>
  </si>
  <si>
    <t>RAJIBPUR</t>
  </si>
  <si>
    <t>RAMPURHAT</t>
  </si>
  <si>
    <t>RANAGHAT</t>
  </si>
  <si>
    <t>RANGLI RANGLIOT</t>
  </si>
  <si>
    <t>RANIBUNDH</t>
  </si>
  <si>
    <t>RANINAGAR</t>
  </si>
  <si>
    <t>RATUA</t>
  </si>
  <si>
    <t>SABANG</t>
  </si>
  <si>
    <t>SAGARDIGHI</t>
  </si>
  <si>
    <t>SAHID MATANGINI</t>
  </si>
  <si>
    <t>SAINTHIA</t>
  </si>
  <si>
    <t>SALANPUR</t>
  </si>
  <si>
    <t>SALBANI</t>
  </si>
  <si>
    <t>SALTORA</t>
  </si>
  <si>
    <t>SAMSERGANJ</t>
  </si>
  <si>
    <t>SANDESHKHALI</t>
  </si>
  <si>
    <t>SANKRAIL</t>
  </si>
  <si>
    <t>SANTIPUR</t>
  </si>
  <si>
    <t>SANTURI</t>
  </si>
  <si>
    <t>SECTOR 86, FARIDABAD</t>
  </si>
  <si>
    <t>SEDARAPET</t>
  </si>
  <si>
    <t>SERAMPORE</t>
  </si>
  <si>
    <t>SERAMPUR UTTARPARA</t>
  </si>
  <si>
    <t>SHIV MANDIR ROAD</t>
  </si>
  <si>
    <t>SHYAMPUR</t>
  </si>
  <si>
    <t>SIDE ROAD</t>
  </si>
  <si>
    <t>SILIGURI</t>
  </si>
  <si>
    <t>SIMLAPAL</t>
  </si>
  <si>
    <t>SINGHBHOM BIHAR</t>
  </si>
  <si>
    <t>SINGUR</t>
  </si>
  <si>
    <t>SITALKUCHI</t>
  </si>
  <si>
    <t>SONARPUR</t>
  </si>
  <si>
    <t>SOUTH 24 PARAGANAS</t>
  </si>
  <si>
    <t>SOUTH TWENTY FOUR PARGANAS</t>
  </si>
  <si>
    <t>SUKCHAR</t>
  </si>
  <si>
    <t>SURI</t>
  </si>
  <si>
    <t>SUTAHATA</t>
  </si>
  <si>
    <t>SUTI</t>
  </si>
  <si>
    <t>SWARUPNAGAR</t>
  </si>
  <si>
    <t>TALDANGRA</t>
  </si>
  <si>
    <t>TAMLUK</t>
  </si>
  <si>
    <t>TAPAN</t>
  </si>
  <si>
    <t>TEHATTA</t>
  </si>
  <si>
    <t>TELINIPARA</t>
  </si>
  <si>
    <t>TERRITORIES, HONG KONG</t>
  </si>
  <si>
    <t>TUFANGANJ</t>
  </si>
  <si>
    <t>UDAYNARAYANPUR</t>
  </si>
  <si>
    <t>ULUBERIA</t>
  </si>
  <si>
    <t>VISHNUPUR</t>
  </si>
  <si>
    <t>Auctioneers -Surveying and inventory making clerks</t>
  </si>
  <si>
    <t>Aviation Companies of Firms engaged in flying only and where no manufacture is carried on -All other employees</t>
  </si>
  <si>
    <t>Aviation Companies of Firms engaged in flying only and where no manufacture is carried on -Pilots and employees who may at any time fly</t>
  </si>
  <si>
    <t>Badami Compressed Coal Manufactures</t>
  </si>
  <si>
    <t>Bakelite and Bakelite Goods Makers (as separate trade)</t>
  </si>
  <si>
    <t>Bakeries and Biscuit Factories -All Employees not engaged with Machinery</t>
  </si>
  <si>
    <t>Bakeries and Biscuit Factories -Employees engaged with Machinery</t>
  </si>
  <si>
    <t>Bamboo and Bentwood Furniture Makers -Woodworking machinists</t>
  </si>
  <si>
    <t>Barge, Boat, Launch and Yatch only Builders -Woodworking machinists</t>
  </si>
  <si>
    <t>Barometer Hydrometer, Thermometer, Mathematical, Nautical and Surgical Instruments and  Appliance Makers, Watchmakers and Opticians -All Employees</t>
  </si>
  <si>
    <t>Basket Makers -Woodworking machinists</t>
  </si>
  <si>
    <t>Battery Service Station -All  employees excl. batteries makers and erectors</t>
  </si>
  <si>
    <t>Bedding and Mattress Manufacturers -All other employees  incl. wire risk</t>
  </si>
  <si>
    <t>Bedding and Mattress Manufacturers -Bedstead Manufacturers (Metal)</t>
  </si>
  <si>
    <t>Bedding and Mattress Manufacturers -Excl. wire risk</t>
  </si>
  <si>
    <t>Bedding and Mattress Manufacturers -Wire Mattresses-Woodworking machinists</t>
  </si>
  <si>
    <t>Billposters and Distributor</t>
  </si>
  <si>
    <t>Bitumen Lined Paper Manufacturers -All other employees</t>
  </si>
  <si>
    <t>Bitumen Lined Paper Manufacturers -Blacking and Boot, Metal and furniture polish Mfgrs</t>
  </si>
  <si>
    <t>Blast Furnaces (iron production)</t>
  </si>
  <si>
    <t>Engineers - Low Risk</t>
  </si>
  <si>
    <t>Bobbin and Shuttle Makers, Wooden -Woodworking machinists</t>
  </si>
  <si>
    <t>Boiler Makers and Repairers -Boiler scalers</t>
  </si>
  <si>
    <t>Boiler Makers and Repairers -Incl. Erection</t>
  </si>
  <si>
    <t>Bone mills - Incl. Anthrax</t>
  </si>
  <si>
    <t>Boot &amp; Shoe Manufacturers and Factories (Wholesale)</t>
  </si>
  <si>
    <t>Brass Founders, Workers and Finishers -All other employees</t>
  </si>
  <si>
    <t>Engineers - High Risk</t>
  </si>
  <si>
    <t>Brass Founders, Workers and Finishers -Foundry hands</t>
  </si>
  <si>
    <t>Brewers incl. coopers &amp; all processes incidental to the trade and maintenance staff</t>
  </si>
  <si>
    <t>Brick and Tile Makers -Where any  machinery is used; excl. clay or blaes getting below 6 metres</t>
  </si>
  <si>
    <t>Brick and Tile Makers -Where any machinery is used; excl. clay or blaes getting below 6 metres</t>
  </si>
  <si>
    <t>Brick and Tile Makers -Where no machinery is used; excl. clay or blaes getting below 6 metres</t>
  </si>
  <si>
    <t>Brick and Tile Makers-All employees engaged in clay or blaes-getting below 6 metres excl. pit or mine</t>
  </si>
  <si>
    <t>Brush Manufacturers -Wood-working machinists</t>
  </si>
  <si>
    <t>Builders -All employees engaged in shop or yard or in construction/ demolition of buildings and other civil construction like dams, bridges etc. incl. excavation-Excl. blasting and tunneling</t>
  </si>
  <si>
    <t>Builders -All employees engaged in shop or yard or in construction/ demolition of buildings and other civil construction like dams, bridges etc. incl. excavation-Incl. blasting and tunneling</t>
  </si>
  <si>
    <t>Construction - High Risk</t>
  </si>
  <si>
    <t>Builders, Material and Stone, Slate and Pottery Dealers -All other employees</t>
  </si>
  <si>
    <t>Builders, Material and Stone, Slate and Pottery Dealers -Employees engaged in loading and unloading vessels</t>
  </si>
  <si>
    <t>Builders-Steeple, Tower and chimney shaft builders or repairers</t>
  </si>
  <si>
    <t>Cabinet Makers -Woodworking machinists</t>
  </si>
  <si>
    <t>Candle Manufacturers and Tallow Candlers</t>
  </si>
  <si>
    <t>Canneries -Tin making</t>
  </si>
  <si>
    <t>Canvas and webbing equipments manufacturers -Where carried on in a Cotton jute mill</t>
  </si>
  <si>
    <t>Carbon Papers, Typewriter Ribbons, Inks and Stamp Pad Mfgrs. -All other employees</t>
  </si>
  <si>
    <t>Card, Cardboard, Strawboard and Millboard Makers -</t>
  </si>
  <si>
    <t>Cardboard Box and Paper Box Manufacturers -All other employees</t>
  </si>
  <si>
    <t>Cardboard Box and Paper Box Manufacturers -Machinists</t>
  </si>
  <si>
    <t>Caretakers Durwans, Chowkidars and Gatekeepers (except in classifications for which an all-round rate is to be applied under regulation II)</t>
  </si>
  <si>
    <t>Carman and Cartage and Contractors -Incl. Motor Transport companies (not passenger carrying)</t>
  </si>
  <si>
    <t>Carpenters and joiners - who only undertake contracts  for woodwork - All other employees</t>
  </si>
  <si>
    <t>Carpenters and joiners - who only undertake contracts  for woodwork - Woodworking machinist</t>
  </si>
  <si>
    <t>Carpet and Rug Mfgtrs. Sorters -All other employees, engaged in machinery</t>
  </si>
  <si>
    <t>Carpet and Rug Mfgtrs. Sorters -All other employees, hand work only</t>
  </si>
  <si>
    <t>Carpet and Rug Mfgtrs. Sorters -Incl. Anthrax</t>
  </si>
  <si>
    <t>Carriage Gharry and/or Livery Stable Proprietors -Not undertaking carriage contracts                                        Note: Where cartage contract work is undertaken the rate for carmen and Cartage Contractors must be applied to the whole of the wages</t>
  </si>
  <si>
    <t>Carvers in Stone, Masons and Monumental Masons where carried on as a separate trade -Employees on board vessels off-shore Plat forms and/or Rigs engaged solely upon catering duties</t>
  </si>
  <si>
    <t>Carvers in Stone, Masons and Monumental Masons where carried on as a separate trade -On Buildings -Rate as Builders</t>
  </si>
  <si>
    <t>Cement Hollow Block Mfgrs.-Where any machinery is used</t>
  </si>
  <si>
    <t>Cement Works -Excl. Quarry or Mining Risk (Quarry and Mining Risks to be rated Separately)</t>
  </si>
  <si>
    <t>Chemical Works -Incl. acid, Alizarine, alkali, alum, ammonia, aniline, arsenic bichromate of potash, borax, sheep dip and soda works</t>
  </si>
  <si>
    <t>Chemists and Druggists (Manufacturing) and Patent Medicine Mfgrs.</t>
  </si>
  <si>
    <t>Cinchona Estates -Domestic Servants whose names appear on the Factory or garden register who are paid wholly by estate</t>
  </si>
  <si>
    <t>Service - High Risk</t>
  </si>
  <si>
    <t>Cinematograph Theaters and Exhibitors -All  employees incl. clerical and managers but excl. film production</t>
  </si>
  <si>
    <t>Circus, Fair  Pleasure Ground Proprietors -All employees</t>
  </si>
  <si>
    <t>Clerical Staff-Engaged in trade on mercantile employment (Duties strictly limited to indoor clerical work)</t>
  </si>
  <si>
    <t>Clothing &amp; Underclothing Mfgrs.-(Wholesale)</t>
  </si>
  <si>
    <t>Club Servants -All employees incl. Waiters</t>
  </si>
  <si>
    <t>Coach, Carriage, Bus Body and Wagon Builders and Wheelwrights -Excl. Railway Coach and Railway Wagon Building and Repairing Woodworking machinists</t>
  </si>
  <si>
    <t>Coal and Geological Drilling -On land</t>
  </si>
  <si>
    <t>Coal and Geological Drilling -On River Beds</t>
  </si>
  <si>
    <t>Coal Merchants &amp; Dealers -Carters and all other employees</t>
  </si>
  <si>
    <t>Coal Merchants &amp; Dealers -Employees engaged in loading and difscharging vessels</t>
  </si>
  <si>
    <t>Loading &amp; Unloading</t>
  </si>
  <si>
    <t>Coffee Curing works   Where carried on as a separate trade -Employees engaged inside the factory</t>
  </si>
  <si>
    <t>Coffee Estate -All other employees</t>
  </si>
  <si>
    <t>Coffee Roasters and Essence Mfgrs. -</t>
  </si>
  <si>
    <t>Coir Presses -Godown coolies (not engaged in delivering for shipment)</t>
  </si>
  <si>
    <t>Warehouse &amp; Shop</t>
  </si>
  <si>
    <t>Coir Presses -Press employees</t>
  </si>
  <si>
    <t>Coke Mfgrs.-Incl. erecting of ovens</t>
  </si>
  <si>
    <t>Cold Storage Warehouses</t>
  </si>
  <si>
    <t>Collieries - Fatal Only (Fiery)-Inclines &amp; Levels (Minimum of Rs. 480)</t>
  </si>
  <si>
    <t>Commercial Travellers -All other employees</t>
  </si>
  <si>
    <t>Commercial Travellers -Employees using Motor Cycles/Scooters</t>
  </si>
  <si>
    <t>Condiment  Mfgrs. -Employees not engaged with machinery</t>
  </si>
  <si>
    <t>Confectioners-Employees engaged with machinery</t>
  </si>
  <si>
    <t>Container Manufacture where no mechanically drives machines and/or chemical is used</t>
  </si>
  <si>
    <t>Cordial (Fruit) and Canned Fruit Mfgrs. -All other employees-If aerated waters are manufactured</t>
  </si>
  <si>
    <t>Cordial (Fruit) and Canned Fruit Mfgrs. -Employees engaged in agricultural work on Fruit Farm</t>
  </si>
  <si>
    <t>Corn and Flour Millers - See Flour Mills</t>
  </si>
  <si>
    <t>Cotton Bales, loading and unloading into Railway Wagons, incl. delivery, where delivery undertaken by an Independent Contractor</t>
  </si>
  <si>
    <t>Cotton Ginning and pressing Factories and Presses -Calcutta and Delhi Region</t>
  </si>
  <si>
    <t>Cotton Ginning and pressing Factories and Presses -Other Regions</t>
  </si>
  <si>
    <t>Cotton Godowns and Warehouses -</t>
  </si>
  <si>
    <t>Cotton Mills -All process incl. Mill Godowns. Note:  Weaving &amp; Printing of cloth by hand power</t>
  </si>
  <si>
    <t>Cotton Wadding Mfgrs.-</t>
  </si>
  <si>
    <t>Cotton Waste Merchants -All employees</t>
  </si>
  <si>
    <t>Cotton yarn only- Where any mechanically driven machinery is used excl. repairing and spinning</t>
  </si>
  <si>
    <t>Cotton yarn only-Where no mechanically driven machinery is used excl. repairing and spinning</t>
  </si>
  <si>
    <t>Crane Drivers -</t>
  </si>
  <si>
    <t>Cycle and Motor Cycles Makers, and Repairers, and Cycle Components and accessories makers with or without machinery</t>
  </si>
  <si>
    <t>Dairies  -Delivery-Otherwise, but excl. loading and unloading of craft or vessels</t>
  </si>
  <si>
    <t>Dairies  -Wholesale</t>
  </si>
  <si>
    <t>Dentists -With or without Mechanics. Note: All risks entailing the use of radium, radio-active substances or X-ray apparatus must be submitted to the Committee for Special Rating</t>
  </si>
  <si>
    <t>Die Cutters and/or Sinkers Incl. Engraving</t>
  </si>
  <si>
    <t>Distilleries</t>
  </si>
  <si>
    <t>Divers -</t>
  </si>
  <si>
    <t>Docks  - Dock Pier and Wharf construction maintenance and/or repairs</t>
  </si>
  <si>
    <t>Docks  - Dock service under takings (Excl. Stevedores)</t>
  </si>
  <si>
    <t>Docks  -Employees engaged in blasting</t>
  </si>
  <si>
    <t>Domestic Servants -Bearers, Khitmatgars, Hamals, Cooks, Sweepers and Mehters</t>
  </si>
  <si>
    <t>Domestic Servants -Doctors' Dispensers, Assistants and Locum Tenens</t>
  </si>
  <si>
    <t>Domestic Servants -Mali</t>
  </si>
  <si>
    <t>Domestic Servants -Motor Car Driver, Cleaners and attendants</t>
  </si>
  <si>
    <t>Dry Ice Mfgrs. -</t>
  </si>
  <si>
    <t>Dyers, Dressers and Mercerisers -</t>
  </si>
  <si>
    <t>Dyewood Grinders -</t>
  </si>
  <si>
    <t>Educational Training Institutions, Schools and College Staff (Excl. Veterinary Colleges)-All other employees</t>
  </si>
  <si>
    <t>Educational Training Institutions, Schools and College Staff (Excl. Veterinary Colleges)-Clerical Staff</t>
  </si>
  <si>
    <t>Educational Training Institutions, Schools and College Staff (Excl. Veterinary Colleges)-Masters, Mistresses and male and female assistants</t>
  </si>
  <si>
    <t>Electric Cables, Makers and suppliers of incl. Cablelaying, installation and Erection work - Shop or yard risk only incl. Carrying</t>
  </si>
  <si>
    <t>Electric Cables, Makers and suppliers of incl. Cablelaying, installation and Erection work-All work away from shop or yard</t>
  </si>
  <si>
    <t>Electric Lights and Telephone Wire Coverers - Electric Sign Makers -All other work</t>
  </si>
  <si>
    <t>Electric Lights and Telephone Wire Coverers - Electric Sign Makers -Erection</t>
  </si>
  <si>
    <t>Electric Refrigerators and Air Conditioners Assembling, Installation Maintenance and Repairs -(a) Domestic purposes :-(i) Service men using motor cycles</t>
  </si>
  <si>
    <t>Electric Refrigerators and Air Conditioners Assembling, Installation Maintenance and Repairs -(a) Domestic purposes :-(ii) All other employees</t>
  </si>
  <si>
    <t>Electric Refrigerators and Air Conditioners Assembling, Installation Maintenance and Repairs -(b) Commercial purposes</t>
  </si>
  <si>
    <t>Electrical Engineers (manufacturers) Makers of fittings and appartus incl. wireless, telephone and telegraph T.V. and Radio cum Recorder Manufacturers and Computer Companies manufacturing: - Batteries Accumulator and storage batteries makers and erectors</t>
  </si>
  <si>
    <t>Electrical Engineers (manufacturers) Makers of fittings and appartus incl. wireless, telephone and telegraph T.V. and Radio cum Recorder Manufacturers' and Computer Companies manufacturing: - Dry Battery and portable electric and torch makers, button cell Mfgrs.</t>
  </si>
  <si>
    <t>Electrical Engineers (manufacturers) Makers of fittings and appartus incl. wireless, telephone and telegraph T.V. and Radio cum Recorder Manufacturers and Computer Companies manufacturing: - Shop and yard risk only - b) Where no unit is handled exceeding 12.7 Kilograms in weight when completed for use</t>
  </si>
  <si>
    <t>Electrical Engineers (manufacturers) Makers of fittings and appartus incl. wireless, telephone and telegraph T.V. and Radio cum Recorder Manufacturers and Computer Companies manufacturing: - Shop and yard risk only -a) Where any unit is handled exceeding 12.7 Kilograms in weight when completed for use</t>
  </si>
  <si>
    <t>Electrical Engineers (manufacturers) Makers of fittings and appartus incl. wireless, telephone and telegraph T.V. and Radio cum Recorder Manufacturers and Computer Companies manufacturing: - Work away from Shop and yard</t>
  </si>
  <si>
    <t>Electrical Engineers (not manufacturers) Installation and repair of plant, fittings and Appartus incl. wireless, telephone and telegraph:- Work on ships and underground in mines and quarries</t>
  </si>
  <si>
    <t>Electrical Engineers (not manufacturers) Installation and repair of plant, fittings and Appartus incl. wireless, telephone and telegraph:-Work in generating stations, cinemas, factories, theaters, music halls, public halls and similar buildings and roofs of railway station over 9 metres height or where any unit is handled exceeding 12.7 Kilogram in weight</t>
  </si>
  <si>
    <t>Electrical Engineers (not manufacturers) Installation and repair of plant, fittings and Appartus incl. wireless, telephone and telegraph:-Work other buildings and roofs of railway station over 9 metres height or where any unit is handled exceeding 12.7 Kilogram in weight</t>
  </si>
  <si>
    <t>Electricity -Light and/ or Power Supply-All employees inside and out.</t>
  </si>
  <si>
    <t>Electro-Silver and Nickel Plate Manufacturers and Metal Polishers and Platers -</t>
  </si>
  <si>
    <t>Embroidery Mills -  All other employees</t>
  </si>
  <si>
    <t>Emery Cloth, Glass and sand Paper and cleaning Powder Mfgrs.-</t>
  </si>
  <si>
    <t>Engineers - Colliery and Mining Machinery - Fixing, repairing, excl. sinking add chimney shaft erecting</t>
  </si>
  <si>
    <t>Engineers - Colliery and Mining Machinery -Shop or Yard risk only, incl. Carting</t>
  </si>
  <si>
    <t>Engineers - Cranes -All work away from Shop or yard</t>
  </si>
  <si>
    <t>Engineers - Cranes -Shop or yard risk only</t>
  </si>
  <si>
    <t>Engineers - Gasometers and Tanks  -  Shop or yard risk only, incl. Carting</t>
  </si>
  <si>
    <t>Engineers - Gasometers and Tanks  - All work away from Shop or yard</t>
  </si>
  <si>
    <t>Engineers - Hydraulic Machinery excl. Lift and Crane making and erecting Erecting away from Shop or yard</t>
  </si>
  <si>
    <t>Engineers - Hydraulic Machinery excl. Lift and Crane making and erecting- Shop or yard risk only</t>
  </si>
  <si>
    <t>Engineers - Lifts- Shop or yard  risk only</t>
  </si>
  <si>
    <t>Engineers - Lifts- Work away from Shop or yard  excl. shaft sinking</t>
  </si>
  <si>
    <t>Engineers -Bridge building -(i)  Brick, stone, timber and concrete upto 6 metres in height from road or water level at low tide</t>
  </si>
  <si>
    <t>Engineers -Bridge building -(ii)  Brick, stone, timber and concrete over 6 metres       in height from road or water level at low tide</t>
  </si>
  <si>
    <t>Engineers -Bridge building -(iii) Column and Girder(a)  Shop or yard risk</t>
  </si>
  <si>
    <t>Engineers -Bridge building -(iii) Column and Girder(b)  Erection away from shop or yard</t>
  </si>
  <si>
    <t>Engineers not otherwise classified -Incl. work away from shop or  yard exceeding 9 mts high</t>
  </si>
  <si>
    <t>Engineers not otherwise classified -Incl. work away from shop or yard upto 9 mtrs height</t>
  </si>
  <si>
    <t>Excavation, Earth Removal and Filling and Reclamation (not for Sewers and Roads)-Excl. use of explosives blasting, Tunnelling and quarrying</t>
  </si>
  <si>
    <t>Ferry &amp; Launch Owners (excl. Towing) -Mechanically propelled and 50 tons net tonnage or over</t>
  </si>
  <si>
    <t>Fire Brigades-(on total sums paid)</t>
  </si>
  <si>
    <t>Fire Extinguishing Appliances Makers  -</t>
  </si>
  <si>
    <t>Fire Loss Assessors -</t>
  </si>
  <si>
    <t>Fire Work Mfgrs. -Where hand power only is used</t>
  </si>
  <si>
    <t>Flour and Dal Mills</t>
  </si>
  <si>
    <t>Forge Masters</t>
  </si>
  <si>
    <t>Forwarding and Shipping Agent's Receiving Offices, Depots and Godowns -All other employees</t>
  </si>
  <si>
    <t>Forwarding and Shipping Agent's Receiving Offices, Depots and Godowns -Delivery not by hand, handcraft, Cycle or tricycle but excluding loading and unloading of craft or vessel</t>
  </si>
  <si>
    <t>Frozen Food Mfgrs. -</t>
  </si>
  <si>
    <t>Furniture Dealers and Removers and Depository Proprietors -Removers and Depository hands</t>
  </si>
  <si>
    <t>Furniture Dealers and Removers and Depository Proprietors -Retail Shop and Excl. Delivery and Cartage</t>
  </si>
  <si>
    <t>Furniture Mfgrs. other than machine hand moulded/plastic to be included - Other than Sheet Metal:-All other employees</t>
  </si>
  <si>
    <t>Furniture Mfgrs. other than machine hand moulded/plastic to be included - Other than Sheet Metal:-Woodworking Machinists</t>
  </si>
  <si>
    <t>Furniture Mfgrs. other than machine hand moulded/plastic to be included -Sheet Metal</t>
  </si>
  <si>
    <t>Furriers -Retail Shop risk</t>
  </si>
  <si>
    <t>Galvanising -Where carried on as separate trade</t>
  </si>
  <si>
    <t>Gas Mfgrs - Gasometer painting and repairing</t>
  </si>
  <si>
    <t>Gas Mfgrs -Oxygen-and other gases</t>
  </si>
  <si>
    <t>Gas proofing of material when carried on as a separate Trade</t>
  </si>
  <si>
    <t>Gelatins, Glue, Size and Isinglass Mfgrs -</t>
  </si>
  <si>
    <t>Ghee Mfgrs-(Tine and steel plate and sheet metal workers To be rated separately under that head)</t>
  </si>
  <si>
    <t>Glass Mfgrs -Stained- Bevellers and Silverers</t>
  </si>
  <si>
    <t>Glass Mfgrs -Stained- Bottle</t>
  </si>
  <si>
    <t>Glass Mfgrs -Stained- Embossers, Gliders, Decorators and Glass Sign writers incl. Erection</t>
  </si>
  <si>
    <t>Glass Mfgrs -Stained- Incl. erection and lead poisoning</t>
  </si>
  <si>
    <t>Glass Mfgrs -Stained- Sheet and Plate</t>
  </si>
  <si>
    <t>Glaziers -Residences, offices and shops</t>
  </si>
  <si>
    <t>Golf Clubs -(see Regulation No 8)All employees incl. stewards servants and Caddies</t>
  </si>
  <si>
    <t>Grain - Corn, Flour, Hay, Straw, Fodder, Seed and Grain merchants and Forage Contractors -All Employees engaged in loading and discharging vessels</t>
  </si>
  <si>
    <t>Grain - Corn, Flour, Hay, Straw, Fodder, Seed and Grain merchants and Forage Contractors -Where machinery is used, excl. loading and discharging vessels and carting and delivery other than by hand or cart</t>
  </si>
  <si>
    <t>Grain - Corn, Flour, Hay, Straw, Fodder, Seed and Grain merchants and Forage Contractors -Where no mechanically driven machinery is used, excl. loading and discharging vessels and carting and delivery other than by hand or cart</t>
  </si>
  <si>
    <t>Grain  Godown and Warehouse Employees</t>
  </si>
  <si>
    <t>Grease Mfgrs.</t>
  </si>
  <si>
    <t>Grindstone &amp; Millstone Makers Not in Connection with quarries-</t>
  </si>
  <si>
    <t>Groundnut Decorticating -All employees</t>
  </si>
  <si>
    <t>Gun Makers -Excl. ordnance work -All other employees</t>
  </si>
  <si>
    <t>Gun Makers -Excl. ordnance work -Workmen engaged in testing and catridge loading</t>
  </si>
  <si>
    <t>Harness and Saddle Makers -All other employees</t>
  </si>
  <si>
    <t>Harness and Saddle Makers -Wood working machinists</t>
  </si>
  <si>
    <t>Hat and Topee Works -All descriptions incl. Ladies' Frames and Shapes</t>
  </si>
  <si>
    <t>Heat treatment shops (excl. Forging)</t>
  </si>
  <si>
    <t>Hiking Clubs -Sherpas employed for carrying loads in the mountains:Wages upto 200/-  P.M - per capita</t>
  </si>
  <si>
    <t>Hollow Ware Mfgrs. (Metal) -Domestic - Utensils incl. stamping and enamelling</t>
  </si>
  <si>
    <t>Hosiery Factories</t>
  </si>
  <si>
    <t>Hospitals- Asylums, Nursing, Mission or training Homes, Reformatories, Public, Benevolent and Charitable, I institutions, inebriate and similar homes - All other employees</t>
  </si>
  <si>
    <t>Hospitals- Asylums, Nursing, Mission or training Homes, Reformatories, Public, Benevolent and Charitable, I institutions, inebriate and similar homes - Clerical and Salaried office staff</t>
  </si>
  <si>
    <t>Hospitals- Asylums, Nursing, Mission or training Homes, Reformatories, Public, Benevolent and Charitable, I institutions, inebriate and similar homes - Nurses keepers and attendants on Lunatics</t>
  </si>
  <si>
    <t>Hotels- (Residential  Commercial and Temperance)  Hydropathic Establishments, boarding and lodging houses, residential Chambers, coffee tea and refreshment rooms and restaurants Excluding public houses, beer shops and taverns ( see Regulation Nos. 7 and 8) - Indoor</t>
  </si>
  <si>
    <t>Hotels- (Residential  Commercial and Temperance)  Hydropathic Establishments, boarding and lodging houses, residential Chambers, coffee tea and refreshment rooms and restaurants Excluding public houses, beer shops and taverns ( see Regulation Nos. 7 and 8) - Outdoor and maintenance staff, incl. lift attendants</t>
  </si>
  <si>
    <t>Ice Cream Mfgrs-</t>
  </si>
  <si>
    <t>Ice Dealers and  Mfgrs -   Excluding Dry Ice Manufacturers (see Dry Ice Mfgrs)</t>
  </si>
  <si>
    <t>Import and Export Merchants -Sircars Superintending only loading and unloading of freight- All employees</t>
  </si>
  <si>
    <t>India Rubber/ Rubber Factories-Gutta percha, vulcanite and India rubber goods, belting ebonite, ebonestos and water proof material Mfgrs.</t>
  </si>
  <si>
    <t>India Rubber/ Rubber Factories-Tyre Mfgrs.</t>
  </si>
  <si>
    <t>India Rubber/ Rubber Factories-Water proof garment makers</t>
  </si>
  <si>
    <t>India Rubber-Waste workers and re-claimers</t>
  </si>
  <si>
    <t>Ink Mfgrs. -</t>
  </si>
  <si>
    <t>Inland Water Transport Companies</t>
  </si>
  <si>
    <t>Insecticides/Pesticide</t>
  </si>
  <si>
    <t>Insecticides/Pesticide spraying -</t>
  </si>
  <si>
    <t>Jelly and Powder (table) Mfgrs</t>
  </si>
  <si>
    <t>Jewelers, Goldsmith and Silversmith -Wholesale and Mfgr.</t>
  </si>
  <si>
    <t>Jewelers, Goldsmith and Silversmith-Tower, Turret, and Railway Clock fixing, repairing and winding</t>
  </si>
  <si>
    <t>Jute Bales-Loading and unloading into Railway wagons</t>
  </si>
  <si>
    <t>Jute Mills -All processes incl. mill godowns</t>
  </si>
  <si>
    <t>Lamp Makers - All descriptions incl. incandescent lamps</t>
  </si>
  <si>
    <t>Land Drainage Service-Excl. blasting and tunnelling</t>
  </si>
  <si>
    <t>Lapidaries and precious stone cutters-Excl. Lead poisoning</t>
  </si>
  <si>
    <t>Laundries -Incl. receiving office employees-Where machinery is used</t>
  </si>
  <si>
    <t>Lead smelters and/or extractors</t>
  </si>
  <si>
    <t>Leather Dresser and Dyers</t>
  </si>
  <si>
    <t>Leather Goods Mfgrs.- Excl. Belting</t>
  </si>
  <si>
    <t>Lift attendants in Offices, Residential, Premises, Shops, Hospitals, Nursling Homes and Educational Institutions</t>
  </si>
  <si>
    <t>Lift Repairing Machinists -(Upkeep of Insured 's own property only)</t>
  </si>
  <si>
    <t>Lime Works and  Kilns-Excl. Quarry or Mining Risks</t>
  </si>
  <si>
    <t>Liquified Petroleum Gas Dealers -All employees incl. those engaged in the delivery of Gas Cylinders by hand, handcart and mechanically propelled vehicles</t>
  </si>
  <si>
    <t>Live Stock Farm</t>
  </si>
  <si>
    <t>Lock Makers</t>
  </si>
  <si>
    <t>Machinery and Metal -Buyers, salesmen and show room assistants</t>
  </si>
  <si>
    <t>Machinery and Metal -Second-hand Machinery and scrap Metal Dealers excl. dismantling breaking up and demolition</t>
  </si>
  <si>
    <t>Machinery and Metal -Second-hand Machinery and scrap Metal Dealers incl. dismantling breaking up and demolition</t>
  </si>
  <si>
    <t>Machinery and Metal -Warehouse</t>
  </si>
  <si>
    <t>Maker of - Electric Light Fittings</t>
  </si>
  <si>
    <t>Maker of - Motor Vehicle small parts (metal)</t>
  </si>
  <si>
    <t>Maker of - Valves</t>
  </si>
  <si>
    <t>Manure and Fertiliser Mfgrs.-</t>
  </si>
  <si>
    <t>Marble and granite  Works, Dressing and polishing, not in connection with Quarries</t>
  </si>
  <si>
    <t>Meat Market -Porters</t>
  </si>
  <si>
    <t>Mechanical Appliances Like Tractors, Harvesters and Ploughers etc.</t>
  </si>
  <si>
    <t>Mechanics:-Excl. well sinking and any work in any connection with wells exceeding 6 meters</t>
  </si>
  <si>
    <t>Messengers (Office) and Bill Collectors - Not using Cycle</t>
  </si>
  <si>
    <t>Metal Workers -Bell Founders</t>
  </si>
  <si>
    <t>Metal Workers -Metal Makers</t>
  </si>
  <si>
    <t>Metal Workers -Metal Spinners</t>
  </si>
  <si>
    <t>Metal Workers -Workers in Zinc, not smelting or rolling -Where any work away from the shop or yard is done</t>
  </si>
  <si>
    <t>Metal Workers -Workers in Zinc, not smelting or rolling -Where no work away from the shop or yard is done</t>
  </si>
  <si>
    <t>Milk Mfgrs., Condensed and Sterilised</t>
  </si>
  <si>
    <t>Mines -Asbestos (open cast)</t>
  </si>
  <si>
    <t>Mines -Barytes</t>
  </si>
  <si>
    <t>Mines -Copper</t>
  </si>
  <si>
    <t>Mines -Gold</t>
  </si>
  <si>
    <t>Mines -Iron Ore</t>
  </si>
  <si>
    <t>Mines -Manganese</t>
  </si>
  <si>
    <t>Motor Garages, Showrooms and Assemblers of Motor Vehicles -All other employees incl. salesman drivers all mechanics</t>
  </si>
  <si>
    <t>Motor Garages, Showrooms and Assemblers of Motor Vehicles -Woodworking machinists</t>
  </si>
  <si>
    <t>Myrobalan Extract Manufacturing</t>
  </si>
  <si>
    <t>Oil Companies, importing in bulk for retail Distribution -All employees</t>
  </si>
  <si>
    <t>Oil expeller and oil expeller spare parts mfgrs.</t>
  </si>
  <si>
    <t>Oil Mills (not mineral oils) and Oilcake Mfgrs -</t>
  </si>
  <si>
    <t>Oil skin and Tarpaulin Mfgrs -</t>
  </si>
  <si>
    <t>Oil Well Proprietors and Mineral Oil Refiners -All other employees</t>
  </si>
  <si>
    <t>Oil Well Proprietors and Mineral Oil Refiners -Employees engaged in drilling and pumping erection, repair and demolition of riggs telegraph or telephone lines or overhead electric cable</t>
  </si>
  <si>
    <t>Open Cast Coal-Getting (incl. use of explosives)</t>
  </si>
  <si>
    <t>Ore Importers and Exporters where carried on as a separate trade incl. Godown and Loading and Unloading Vessels</t>
  </si>
  <si>
    <t>Paint Colour and Enamal Mfgrs.- Where red or white lead manufactured</t>
  </si>
  <si>
    <t>Painters and Decorators where carried on as separate trade, not Builders - Excl. churches, chapals, cinemas, theaters, music halls, public halls, gtasometers towers, bridges, viaducts or blast furnaces, the painting, scraping or scaling of ships of any work in connection with the roofs of railway stations or railway platform awnings</t>
  </si>
  <si>
    <t>Painters and Decorators where carried on as separate trade, not Builders -All risks incl. ship painters, scrapers and scalers</t>
  </si>
  <si>
    <t>Paper Mfgrs.-   Machine made</t>
  </si>
  <si>
    <t>Paper Mfgrs.-   Waxed Paper</t>
  </si>
  <si>
    <t>Parcel Delivery Agents, Carriers &amp; Carters</t>
  </si>
  <si>
    <t>Perfume Mfgrs.</t>
  </si>
  <si>
    <t>Pest Control and Fumigation</t>
  </si>
  <si>
    <t>Petrochemical Industry</t>
  </si>
  <si>
    <t>Petrol Pump Stations -(Not connected with garages)  Delivery (see Classification 596a and 596b) All other Works</t>
  </si>
  <si>
    <t>Petrol Pump Stations -(Not connected with garages)  Delivery by hand, handcraft, Cycle or tricycle</t>
  </si>
  <si>
    <t>Petrol Pump Stations -(Not connected with garages)  Delivery not by hand, handcraft, Cycle or tricycle, but excluding loading and unloading of craft or vessels</t>
  </si>
  <si>
    <t>Planing and Moulding Mills - Plasterers and Plaster and Fibrous Plaster Modellers and Moulders where carried on separate Trade -</t>
  </si>
  <si>
    <t>Plasterers and Plaster and Fibrous Plaster Modellers and Moulders where carried on as separate Trade-All Risks</t>
  </si>
  <si>
    <t>Plasterrs and Plaster and Fibrous Plaster Modellers and Moulders where carried on as separate Trade - Excl. churches, chapals, cinemas, exhibitions, music halls, public halls and theaters</t>
  </si>
  <si>
    <t>Plastic Goods Mfgrs.</t>
  </si>
  <si>
    <t>Plumber, Hotwater and Sanitary Engineers where carried on as separate Trade-Retail Shop risk</t>
  </si>
  <si>
    <t>Porters (Station) for carrying passengers' luggage per Capita</t>
  </si>
  <si>
    <t>Potato Dehydrating -Where mechanically driven machinery is used</t>
  </si>
  <si>
    <t>Potteries and Pottery Decorators c) Tile Mfgrs., i.e. rough unglazed tiled for flooring and roofing and terakotta tiles- rate as bricks and tile Makers</t>
  </si>
  <si>
    <t>Potteries and Pottery Decorators d)  Clay-getting excl. work below 6 meters (fireclay mining - rate as collieries)</t>
  </si>
  <si>
    <t>Potteries and Pottery Decorators e) Clay-getting below 6 meters excl. pit or mine</t>
  </si>
  <si>
    <t>Poultry and Hatchery-Where  electrical appliances are used</t>
  </si>
  <si>
    <t>Poultry and Hatchery-Where no electrical appliances are involved</t>
  </si>
  <si>
    <t>Printers and Lithographers (Excl. paper mfgrs.) Excl. printing of daily news papers excel. lead poisoning</t>
  </si>
  <si>
    <t>Printers and Lithographers (Excl. paper mfgrs.)-Incl. lead poisoning - above rates plus</t>
  </si>
  <si>
    <t>Printers and Lithographers (Excl. paper mfgrs.)-Printing of daily news papers excl. lead poisoning</t>
  </si>
  <si>
    <t>Quarries -Where any blasting is done</t>
  </si>
  <si>
    <t>Quarries -Where no blasting is done</t>
  </si>
  <si>
    <t>Rag and Waste Dealers, Rag Pickers and Marine Store Dealers -All employees in loading and discharging vessels</t>
  </si>
  <si>
    <t>Rag and Waste Dealers, Rag Pickers and Marine Store Dealers -All other employees</t>
  </si>
  <si>
    <t>Railway Coach and Wagon Works</t>
  </si>
  <si>
    <t>Railway Construction and alteration-Excl. blasting and tunnelling</t>
  </si>
  <si>
    <t>Railway Construction and alteration-Incl. blasting and tunnelling</t>
  </si>
  <si>
    <t>Railway Station Refreshment Rooms' Private Contractor Controlling -Butlers, cooks and waiters who are always employed in the refreshment room and never travel by train</t>
  </si>
  <si>
    <t>Railway up-keep and Running -Excl. Construction: Electric Railways</t>
  </si>
  <si>
    <t>Railway up-keep and Running -Excl. Construction: Labour employed in loading and unloading wagons</t>
  </si>
  <si>
    <t>Railway up-keep and Running -Excl. Construction: Other  Railways</t>
  </si>
  <si>
    <t>Railway up-keep and Running -Excl. Construction:Light Railways for goods and passengers</t>
  </si>
  <si>
    <t>Railway up-keep and Running -Excl. Construction:Light Railways for passengers only</t>
  </si>
  <si>
    <t>Rice Millers -All other employees</t>
  </si>
  <si>
    <t>Riggers</t>
  </si>
  <si>
    <t>Rivet Makers -Making copper rivet for tin work</t>
  </si>
  <si>
    <t>Road Paving, Tarring and Road Making</t>
  </si>
  <si>
    <t>Roofing and Flooring Makers and/or Layers (not slaters or tiler) Hands in shop or yard - All other employees</t>
  </si>
  <si>
    <t>Rope (Excl. Wire Rope) Cord and Twine -Where any  mechanically driven machinery is used</t>
  </si>
  <si>
    <t>Salt Works  -Excl. Mining</t>
  </si>
  <si>
    <t>Salvage Corps -Employees solely engaged upon premises of the crops in handling and treating salvaged goods</t>
  </si>
  <si>
    <t>Salvage Corps-All other employees</t>
  </si>
  <si>
    <t>Sand -Removal sea by dredgers All employees</t>
  </si>
  <si>
    <t>Saw Mill and Timber Merchants All Employees</t>
  </si>
  <si>
    <t>Sewer and Road Contractor - Open trench work only where no blasting and tunnelling is done and where the depth in no part exceeds 3 meters</t>
  </si>
  <si>
    <t>Sewer and Road Contractors-All risks where and /or blasting and tunnelling is done</t>
  </si>
  <si>
    <t>Sewer and Road Contractors-Open trench work only where no blasting and tunnelling is done and where the depth in any part exceeds 3 meters</t>
  </si>
  <si>
    <t>Sewing Machine Makers. Fitters and Repairers</t>
  </si>
  <si>
    <t>Ship Breakers  -</t>
  </si>
  <si>
    <t>Ship Builders, Iron, Steel and Concrete-Pontoon Builders and repairers</t>
  </si>
  <si>
    <t>Ship Builders, Iron, Steel and Concrete-Where barges hoppers, dredgers, tugs, yatches, passengers and cargo vessels pilot boats not exceeding 1000 tons gross measurement are built</t>
  </si>
  <si>
    <t>Ship Builders, Iron, Steel and Concrete-Where barges hoppers, dredgers, tugs, yatches, passengers and cargo vessels pilot boats not exceeding 1000 tons gross measurement are repaired only</t>
  </si>
  <si>
    <t>Ship Builders, Iron, Steel and Concrete-Where torpedo boats destroyers, steam trawlers and shallow draught river gunboats not exceeding 500 tons displacement and similar vessels as in class (a ) over 1000 tons but not exceeding 2000 tons gross measurement are built</t>
  </si>
  <si>
    <t>Ship Builders, Iron, Steel and Concrete-Where torpedo boats destroyers, steam trawlers and shallow draught river gunboats not exceeding 500 tons displacement and similar vessels as in class (a ) over 1000 tons but not exceeding 2000 tons gross measurement are repaired only</t>
  </si>
  <si>
    <t>Ship Builders, Iron, Steel and Concrete-Where war ship, passenger, cargo and other vessels not incl. in (a) or (b) are built</t>
  </si>
  <si>
    <t>Ship Chandlers and  Ship Stores-All other employees</t>
  </si>
  <si>
    <t>Ship Painters Exclusively engaged in Painting Vessels-Without the use of stagings or slings</t>
  </si>
  <si>
    <t>Shop Fitters -All other employees</t>
  </si>
  <si>
    <t>Shop Fitters -Wood working machinists</t>
  </si>
  <si>
    <t>Shop Risk - Class A -Art, bric-a-brac and curio and art needle works</t>
  </si>
  <si>
    <t>Shop Risk  -Class A -Biscuits</t>
  </si>
  <si>
    <t>Shop Risk - Class A -Boot and shoe, excl. makers and repairs</t>
  </si>
  <si>
    <t>Shop Risk - Class A -Surgical instrument and appliances</t>
  </si>
  <si>
    <t>Shop Risk - Class A -Tailors, Clothiers and outfitters</t>
  </si>
  <si>
    <t>Shop Risk - Class A -Wholesale</t>
  </si>
  <si>
    <t>Shop Risk - Class B -Greengrocers</t>
  </si>
  <si>
    <t>Shop Risk - Class B -Groceries and provisions-no licence and no machinery -All other employees</t>
  </si>
  <si>
    <t>Shop Risk - Class C -Furniture Electrical items excl. delivery by hand,handcraft and otherwise</t>
  </si>
  <si>
    <t>Shop Risk - Class E -Poulterers</t>
  </si>
  <si>
    <t>Silk Artificial -Weaving and process subsequent to yarn production</t>
  </si>
  <si>
    <t>Silk Artificial -Winding (as separate trade)</t>
  </si>
  <si>
    <t>Silk Artificial -Yarn Production</t>
  </si>
  <si>
    <t>Silk Spinners and/or weavers</t>
  </si>
  <si>
    <t>Slag Crushers and Removers</t>
  </si>
  <si>
    <t>Slaters and Tilers (Roofs) where carried on as a separate trade-Exceeding 9 meters in height</t>
  </si>
  <si>
    <t>Snuff Manufacturing Factories -All other employees</t>
  </si>
  <si>
    <t>Soap Makers, (toilet) where remelting and perfuming only are done</t>
  </si>
  <si>
    <t>Soap Makers, melters and boilers</t>
  </si>
  <si>
    <t>Solvent Extraction Plants-Automatic</t>
  </si>
  <si>
    <t>Solvent Extraction Plants-Non-automatic or batch type</t>
  </si>
  <si>
    <t>Spice Mfgrs.-Incl. nut grinding and shelling</t>
  </si>
  <si>
    <t>Starch and Blue Mfgrs.</t>
  </si>
  <si>
    <t>Stationers -Manufacturing and/or wholesale</t>
  </si>
  <si>
    <t>Stationers -Retail shop risk</t>
  </si>
  <si>
    <t>Steel or Iron Founders -Where the heaviest casting does not exceed 1 ton</t>
  </si>
  <si>
    <t>Steel or Iron Founders -Where the heaviest casting exceeds 1 ton</t>
  </si>
  <si>
    <t>Steel or Iron Rolling Mills -</t>
  </si>
  <si>
    <t>Steel or Iron Rolling Mills -Steel work (Steel Making )</t>
  </si>
  <si>
    <t>Stevedors loading or unloading Cargo or Coal</t>
  </si>
  <si>
    <t>Stone and dressing and stone breaking Yards -All employees Whose duties take them at any time to quarry where blasting is done</t>
  </si>
  <si>
    <t>Stone and dressing and stone breaking Yards -All other employees</t>
  </si>
  <si>
    <t>Sugar cane Plantation</t>
  </si>
  <si>
    <t>Sugar Sweet mfgrs.</t>
  </si>
  <si>
    <t>Sugar, Saccharine and Glucose Refiners and/or Mfgrs.incl. sugarcane crushing Factories engaged in preparing Jagree</t>
  </si>
  <si>
    <t>Tally Clerks</t>
  </si>
  <si>
    <t>Tea Gardens -</t>
  </si>
  <si>
    <t>Tea gardens-Domestic servants on Tea-Estate - Servants (excl. private motor car drivers, attendants and/or cleaners)whose names appear on the factory or garden register and whih are paid wholly by the estate as on page 28</t>
  </si>
  <si>
    <t>Tea Packing Factories -All other employees</t>
  </si>
  <si>
    <t>Tea Packing Factories -Wood working machinists</t>
  </si>
  <si>
    <t>Tent and Marque Makers</t>
  </si>
  <si>
    <t>Tent and Marque Makers-Erecting only</t>
  </si>
  <si>
    <t>Tin &amp; Steel and Steel Metal Workers (incl. metal boxes and drums)-Where any  mechanically driven machinery is used</t>
  </si>
  <si>
    <t>Tin &amp; Steel and Steel Metal Workers (incl. metal boxes and drums)-Where no mechanically driven machinery is used (incl. Smelting)</t>
  </si>
  <si>
    <t>Tobacco, Cigar and Cigarette and Bidi Mfgrs. and Dealers- Manufacturing -Where no mechanically driven machinery is used</t>
  </si>
  <si>
    <t>Tools and Machine Tools Mfgrs.-All other tools incl. garden tools</t>
  </si>
  <si>
    <t>Tools and Machine Tools Mfgrs.-Machine tools other than wood-working machinery</t>
  </si>
  <si>
    <t>Tools and Machine Tools Mfgrs.-Tools for use in machine tools</t>
  </si>
  <si>
    <t>Tools and Machine Tools Mfgrs.-Wood-working machinery</t>
  </si>
  <si>
    <t>Toy Makers -Mfg. of all classes of toys excl. celluloid toys</t>
  </si>
  <si>
    <t>Tramway Construction-Incl. all  incidental work on through-fares or elesewhere</t>
  </si>
  <si>
    <t>Tunnelling incl. Blasting (when carried on as a separate trade)</t>
  </si>
  <si>
    <t>Typwriting Machine Makers, Dealers and Repairers and Typewriting Suppliers -Retail shop risk</t>
  </si>
  <si>
    <t>Tyre Retreading and Resolving</t>
  </si>
  <si>
    <t>Vener Mfgrs other than wood working machinists where carried on as separate trade - Wood-working machinists</t>
  </si>
  <si>
    <t>Vener Mfgrs other than wood working machinists where carried on as separate trade -All other employees</t>
  </si>
  <si>
    <t>Veterinary Colleges -Lecturers engaged indoors</t>
  </si>
  <si>
    <t>Warehouse (Godwons) Group I -India Rubber</t>
  </si>
  <si>
    <t>Warehouse (Godwons) Group I -Tea and Coffee</t>
  </si>
  <si>
    <t>Warehouse (Godwons) Group I -Wholesale Grocery and provision incl. salesmen</t>
  </si>
  <si>
    <t>Warehouse (Godwons) Group II -Bath Brick and Salt Merchants</t>
  </si>
  <si>
    <t>Warehouse (Godwons) Group II -Bottle</t>
  </si>
  <si>
    <t>Warehouse (Godwons) Group II -Packers and Makers up as trade</t>
  </si>
  <si>
    <t>Warehouse (Godwons) Group II -Public (general storing) Warhouses</t>
  </si>
  <si>
    <t>Warehouse (Godwons) Group II -Soft goods (textile) not Packers and Makers up as a trade and not Forwarding and Shipping Agents -Where any packing is done by mechanical power</t>
  </si>
  <si>
    <t>Warehouse (Godwons) Group IV -Machinery, Iron and Steel girders and heavy ironware incl. delivery by any vehicle mechanical or otherwise</t>
  </si>
  <si>
    <t>Warehouse (Godwons)-Hands in warehouse receiving or delivering from or to vessels and/or on dock, quayside or wharf, and lightmen and Bargemen (excl. Stevedors)</t>
  </si>
  <si>
    <t>Waterworks and Pumping Stations -Construction, alteration maintenance or repair work excl. Use of explosives</t>
  </si>
  <si>
    <t>Waterworks and Pumping Stations -Construction, alteration maintenance or repair work incl. use of explosives</t>
  </si>
  <si>
    <t>Waterworks and Pumping Stations -Excl. construction, alteration maintenance or repair work, the sinking or digging of wells and the use of Explosives</t>
  </si>
  <si>
    <t>Waterworks and Pumping Stations -Tunnelling incl. blasting (when carried out as a separate contract)</t>
  </si>
  <si>
    <t>Weaving and Printing of Cloth by Hand Power</t>
  </si>
  <si>
    <t>Welders at a height not exceeding 60 feet</t>
  </si>
  <si>
    <t>Welders, where carried on as a separate trade</t>
  </si>
  <si>
    <t>Well Sinking -Artesian or Tube</t>
  </si>
  <si>
    <t>Well Sinking -Other Wells</t>
  </si>
  <si>
    <t>Window Cleaners</t>
  </si>
  <si>
    <t>Wire Drawers and Wire Ropes Mfgrs -Brass and Copper  Wire Drawers</t>
  </si>
  <si>
    <t>Wire Drawers and Wire Ropes Mfgrs -Steel and Iron  Wire Drawers  and wire Ropes Mfgrs.</t>
  </si>
  <si>
    <t>Wire Goods Makers</t>
  </si>
  <si>
    <t>Wireless Engineers- Installation and repair of plant, fittings and Appartus incl. wireless, telephone and telegraph:- Work on ships and underground in mines and quarries</t>
  </si>
  <si>
    <t>Wireless Engineers- Installation and repair of plant, fittings and Appartus incl. wireless, telephone and telegraph:-Work in generating stations, cinemas, factories, theaters, music halls, public halls and similar buildings and roofs of railway station over 9 metres height or where any unit is handled exceeding 12.7 Kilogram in weight</t>
  </si>
  <si>
    <t>Wireless Engineers- Installation and repair of plant, fittings and Appartus incl. wireless, telephone and telegraph:-Work other buildings and roofs of railway station over 9 metres height or where any unit is handled exceeding 12.7 Kilogram in weight</t>
  </si>
  <si>
    <t>Wood Ware Mfgrs. and Turners -Woodmen and Foresters engaged in Treefelling Sawing and Carting and/or Forest Fire Fighting</t>
  </si>
  <si>
    <t>Wood Ware Mfgrs. and Turners -Wood-working machinists</t>
  </si>
  <si>
    <t>Woolen and Worsted -Spinning Weaving, Bleaching, Dyeing and all Processes other than Wool-combing incidental  to the trade carried on in or about the premises</t>
  </si>
  <si>
    <t>Woolen and Worsted -Wool-combing -Excl. Anthrax</t>
  </si>
  <si>
    <t>Woolen and Worsted -Wool-combing -Incl. Anthrax</t>
  </si>
  <si>
    <t>Yarn and Trade Bleachers and/or Dyers-With or without machinery where yarn and trade only are handled (and where no bleaching or dyeing of any other materials is done)</t>
  </si>
  <si>
    <t>Zinc Copper and Brass Rolling where no smelting is done</t>
  </si>
  <si>
    <t>Zinc Smelters and/or Extractors</t>
  </si>
  <si>
    <t>Occupational Disease</t>
  </si>
  <si>
    <t>Business Type</t>
  </si>
  <si>
    <t>Product Code</t>
  </si>
  <si>
    <t>Product Name</t>
  </si>
  <si>
    <t>APPLICABLE</t>
  </si>
  <si>
    <t>CLAUSE MASTER's</t>
  </si>
  <si>
    <t>Clause Master</t>
  </si>
  <si>
    <t>1)</t>
  </si>
  <si>
    <t>2)</t>
  </si>
  <si>
    <t>3)</t>
  </si>
  <si>
    <t>CLAUSE MASTER'S</t>
  </si>
  <si>
    <t>ANDAMAN AND NICOBAR ISLANDSANDAMAN</t>
  </si>
  <si>
    <t>ANDAMAN AND NICOBAR ISLANDSBAMBOOFLAT</t>
  </si>
  <si>
    <t>ANDAMAN AND NICOBAR ISLANDSCAMPBELL BAY</t>
  </si>
  <si>
    <t>ANDAMAN AND NICOBAR ISLANDSCAR NICOBAR</t>
  </si>
  <si>
    <t>ANDAMAN AND NICOBAR ISLANDSDIGLIPUR</t>
  </si>
  <si>
    <t>ANDAMAN AND NICOBAR ISLANDSHADDO</t>
  </si>
  <si>
    <t>ANDAMAN AND NICOBAR ISLANDSHAVELOCK</t>
  </si>
  <si>
    <t>ANDAMAN AND NICOBAR ISLANDSHUT BAY</t>
  </si>
  <si>
    <t>ANDAMAN AND NICOBAR ISLANDSJANGLI GHAT</t>
  </si>
  <si>
    <t>ANDAMAN AND NICOBAR ISLANDSKADAMTALA A AND N</t>
  </si>
  <si>
    <t>ANDAMAN AND NICOBAR ISLANDSKAPANGA</t>
  </si>
  <si>
    <t>ANDAMAN AND NICOBAR ISLANDSLONG ISLAND</t>
  </si>
  <si>
    <t>ANDAMAN AND NICOBAR ISLANDSMARINE JETTY</t>
  </si>
  <si>
    <t>ANDAMAN AND NICOBAR ISLANDSMAYABUNDER</t>
  </si>
  <si>
    <t>ANDAMAN AND NICOBAR ISLANDSNANCOWRIE</t>
  </si>
  <si>
    <t>ANDAMAN AND NICOBAR ISLANDSNEW SECRETARIATE BLDG</t>
  </si>
  <si>
    <t>ANDAMAN AND NICOBAR ISLANDSORALKATCHA</t>
  </si>
  <si>
    <t>ANDAMAN AND NICOBAR ISLANDSPORT BLAIR</t>
  </si>
  <si>
    <t>ANDAMAN AND NICOBAR ISLANDSRANGHAT</t>
  </si>
  <si>
    <t>ANDAMAN AND NICOBAR ISLANDSSHADIPUR</t>
  </si>
  <si>
    <t>ANDAMAN AND NICOBAR ISLANDSSOUTH ANDAMAN</t>
  </si>
  <si>
    <t>ANDAMAN AND NICOBAR ISLANDSWIMBERLYGUNJI</t>
  </si>
  <si>
    <t>ANDHRA PRADESHA.KONDURU</t>
  </si>
  <si>
    <t>ANDHRA PRADESHACHANTA</t>
  </si>
  <si>
    <t>ANDHRA PRADESHADDANKI</t>
  </si>
  <si>
    <t>ANDHRA PRADESHADDATEEGALA</t>
  </si>
  <si>
    <t>ANDHRA PRADESHADONI</t>
  </si>
  <si>
    <t>ANDHRA PRADESHAGALI</t>
  </si>
  <si>
    <t>ANDHRA PRADESHAGIRIPALLE</t>
  </si>
  <si>
    <t>ANDHRA PRADESHAINAVILLI</t>
  </si>
  <si>
    <t>ANDHRA PRADESHAKIVIDU</t>
  </si>
  <si>
    <t>ANDHRA PRADESHALAMURU</t>
  </si>
  <si>
    <t>ANDHRA PRADESHALLAGADDA</t>
  </si>
  <si>
    <t>ANDHRA PRADESHALLAVARAM</t>
  </si>
  <si>
    <t>ANDHRA PRADESHALLUR</t>
  </si>
  <si>
    <t>ANDHRA PRADESHALUR</t>
  </si>
  <si>
    <t>ANDHRA PRADESHAMADAGUR</t>
  </si>
  <si>
    <t>ANDHRA PRADESHAMADALAVALASA</t>
  </si>
  <si>
    <t>ANDHRA PRADESHAMALAPURAM</t>
  </si>
  <si>
    <t>ANDHRA PRADESHAMARAPURAM</t>
  </si>
  <si>
    <t>ANDHRA PRADESHAMARAVATHI</t>
  </si>
  <si>
    <t>ANDHRA PRADESHAMBAJIPETA</t>
  </si>
  <si>
    <t>ANDHRA PRADESHAMRUTHALUR</t>
  </si>
  <si>
    <t>ANDHRA PRADESHANAKAPALLE</t>
  </si>
  <si>
    <t>ANDHRA PRADESHANANTAPUR</t>
  </si>
  <si>
    <t>ANDHRA PRADESHANANTHAGIRI</t>
  </si>
  <si>
    <t>ANDHRA PRADESHANANTHASAGARAM</t>
  </si>
  <si>
    <t>ANDHRA PRADESHANAPARTHY</t>
  </si>
  <si>
    <t>ANDHRA PRADESHANUMASAMUDRAMPETA</t>
  </si>
  <si>
    <t>ANDHRA PRADESHARDHAVEEDU</t>
  </si>
  <si>
    <t>ANDHRA PRADESHASPARI</t>
  </si>
  <si>
    <t>ANDHRA PRADESHATCHAMPET</t>
  </si>
  <si>
    <t>ANDHRA PRADESHATCHUTAPURAM</t>
  </si>
  <si>
    <t>ANDHRA PRADESHATLUR</t>
  </si>
  <si>
    <t>ANDHRA PRADESHATMAKUR</t>
  </si>
  <si>
    <t>ANDHRA PRADESHATREYAPURAM</t>
  </si>
  <si>
    <t>ANDHRA PRADESHATTILI</t>
  </si>
  <si>
    <t>ANDHRA PRADESHAVANIGADDA</t>
  </si>
  <si>
    <t>ANDHRA PRADESHBADANGI</t>
  </si>
  <si>
    <t>ANDHRA PRADESHBADVEL</t>
  </si>
  <si>
    <t>ANDHRA PRADESHBAIREDDIPALLE</t>
  </si>
  <si>
    <t>ANDHRA PRADESHBALAYAPALLE</t>
  </si>
  <si>
    <t>ANDHRA PRADESHBALIJIPETA</t>
  </si>
  <si>
    <t>ANDHRA PRADESHBANAGANAPALLE</t>
  </si>
  <si>
    <t>ANDHRA PRADESHBANDI ATMAKUR</t>
  </si>
  <si>
    <t>ANDHRA PRADESHBANGARUPALEM</t>
  </si>
  <si>
    <t>ANDHRA PRADESHBANTUMILLI</t>
  </si>
  <si>
    <t>ANDHRA PRADESHBAPATLA</t>
  </si>
  <si>
    <t>ANDHRA PRADESHBAPULAPADU</t>
  </si>
  <si>
    <t>ANDHRA PRADESHBATHALAPALLE</t>
  </si>
  <si>
    <t>ANDHRA PRADESHBELLAMKONDA</t>
  </si>
  <si>
    <t>ANDHRA PRADESHBELUGUPPA</t>
  </si>
  <si>
    <t>ANDHRA PRADESHBESTAWARIPETA</t>
  </si>
  <si>
    <t>ANDHRA PRADESHBETHAMCHERLA</t>
  </si>
  <si>
    <t>ANDHRA PRADESHBHAMINI</t>
  </si>
  <si>
    <t>ANDHRA PRADESHBHATTIPROLU</t>
  </si>
  <si>
    <t>ANDHRA PRADESHBHEEMANIPATNAM</t>
  </si>
  <si>
    <t>ANDHRA PRADESHBHEEMUNIPATNAM</t>
  </si>
  <si>
    <t>ANDHRA PRADESHBHIMADOLE</t>
  </si>
  <si>
    <t>ANDHRA PRADESHBHIMAVARAM</t>
  </si>
  <si>
    <t>ANDHRA PRADESHBHOGAPURAM</t>
  </si>
  <si>
    <t>ANDHRA PRADESHBICCAVOLU</t>
  </si>
  <si>
    <t>ANDHRA PRADESHBOBBILI</t>
  </si>
  <si>
    <t>ANDHRA PRADESHBOGOLE</t>
  </si>
  <si>
    <t>ANDHRA PRADESHBOLLAPALLE</t>
  </si>
  <si>
    <t>ANDHRA PRADESHBONDADA</t>
  </si>
  <si>
    <t>ANDHRA PRADESHBONDAPALLE</t>
  </si>
  <si>
    <t>ANDHRA PRADESHBRAHMANAPALLE</t>
  </si>
  <si>
    <t>ANDHRA PRADESHBRAHMASAMUDRAM</t>
  </si>
  <si>
    <t>ANDHRA PRADESHBUCHIREDDIPALEM</t>
  </si>
  <si>
    <t>ANDHRA PRADESHBUKKAPATNAM</t>
  </si>
  <si>
    <t>ANDHRA PRADESHBUKKARAYA SAMUDRAM</t>
  </si>
  <si>
    <t>ANDHRA PRADESHBURJA</t>
  </si>
  <si>
    <t>ANDHRA PRADESHBUTCHAYYAPETA</t>
  </si>
  <si>
    <t>ANDHRA PRADESHBUTTAYAGUDEM</t>
  </si>
  <si>
    <t>ANDHRA PRADESHCHAGALAMARRI</t>
  </si>
  <si>
    <t>ANDHRA PRADESHCHAGALLU</t>
  </si>
  <si>
    <t>ANDHRA PRADESHCHALLAPALLE</t>
  </si>
  <si>
    <t>ANDHRA PRADESHCHANDARLAPADU</t>
  </si>
  <si>
    <t>ANDHRA PRADESHCHANDRA SEKHARA PURAM</t>
  </si>
  <si>
    <t>ANDHRA PRADESHCHANDRAGIRI</t>
  </si>
  <si>
    <t>ANDHRA PRADESHCHATRAI</t>
  </si>
  <si>
    <t>ANDHRA PRADESHCHEBROLU</t>
  </si>
  <si>
    <t>ANDHRA PRADESHCHEJERLA</t>
  </si>
  <si>
    <t>ANDHRA PRADESHCHENNARAOPET</t>
  </si>
  <si>
    <t>ANDHRA PRADESHCHENNEKOTHAPALLE</t>
  </si>
  <si>
    <t>ANDHRA PRADESHCHERUKUPALLE</t>
  </si>
  <si>
    <t>ANDHRA PRADESHCHILAKALURIPET</t>
  </si>
  <si>
    <t>ANDHRA PRADESHCHILAMATHUR</t>
  </si>
  <si>
    <t>ANDHRA PRADESHCHILLAKUR</t>
  </si>
  <si>
    <t>ANDHRA PRADESHCHIMAKURTHI</t>
  </si>
  <si>
    <t>ANDHRA PRADESHCHINAGANJAM</t>
  </si>
  <si>
    <t>ANDHRA PRADESHCHINNAGOTTIGALLU</t>
  </si>
  <si>
    <t>ANDHRA PRADESHCHINNAMANDEM</t>
  </si>
  <si>
    <t>ANDHRA PRADESHCHINNAVEDAMPATTI</t>
  </si>
  <si>
    <t>ANDHRA PRADESHCHINTALAPUDI</t>
  </si>
  <si>
    <t>ANDHRA PRADESHCHINTAPALLE</t>
  </si>
  <si>
    <t>ANDHRA PRADESHCHIPPAGIRI</t>
  </si>
  <si>
    <t>ANDHRA PRADESHCHIRALA</t>
  </si>
  <si>
    <t>ANDHRA PRADESHCHITTAMUR</t>
  </si>
  <si>
    <t>ANDHRA PRADESHCHITTOOR</t>
  </si>
  <si>
    <t>ANDHRA PRADESHCHITVEL</t>
  </si>
  <si>
    <t>ANDHRA PRADESHCHODAVARAM</t>
  </si>
  <si>
    <t>ANDHRA PRADESHCHOWDEPALLE</t>
  </si>
  <si>
    <t>ANDHRA PRADESHCUDDAPAH</t>
  </si>
  <si>
    <t>ANDHRA PRADESHCUMBUM</t>
  </si>
  <si>
    <t>ANDHRA PRADESHD.HIREHAL</t>
  </si>
  <si>
    <t>ANDHRA PRADESHDAGADARTHI</t>
  </si>
  <si>
    <t>ANDHRA PRADESHDAKKILI</t>
  </si>
  <si>
    <t>ANDHRA PRADESHDARSI</t>
  </si>
  <si>
    <t>ANDHRA PRADESHDATTIRAJERU</t>
  </si>
  <si>
    <t>ANDHRA PRADESHDENDULURU</t>
  </si>
  <si>
    <t>ANDHRA PRADESHDENKADA</t>
  </si>
  <si>
    <t>ANDHRA PRADESHDENKANIKOTTAI</t>
  </si>
  <si>
    <t>ANDHRA PRADESHDEVANAKONDA</t>
  </si>
  <si>
    <t>ANDHRA PRADESHDEVARAPALLE</t>
  </si>
  <si>
    <t>ANDHRA PRADESHDEVIPATNAM</t>
  </si>
  <si>
    <t>ANDHRA PRADESHDHARMAVARAM</t>
  </si>
  <si>
    <t>ANDHRA PRADESHDHONE</t>
  </si>
  <si>
    <t>ANDHRA PRADESHDONKARAYI</t>
  </si>
  <si>
    <t>ANDHRA PRADESHDORNALA</t>
  </si>
  <si>
    <t>ANDHRA PRADESHDORNIPADU</t>
  </si>
  <si>
    <t>ANDHRA PRADESHDUGGIRALA</t>
  </si>
  <si>
    <t>ANDHRA PRADESHDUMBRIGUDA</t>
  </si>
  <si>
    <t>ANDHRA PRADESHDURGI</t>
  </si>
  <si>
    <t>ANDHRA PRADESHDUTTALUR</t>
  </si>
  <si>
    <t>ANDHRA PRADESHDUVVUR</t>
  </si>
  <si>
    <t>ANDHRA PRADESHDWARAKATIRUMALA</t>
  </si>
  <si>
    <t>ANDHRA PRADESHEDLAPADU</t>
  </si>
  <si>
    <t>ANDHRA PRADESHEKAMBARAKUPPAM</t>
  </si>
  <si>
    <t>ANDHRA PRADESHELURU</t>
  </si>
  <si>
    <t>ANDHRA PRADESHELURUPADU</t>
  </si>
  <si>
    <t>ANDHRA PRADESHETCHERLA</t>
  </si>
  <si>
    <t>ANDHRA PRADESHG.KONDURU</t>
  </si>
  <si>
    <t>ANDHRA PRADESHGADIVEMULA</t>
  </si>
  <si>
    <t>ANDHRA PRADESHGAJAPATHINAGARAM</t>
  </si>
  <si>
    <t>ANDHRA PRADESHGAJUWAKA</t>
  </si>
  <si>
    <t>ANDHRA PRADESHGALIVEEDU</t>
  </si>
  <si>
    <t>ANDHRA PRADESHGAMPALAGUDEM</t>
  </si>
  <si>
    <t>ANDHRA PRADESHGANAPAVARAM</t>
  </si>
  <si>
    <t>ANDHRA PRADESHGANDLAPENTA</t>
  </si>
  <si>
    <t>ANDHRA PRADESHGANGADHARA NELLORE</t>
  </si>
  <si>
    <t>ANDHRA PRADESHGANGARAM</t>
  </si>
  <si>
    <t>ANDHRA PRADESHGANGUVARISIGADAM</t>
  </si>
  <si>
    <t>ANDHRA PRADESHGANTYADA</t>
  </si>
  <si>
    <t>ANDHRA PRADESHGARA</t>
  </si>
  <si>
    <t>ANDHRA PRADESHGARLADINNE</t>
  </si>
  <si>
    <t>ANDHRA PRADESHGARUGUBILLI</t>
  </si>
  <si>
    <t>ANDHRA PRADESHGHANTASALA</t>
  </si>
  <si>
    <t>ANDHRA PRADESHGIDDALUR</t>
  </si>
  <si>
    <t>ANDHRA PRADESHGOKAVARAM</t>
  </si>
  <si>
    <t>ANDHRA PRADESHGOLLAPROLU</t>
  </si>
  <si>
    <t>ANDHRA PRADESHGOLUGONDA</t>
  </si>
  <si>
    <t>ANDHRA PRADESHGONEGANDLA</t>
  </si>
  <si>
    <t>ANDHRA PRADESHGOOTY</t>
  </si>
  <si>
    <t>ANDHRA PRADESHGOPALAPURAM</t>
  </si>
  <si>
    <t>ANDHRA PRADESHGORANTLA</t>
  </si>
  <si>
    <t>ANDHRA PRADESHGOSPADU</t>
  </si>
  <si>
    <t>ANDHRA PRADESHGUDEM KOTHA VEEDHI</t>
  </si>
  <si>
    <t>ANDHRA PRADESHGUDIBANDA</t>
  </si>
  <si>
    <t>ANDHRA PRADESHGUDIPALA</t>
  </si>
  <si>
    <t>ANDHRA PRADESHGUDIVADA</t>
  </si>
  <si>
    <t>ANDHRA PRADESHGUDLAVALLERU</t>
  </si>
  <si>
    <t>ANDHRA PRADESHGUDLURU</t>
  </si>
  <si>
    <t>ANDHRA PRADESHGUDUR</t>
  </si>
  <si>
    <t>ANDHRA PRADESHGUDURU</t>
  </si>
  <si>
    <t>ANDHRA PRADESHGUMMAGATTA</t>
  </si>
  <si>
    <t>ANDHRA PRADESHGUMMALAKSHMIPURAM</t>
  </si>
  <si>
    <t>ANDHRA PRADESHGUNTAKAL</t>
  </si>
  <si>
    <t>ANDHRA PRADESHGUNTUR</t>
  </si>
  <si>
    <t>ANDHRA PRADESHGURAZALA</t>
  </si>
  <si>
    <t>ANDHRA PRADESHGURLA</t>
  </si>
  <si>
    <t>ANDHRA PRADESHGURRAMKONDA</t>
  </si>
  <si>
    <t>ANDHRA PRADESHHALAHARVI</t>
  </si>
  <si>
    <t>ANDHRA PRADESHHANUMANTHUNI PADU</t>
  </si>
  <si>
    <t>ANDHRA PRADESHHINDUPUR</t>
  </si>
  <si>
    <t>ANDHRA PRADESHHIRAMANDALAM</t>
  </si>
  <si>
    <t>ANDHRA PRADESHHOLAGUNDA</t>
  </si>
  <si>
    <t>ANDHRA PRADESHHUKUMPETA</t>
  </si>
  <si>
    <t>ANDHRA PRADESHI. POLAVARAM</t>
  </si>
  <si>
    <t>ANDHRA PRADESHIBRAHIMPATNAM</t>
  </si>
  <si>
    <t>ANDHRA PRADESHICHCHAPURAM</t>
  </si>
  <si>
    <t>ANDHRA PRADESHINDIA NAGAR,</t>
  </si>
  <si>
    <t>ANDHRA PRADESHINDUKURPET</t>
  </si>
  <si>
    <t>ANDHRA PRADESHINKOLLU</t>
  </si>
  <si>
    <t>ANDHRA PRADESHIPUR</t>
  </si>
  <si>
    <t>ANDHRA PRADESHIRAGAVARAM</t>
  </si>
  <si>
    <t>ANDHRA PRADESHIRALA</t>
  </si>
  <si>
    <t>ANDHRA PRADESHJAGGAMPETA</t>
  </si>
  <si>
    <t>ANDHRA PRADESHJAGGAYYAPETA</t>
  </si>
  <si>
    <t>ANDHRA PRADESHJALADANKI</t>
  </si>
  <si>
    <t>ANDHRA PRADESHJALUMURU</t>
  </si>
  <si>
    <t>ANDHRA PRADESHJAMI</t>
  </si>
  <si>
    <t>ANDHRA PRADESHJAMMALAMADUGU</t>
  </si>
  <si>
    <t>ANDHRA PRADESHJANAKAVARAMPANGULURU</t>
  </si>
  <si>
    <t>ANDHRA PRADESHJANGAREDDIGUDEM</t>
  </si>
  <si>
    <t>ANDHRA PRADESHJEELUGU MILLI</t>
  </si>
  <si>
    <t>ANDHRA PRADESHJIYYAMMAVALASA</t>
  </si>
  <si>
    <t>ANDHRA PRADESHK.KOTAPADU</t>
  </si>
  <si>
    <t>ANDHRA PRADESHKADIAM</t>
  </si>
  <si>
    <t>ANDHRA PRADESHKADIRI</t>
  </si>
  <si>
    <t>ANDHRA PRADESHKAIKALUR</t>
  </si>
  <si>
    <t>ANDHRA PRADESHKAJULURU</t>
  </si>
  <si>
    <t>ANDHRA PRADESHKAKINADA</t>
  </si>
  <si>
    <t>ANDHRA PRADESHKAKUMANU</t>
  </si>
  <si>
    <t>ANDHRA PRADESHKALAKADA</t>
  </si>
  <si>
    <t>ANDHRA PRADESHKALASAPADU</t>
  </si>
  <si>
    <t>ANDHRA PRADESHKALIDINDI</t>
  </si>
  <si>
    <t>ANDHRA PRADESHKALIGIRI</t>
  </si>
  <si>
    <t>ANDHRA PRADESHKALIKIRI</t>
  </si>
  <si>
    <t>ANDHRA PRADESHKALLA</t>
  </si>
  <si>
    <t>ANDHRA PRADESHKALUVOYA</t>
  </si>
  <si>
    <t>ANDHRA PRADESHKALYANDURG</t>
  </si>
  <si>
    <t>ANDHRA PRADESHKAMALAPURAM</t>
  </si>
  <si>
    <t>ANDHRA PRADESHKAMAVARAPUKOTA</t>
  </si>
  <si>
    <t>ANDHRA PRADESHKAMBADUR</t>
  </si>
  <si>
    <t>ANDHRA PRADESHKAMBHAMVARIPALLE</t>
  </si>
  <si>
    <t>ANDHRA PRADESHKANAGANAPALLE</t>
  </si>
  <si>
    <t>ANDHRA PRADESHKANCHILI</t>
  </si>
  <si>
    <t>ANDHRA PRADESHKANDUKUR</t>
  </si>
  <si>
    <t>ANDHRA PRADESHKANIGIRI</t>
  </si>
  <si>
    <t>ANDHRA PRADESHKANKIPADU</t>
  </si>
  <si>
    <t>ANDHRA PRADESHKAPILESWARAPURAM</t>
  </si>
  <si>
    <t>ANDHRA PRADESHKARAMCHEDU</t>
  </si>
  <si>
    <t>ANDHRA PRADESHKARAPA</t>
  </si>
  <si>
    <t>ANDHRA PRADESHKARAVADI</t>
  </si>
  <si>
    <t>ANDHRA PRADESHKAREMPUDI</t>
  </si>
  <si>
    <t>ANDHRA PRADESHKARLAPALEM</t>
  </si>
  <si>
    <t>ANDHRA PRADESHKARVETINAGAR</t>
  </si>
  <si>
    <t>ANDHRA PRADESHKASIMKOTA</t>
  </si>
  <si>
    <t>ANDHRA PRADESHKATRENIKONA</t>
  </si>
  <si>
    <t>ANDHRA PRADESHKAVALI</t>
  </si>
  <si>
    <t>ANDHRA PRADESHKAVITI</t>
  </si>
  <si>
    <t>ANDHRA PRADESHKHAJIPET</t>
  </si>
  <si>
    <t>ANDHRA PRADESHKIRLAMPUDI</t>
  </si>
  <si>
    <t>ANDHRA PRADESHKODAVALUR</t>
  </si>
  <si>
    <t>ANDHRA PRADESHKODUMUR</t>
  </si>
  <si>
    <t>ANDHRA PRADESHKODUR</t>
  </si>
  <si>
    <t>ANDHRA PRADESHKODURU</t>
  </si>
  <si>
    <t>ANDHRA PRADESHKOILKUNTLA</t>
  </si>
  <si>
    <t>ANDHRA PRADESHKOLIMIGUNDLA</t>
  </si>
  <si>
    <t>ANDHRA PRADESHKOLLIPARA</t>
  </si>
  <si>
    <t>ANDHRA PRADESHKOLLUR</t>
  </si>
  <si>
    <t>ANDHRA PRADESHKOMAROLU</t>
  </si>
  <si>
    <t>ANDHRA PRADESHKONAKANAMITLA</t>
  </si>
  <si>
    <t>ANDHRA PRADESHKONATHANERI</t>
  </si>
  <si>
    <t>ANDHRA PRADESHKONDAPI</t>
  </si>
  <si>
    <t>ANDHRA PRADESHKONDAPURAM</t>
  </si>
  <si>
    <t>ANDHRA PRADESHKORISAPADU</t>
  </si>
  <si>
    <t>ANDHRA PRADESHKORUKONDA</t>
  </si>
  <si>
    <t>ANDHRA PRADESHKOSIGI</t>
  </si>
  <si>
    <t>ANDHRA PRADESHKOTA</t>
  </si>
  <si>
    <t>ANDHRA PRADESHKOTABOMMALI</t>
  </si>
  <si>
    <t>ANDHRA PRADESHKOTANANDURU</t>
  </si>
  <si>
    <t>ANDHRA PRADESHKOTAURATLA</t>
  </si>
  <si>
    <t>ANDHRA PRADESHKOTHA PATNAM</t>
  </si>
  <si>
    <t>ANDHRA PRADESHKOTHACHERUVU</t>
  </si>
  <si>
    <t>ANDHRA PRADESHKOTHAPALLE</t>
  </si>
  <si>
    <t>ANDHRA PRADESHKOTHAPETA</t>
  </si>
  <si>
    <t>ANDHRA PRADESHKOTHAVALASA</t>
  </si>
  <si>
    <t>ANDHRA PRADESHKOTHURU</t>
  </si>
  <si>
    <t>ANDHRA PRADESHKOVANUR</t>
  </si>
  <si>
    <t>ANDHRA PRADESHKOVUR</t>
  </si>
  <si>
    <t>ANDHRA PRADESHKOVVUR</t>
  </si>
  <si>
    <t>ANDHRA PRADESHKOWTHALAM</t>
  </si>
  <si>
    <t>ANDHRA PRADESHKOYYALAGUDEM</t>
  </si>
  <si>
    <t>ANDHRA PRADESHKOYYURU</t>
  </si>
  <si>
    <t>ANDHRA PRADESHKRISHNA</t>
  </si>
  <si>
    <t>ANDHRA PRADESHKROSURU</t>
  </si>
  <si>
    <t>ANDHRA PRADESHKRUTHIVENNU</t>
  </si>
  <si>
    <t>ANDHRA PRADESHKUDAIR</t>
  </si>
  <si>
    <t>ANDHRA PRADESHKUNDURPI</t>
  </si>
  <si>
    <t>ANDHRA PRADESHKUPPAM</t>
  </si>
  <si>
    <t>ANDHRA PRADESHKURABALAKOTA</t>
  </si>
  <si>
    <t>ANDHRA PRADESHKURICHEDU</t>
  </si>
  <si>
    <t>ANDHRA PRADESHKURNOOL</t>
  </si>
  <si>
    <t>ANDHRA PRADESHKURUPAM</t>
  </si>
  <si>
    <t>ANDHRA PRADESHLAKKAVARAPUKOTA</t>
  </si>
  <si>
    <t>ANDHRA PRADESHLAKKIREDDIPALLE</t>
  </si>
  <si>
    <t>ANDHRA PRADESHLAKSHMINARSUPETA</t>
  </si>
  <si>
    <t>ANDHRA PRADESHLAVERU</t>
  </si>
  <si>
    <t>ANDHRA PRADESHLEPAKSHI</t>
  </si>
  <si>
    <t>ANDHRA PRADESHLINGALA</t>
  </si>
  <si>
    <t>ANDHRA PRADESHLINGAPALEM</t>
  </si>
  <si>
    <t>ANDHRA PRADESHLINGASAMUDRAM</t>
  </si>
  <si>
    <t>ANDHRA PRADESHMACHAVARAM</t>
  </si>
  <si>
    <t>ANDHRA PRADESHMACHERLA</t>
  </si>
  <si>
    <t>ANDHRA PRADESHMACHILIPATNAM</t>
  </si>
  <si>
    <t>ANDHRA PRADESHMADAKASIRA</t>
  </si>
  <si>
    <t>ANDHRA PRADESHMADANAPALLE</t>
  </si>
  <si>
    <t>ANDHRA PRADESHMADDIKERA (EAST)</t>
  </si>
  <si>
    <t>ANDHRA PRADESHMADDIPADU</t>
  </si>
  <si>
    <t>ANDHRA PRADESHMADUGULA</t>
  </si>
  <si>
    <t>ANDHRA PRADESHMAHANANDI</t>
  </si>
  <si>
    <t>ANDHRA PRADESHMAKAVARAPALEM</t>
  </si>
  <si>
    <t>ANDHRA PRADESHMAKKUVA</t>
  </si>
  <si>
    <t>ANDHRA PRADESHMALIKIPURAM</t>
  </si>
  <si>
    <t>ANDHRA PRADESHMAMIDIKUDURU</t>
  </si>
  <si>
    <t>ANDHRA PRADESHMANDAPETA</t>
  </si>
  <si>
    <t>ANDHRA PRADESHMANDASA</t>
  </si>
  <si>
    <t>ANDHRA PRADESHMANDAVALLI</t>
  </si>
  <si>
    <t>ANDHRA PRADESHMANGALAGIRI</t>
  </si>
  <si>
    <t>ANDHRA PRADESHMANGALAMPET</t>
  </si>
  <si>
    <t>ANDHRA PRADESHMANTRALAYA</t>
  </si>
  <si>
    <t>ANDHRA PRADESHMANTRALAYAM</t>
  </si>
  <si>
    <t>ANDHRA PRADESHMANUBOLU</t>
  </si>
  <si>
    <t>ANDHRA PRADESHMAREDUMILLI</t>
  </si>
  <si>
    <t>ANDHRA PRADESHMARKAPUR</t>
  </si>
  <si>
    <t>ANDHRA PRADESHMARRIPUDI</t>
  </si>
  <si>
    <t>ANDHRA PRADESHMARTUR</t>
  </si>
  <si>
    <t>ANDHRA PRADESHMEDIKONDURU</t>
  </si>
  <si>
    <t>ANDHRA PRADESHMELIAPUTTI</t>
  </si>
  <si>
    <t>ANDHRA PRADESHMENTADA</t>
  </si>
  <si>
    <t>ANDHRA PRADESHMERAKAMUDIDAM</t>
  </si>
  <si>
    <t>ANDHRA PRADESHMIDTHUR</t>
  </si>
  <si>
    <t>ANDHRA PRADESHMOGALTHUR</t>
  </si>
  <si>
    <t>ANDHRA PRADESHMOPIDEVI</t>
  </si>
  <si>
    <t>ANDHRA PRADESHMOVVA</t>
  </si>
  <si>
    <t>ANDHRA PRADESHMUDDANUR</t>
  </si>
  <si>
    <t>ANDHRA PRADESHMUDIGUBBA</t>
  </si>
  <si>
    <t>ANDHRA PRADESHMUDINEPALLE</t>
  </si>
  <si>
    <t>ANDHRA PRADESHMULAKALACHERUVU</t>
  </si>
  <si>
    <t>ANDHRA PRADESHMUMMIDIVARAM</t>
  </si>
  <si>
    <t>ANDHRA PRADESHMUNAGAPAKA</t>
  </si>
  <si>
    <t>ANDHRA PRADESHMUPPALLA</t>
  </si>
  <si>
    <t>ANDHRA PRADESHMUSUNURU</t>
  </si>
  <si>
    <t>ANDHRA PRADESHMUTHUKUR</t>
  </si>
  <si>
    <t>ANDHRA PRADESHMYLAVARAM</t>
  </si>
  <si>
    <t>ANDHRA PRADESHNADENDLA</t>
  </si>
  <si>
    <t>ANDHRA PRADESHNAGALAPURAM</t>
  </si>
  <si>
    <t>ANDHRA PRADESHNAGARAM</t>
  </si>
  <si>
    <t>ANDHRA PRADESHNAGARI</t>
  </si>
  <si>
    <t>ANDHRA PRADESHNAGAYALANKA</t>
  </si>
  <si>
    <t>ANDHRA PRADESHNAGULUPPALA PADU</t>
  </si>
  <si>
    <t>ANDHRA PRADESHNAIDUPET</t>
  </si>
  <si>
    <t>ANDHRA PRADESHNAKKAPALLE</t>
  </si>
  <si>
    <t>ANDHRA PRADESHNALAGONDA</t>
  </si>
  <si>
    <t>ANDHRA PRADESHNALLACHERUVU</t>
  </si>
  <si>
    <t>ANDHRA PRADESHNALLAJERLA</t>
  </si>
  <si>
    <t>ANDHRA PRADESHNANDALUR</t>
  </si>
  <si>
    <t>ANDHRA PRADESHNANDAVARAM</t>
  </si>
  <si>
    <t>ANDHRA PRADESHNANDIGAMA</t>
  </si>
  <si>
    <t>ANDHRA PRADESHNANDIKOTKUR</t>
  </si>
  <si>
    <t>ANDHRA PRADESHNANDIVADA</t>
  </si>
  <si>
    <t>ANDHRA PRADESHNANDYAL</t>
  </si>
  <si>
    <t>ANDHRA PRADESHNARASANNAPETA</t>
  </si>
  <si>
    <t>ANDHRA PRADESHNARASAPURAM</t>
  </si>
  <si>
    <t>ANDHRA PRADESHNARASARAOPET</t>
  </si>
  <si>
    <t>ANDHRA PRADESHNARAYANAVANAM</t>
  </si>
  <si>
    <t>ANDHRA PRADESHNARPALA</t>
  </si>
  <si>
    <t>ANDHRA PRADESHNARSIPATNAM</t>
  </si>
  <si>
    <t>ANDHRA PRADESHNATHAVARAM</t>
  </si>
  <si>
    <t>ANDHRA PRADESHNEELAKANTHARAOPETA</t>
  </si>
  <si>
    <t>ANDHRA PRADESHNEKARIKALLU</t>
  </si>
  <si>
    <t>ANDHRA PRADESHNELLORE</t>
  </si>
  <si>
    <t>ANDHRA PRADESHNEW JURSEY</t>
  </si>
  <si>
    <t>ANDHRA PRADESHNIDADAVOLE</t>
  </si>
  <si>
    <t>ANDHRA PRADESHNIDAMARRU</t>
  </si>
  <si>
    <t>ANDHRA PRADESHNIMMANAPALLE</t>
  </si>
  <si>
    <t>ANDHRA PRADESHNINDRA</t>
  </si>
  <si>
    <t>ANDHRA PRADESHNIZAMPATNAM</t>
  </si>
  <si>
    <t>ANDHRA PRADESHNUZENDLA</t>
  </si>
  <si>
    <t>ANDHRA PRADESHNUZIVIDU</t>
  </si>
  <si>
    <t>ANDHRA PRADESHNUZVID</t>
  </si>
  <si>
    <t>ANDHRA PRADESHOBULADEVARACHERUVU</t>
  </si>
  <si>
    <t>ANDHRA PRADESHOBULAVARIPALLE</t>
  </si>
  <si>
    <t>ANDHRA PRADESHOJILI</t>
  </si>
  <si>
    <t>ANDHRA PRADESHOLD MLA QUARTERS</t>
  </si>
  <si>
    <t>ANDHRA PRADESHOWK</t>
  </si>
  <si>
    <t>ANDHRA PRADESHP.GANNAVARAM</t>
  </si>
  <si>
    <t>ANDHRA PRADESHPACHIPENTA</t>
  </si>
  <si>
    <t>ANDHRA PRADESHPADERU</t>
  </si>
  <si>
    <t>ANDHRA PRADESHPADI</t>
  </si>
  <si>
    <t>ANDHRA PRADESHPADMANABHAM</t>
  </si>
  <si>
    <t>ANDHRA PRADESHPAGIDYALA</t>
  </si>
  <si>
    <t>ANDHRA PRADESHPAKALA</t>
  </si>
  <si>
    <t>ANDHRA PRADESHPALACODERU</t>
  </si>
  <si>
    <t>ANDHRA PRADESHPALACOLE</t>
  </si>
  <si>
    <t>ANDHRA PRADESHPALAKONDA</t>
  </si>
  <si>
    <t>ANDHRA PRADESHPALAMANER</t>
  </si>
  <si>
    <t>ANDHRA PRADESHPALASA</t>
  </si>
  <si>
    <t>ANDHRA PRADESHPALASAMUDRAM</t>
  </si>
  <si>
    <t>ANDHRA PRADESHPAMARRU</t>
  </si>
  <si>
    <t>ANDHRA PRADESHPAMIDI</t>
  </si>
  <si>
    <t>ANDHRA PRADESHPAMIDIMUKKALA</t>
  </si>
  <si>
    <t>ANDHRA PRADESHPAMULAPADU</t>
  </si>
  <si>
    <t>ANDHRA PRADESHPAMUR</t>
  </si>
  <si>
    <t>ANDHRA PRADESHPANRUTI</t>
  </si>
  <si>
    <t>ANDHRA PRADESHPANYAM</t>
  </si>
  <si>
    <t>ANDHRA PRADESHPARAVADA</t>
  </si>
  <si>
    <t>ANDHRA PRADESHPARCHUR</t>
  </si>
  <si>
    <t>ANDHRA PRADESHPARIGI</t>
  </si>
  <si>
    <t>ANDHRA PRADESHPARVATHIPURAM</t>
  </si>
  <si>
    <t>ANDHRA PRADESHPATCHALATADIPARRU</t>
  </si>
  <si>
    <t>ANDHRA PRADESHPATHAPATNAM</t>
  </si>
  <si>
    <t>ANDHRA PRADESHPATTIKONDA</t>
  </si>
  <si>
    <t>ANDHRA PRADESHPAYAKARAOPETA</t>
  </si>
  <si>
    <t>ANDHRA PRADESHPEAPALLY</t>
  </si>
  <si>
    <t>ANDHRA PRADESHPEDA BAYALU</t>
  </si>
  <si>
    <t>ANDHRA PRADESHPEDACHERLO PALLE</t>
  </si>
  <si>
    <t>ANDHRA PRADESHPEDAKAKANI</t>
  </si>
  <si>
    <t>ANDHRA PRADESHPEDAKURAPADU</t>
  </si>
  <si>
    <t>ANDHRA PRADESHPEDANA</t>
  </si>
  <si>
    <t>ANDHRA PRADESHPEDANANDIPADU</t>
  </si>
  <si>
    <t>ANDHRA PRADESHPEDAPADU</t>
  </si>
  <si>
    <t>ANDHRA PRADESHPEDAPARUPUDI</t>
  </si>
  <si>
    <t>ANDHRA PRADESHPEDAPUDI</t>
  </si>
  <si>
    <t>ANDHRA PRADESHPEDAVEGI</t>
  </si>
  <si>
    <t>ANDHRA PRADESHPEDDA KADUBUR</t>
  </si>
  <si>
    <t>ANDHRA PRADESHPEDDA THIPPASAMUDRAM</t>
  </si>
  <si>
    <t>ANDHRA PRADESHPEDDAKOTHAPALLE</t>
  </si>
  <si>
    <t>ANDHRA PRADESHPEDDAMUDIUM</t>
  </si>
  <si>
    <t>ANDHRA PRADESHPEDDAPAPPUR</t>
  </si>
  <si>
    <t>ANDHRA PRADESHPEDDAPURAM</t>
  </si>
  <si>
    <t>ANDHRA PRADESHPEDDAVADUGUR</t>
  </si>
  <si>
    <t>ANDHRA PRADESHPELLAKUR</t>
  </si>
  <si>
    <t>ANDHRA PRADESHPENAGALUR</t>
  </si>
  <si>
    <t>ANDHRA PRADESHPENAMALURU</t>
  </si>
  <si>
    <t>ANDHRA PRADESHPENDLIMARRI</t>
  </si>
  <si>
    <t>ANDHRA PRADESHPENDURTHI</t>
  </si>
  <si>
    <t>ANDHRA PRADESHPENTAPADU</t>
  </si>
  <si>
    <t>ANDHRA PRADESHPENUGANCHIPROLU</t>
  </si>
  <si>
    <t>ANDHRA PRADESHPENUGONDA</t>
  </si>
  <si>
    <t>ANDHRA PRADESHPENUKONDA</t>
  </si>
  <si>
    <t>ANDHRA PRADESHPENUMANTRA</t>
  </si>
  <si>
    <t>ANDHRA PRADESHPENUMURU</t>
  </si>
  <si>
    <t>ANDHRA PRADESHPERAVALI</t>
  </si>
  <si>
    <t>ANDHRA PRADESHPERUR</t>
  </si>
  <si>
    <t>ANDHRA PRADESHPHIRANGIPURAM</t>
  </si>
  <si>
    <t>ANDHRA PRADESHPICHATUR</t>
  </si>
  <si>
    <t>ANDHRA PRADESHPIDUGURALLA</t>
  </si>
  <si>
    <t>ANDHRA PRADESHPILERU</t>
  </si>
  <si>
    <t>ANDHRA PRADESHPITHAPURAM</t>
  </si>
  <si>
    <t>ANDHRA PRADESHPITTALAVANIPALEM</t>
  </si>
  <si>
    <t>ANDHRA PRADESHPODALAKUR</t>
  </si>
  <si>
    <t>ANDHRA PRADESHPODILI</t>
  </si>
  <si>
    <t>ANDHRA PRADESHPODURU</t>
  </si>
  <si>
    <t>ANDHRA PRADESHPOLAKI</t>
  </si>
  <si>
    <t>ANDHRA PRADESHPOLAVARAM</t>
  </si>
  <si>
    <t>ANDHRA PRADESHPONDICHERRY</t>
  </si>
  <si>
    <t>ANDHRA PRADESHPONDURU</t>
  </si>
  <si>
    <t>ANDHRA PRADESHPONNALURU</t>
  </si>
  <si>
    <t>ANDHRA PRADESHPONNUR</t>
  </si>
  <si>
    <t>ANDHRA PRADESHPORLUPALEM</t>
  </si>
  <si>
    <t>ANDHRA PRADESHPORUMAMILLA</t>
  </si>
  <si>
    <t>ANDHRA PRADESHPRAKASAM</t>
  </si>
  <si>
    <t>ANDHRA PRADESHPRATHIPADU</t>
  </si>
  <si>
    <t>ANDHRA PRADESHPRODDATUR</t>
  </si>
  <si>
    <t>ANDHRA PRADESHPULICHERLA</t>
  </si>
  <si>
    <t>ANDHRA PRADESHPULIVENDLA</t>
  </si>
  <si>
    <t>ANDHRA PRADESHPULLAMPETA</t>
  </si>
  <si>
    <t>ANDHRA PRADESHPUSAPATIREGA</t>
  </si>
  <si>
    <t>ANDHRA PRADESHPUTHALAPATTU</t>
  </si>
  <si>
    <t>ANDHRA PRADESHPUTLUR</t>
  </si>
  <si>
    <t>ANDHRA PRADESHR R V PURAM</t>
  </si>
  <si>
    <t>ANDHRA PRADESHRACHAPALLE</t>
  </si>
  <si>
    <t>ANDHRA PRADESHRACHERLA</t>
  </si>
  <si>
    <t>ANDHRA PRADESHRAJAHMUNDRY</t>
  </si>
  <si>
    <t>ANDHRA PRADESHRAJAHMUNDRY RURAL</t>
  </si>
  <si>
    <t>ANDHRA PRADESHRAJAM</t>
  </si>
  <si>
    <t>ANDHRA PRADESHRAJAMPET</t>
  </si>
  <si>
    <t>ANDHRA PRADESHRAJANAGARAM</t>
  </si>
  <si>
    <t>ANDHRA PRADESHRAJAVOMMANGI</t>
  </si>
  <si>
    <t>ANDHRA PRADESHRAJUPALEM</t>
  </si>
  <si>
    <t>ANDHRA PRADESHRAMACHANDRAPURAM</t>
  </si>
  <si>
    <t>ANDHRA PRADESHRAMAKUPPAM</t>
  </si>
  <si>
    <t>ANDHRA PRADESHRAMASAMUDRAM</t>
  </si>
  <si>
    <t>ANDHRA PRADESHRAMBILLI</t>
  </si>
  <si>
    <t>ANDHRA PRADESHRAMPACHODAVARAM</t>
  </si>
  <si>
    <t>ANDHRA PRADESHRANASTALAM</t>
  </si>
  <si>
    <t>ANDHRA PRADESHRANGAMPETA</t>
  </si>
  <si>
    <t>ANDHRA PRADESHRANGAREDDY</t>
  </si>
  <si>
    <t>ANDHRA PRADESHRAPTADU</t>
  </si>
  <si>
    <t>ANDHRA PRADESHRAPUR</t>
  </si>
  <si>
    <t>ANDHRA PRADESHRAVIKAMATHAM</t>
  </si>
  <si>
    <t>ANDHRA PRADESHRAVINDRANAGAR</t>
  </si>
  <si>
    <t>ANDHRA PRADESHRAVULAPALEM</t>
  </si>
  <si>
    <t>ANDHRA PRADESHRAYACHOTI</t>
  </si>
  <si>
    <t>ANDHRA PRADESHRAYADURG</t>
  </si>
  <si>
    <t>ANDHRA PRADESHRAYALAPETA</t>
  </si>
  <si>
    <t>ANDHRA PRADESHRAYAVARAM</t>
  </si>
  <si>
    <t>ANDHRA PRADESHRAZOLE</t>
  </si>
  <si>
    <t>ANDHRA PRADESHREGIDI AMADALAVALASA</t>
  </si>
  <si>
    <t>ANDHRA PRADESHRENIGUNTA</t>
  </si>
  <si>
    <t>ANDHRA PRADESHRENTACHINTALA</t>
  </si>
  <si>
    <t>ANDHRA PRADESHREPALLE</t>
  </si>
  <si>
    <t>ANDHRA PRADESHRODDAM</t>
  </si>
  <si>
    <t>ANDHRA PRADESHROLLA</t>
  </si>
  <si>
    <t>ANDHRA PRADESHROMPICHERLA</t>
  </si>
  <si>
    <t>ANDHRA PRADESHRUDRAVARAM</t>
  </si>
  <si>
    <t>ANDHRA PRADESHS.MYDUKUR</t>
  </si>
  <si>
    <t>ANDHRA PRADESHS.RAYAVARAM</t>
  </si>
  <si>
    <t>ANDHRA PRADESHSABBAVARAM</t>
  </si>
  <si>
    <t>ANDHRA PRADESHSAKHINETIPALLE</t>
  </si>
  <si>
    <t>ANDHRA PRADESHSAMALKOTA</t>
  </si>
  <si>
    <t>ANDHRA PRADESHSAMBEPALLE</t>
  </si>
  <si>
    <t>ANDHRA PRADESHSANGAM</t>
  </si>
  <si>
    <t>ANDHRA PRADESHSANJAMALA</t>
  </si>
  <si>
    <t>ANDHRA PRADESHSANKHAVARAM</t>
  </si>
  <si>
    <t>ANDHRA PRADESHSANTHABOMMALI</t>
  </si>
  <si>
    <t>ANDHRA PRADESHSANTHAMAGULURU</t>
  </si>
  <si>
    <t>ANDHRA PRADESHSANTHANUTHALA PADU</t>
  </si>
  <si>
    <t>ANDHRA PRADESHSANTHIPURAM</t>
  </si>
  <si>
    <t>ANDHRA PRADESHSARAHANPUR</t>
  </si>
  <si>
    <t>ANDHRA PRADESHSARAVAKOTA</t>
  </si>
  <si>
    <t>ANDHRA PRADESHSARAY BODLA  AGRA, UP</t>
  </si>
  <si>
    <t>ANDHRA PRADESHSARUBUJJILI</t>
  </si>
  <si>
    <t>ANDHRA PRADESHSATTENAPALLE</t>
  </si>
  <si>
    <t>ANDHRA PRADESHSATYAVEDU</t>
  </si>
  <si>
    <t>ANDHRA PRADESHSAVALYAPURAM</t>
  </si>
  <si>
    <t>ANDHRA PRADESHSEETHAMPETA</t>
  </si>
  <si>
    <t>ANDHRA PRADESHSEETHANAGARAM</t>
  </si>
  <si>
    <t>ANDHRA PRADESHSEETHARAMAPURAM</t>
  </si>
  <si>
    <t>ANDHRA PRADESHSETTUR</t>
  </si>
  <si>
    <t>ANDHRA PRADESHSIDHOUT</t>
  </si>
  <si>
    <t>ANDHRA PRADESHSIGADAM</t>
  </si>
  <si>
    <t>ANDHRA PRADESHSIMHADRIPURAM</t>
  </si>
  <si>
    <t>ANDHRA PRADESHSINGANAMALA</t>
  </si>
  <si>
    <t>ANDHRA PRADESHSINGARAYAKONDA</t>
  </si>
  <si>
    <t>ANDHRA PRADESHSIRVEL</t>
  </si>
  <si>
    <t>ANDHRA PRADESHSODAM</t>
  </si>
  <si>
    <t>ANDHRA PRADESHSOMANDEPALLE</t>
  </si>
  <si>
    <t>ANDHRA PRADESHSOMPETA</t>
  </si>
  <si>
    <t>ANDHRA PRADESHSRI AVADHUTHA KASINAYANA</t>
  </si>
  <si>
    <t>ANDHRA PRADESHSRIKAKULAM</t>
  </si>
  <si>
    <t>ANDHRA PRADESHSRIKALAHASTI</t>
  </si>
  <si>
    <t>ANDHRA PRADESHSRISAILAM</t>
  </si>
  <si>
    <t>ANDHRA PRADESHSRUNGAVARAPUKOTA</t>
  </si>
  <si>
    <t>ANDHRA PRADESHSULLURPETA</t>
  </si>
  <si>
    <t>ANDHRA PRADESHSYAMALANAGAR</t>
  </si>
  <si>
    <t>ANDHRA PRADESHSYDAPURAM</t>
  </si>
  <si>
    <t>ANDHRA PRADESHT NARASAPURAM</t>
  </si>
  <si>
    <t>ANDHRA PRADESHT SUNDUPALLE</t>
  </si>
  <si>
    <t>ANDHRA PRADESHTADA</t>
  </si>
  <si>
    <t>ANDHRA PRADESHTADEPALLE</t>
  </si>
  <si>
    <t>ANDHRA PRADESHTADEPALLIGUDEM</t>
  </si>
  <si>
    <t>ANDHRA PRADESHTADIKONDA</t>
  </si>
  <si>
    <t>ANDHRA PRADESHTADIMARRI</t>
  </si>
  <si>
    <t>ANDHRA PRADESHTADPATRI</t>
  </si>
  <si>
    <t>ANDHRA PRADESHTALLAPUDI</t>
  </si>
  <si>
    <t>ANDHRA PRADESHTALUPULA</t>
  </si>
  <si>
    <t>ANDHRA PRADESHTAMIRISA</t>
  </si>
  <si>
    <t>ANDHRA PRADESHTANAKAL</t>
  </si>
  <si>
    <t>ANDHRA PRADESHTANGUTUR</t>
  </si>
  <si>
    <t>ANDHRA PRADESHTANUKU</t>
  </si>
  <si>
    <t>ANDHRA PRADESHTARLUPADU</t>
  </si>
  <si>
    <t>ANDHRA PRADESHTEKKALI</t>
  </si>
  <si>
    <t>ANDHRA PRADESHTEKMAL</t>
  </si>
  <si>
    <t>ANDHRA PRADESHTENALI</t>
  </si>
  <si>
    <t>ANDHRA PRADESHTHALLAREVU</t>
  </si>
  <si>
    <t>ANDHRA PRADESHTHALLUR</t>
  </si>
  <si>
    <t>ANDHRA PRADESHTHAMBALLAPALLE</t>
  </si>
  <si>
    <t>ANDHRA PRADESHTHANE   W</t>
  </si>
  <si>
    <t>ANDHRA PRADESHTHAVANAMPALLE</t>
  </si>
  <si>
    <t>ANDHRA PRADESHTHERLAM</t>
  </si>
  <si>
    <t>ANDHRA PRADESHTHONDANGI</t>
  </si>
  <si>
    <t>ANDHRA PRADESHTHONDUR</t>
  </si>
  <si>
    <t>ANDHRA PRADESHTHOTAPALLIGUDUR</t>
  </si>
  <si>
    <t>ANDHRA PRADESHTHOTLAVALLURU</t>
  </si>
  <si>
    <t>ANDHRA PRADESHTHROVAGUNTA</t>
  </si>
  <si>
    <t>ANDHRA PRADESHTHULLUR</t>
  </si>
  <si>
    <t>ANDHRA PRADESHTIRUPATI</t>
  </si>
  <si>
    <t>ANDHRA PRADESHTIRUPATI (RURAL)</t>
  </si>
  <si>
    <t>ANDHRA PRADESHTIRUPATI (URBAN)</t>
  </si>
  <si>
    <t>ANDHRA PRADESHTIRUVURU</t>
  </si>
  <si>
    <t>ANDHRA PRADESHTRIPURANTHAKAM</t>
  </si>
  <si>
    <t>ANDHRA PRADESHTSUNDUR</t>
  </si>
  <si>
    <t>ANDHRA PRADESHTUGGALI</t>
  </si>
  <si>
    <t>ANDHRA PRADESHUDAYAGIRI</t>
  </si>
  <si>
    <t>ANDHRA PRADESHULAVAPADU</t>
  </si>
  <si>
    <t>ANDHRA PRADESHUNDI</t>
  </si>
  <si>
    <t>ANDHRA PRADESHUNDRAJAVARAM</t>
  </si>
  <si>
    <t>ANDHRA PRADESHUNGUTURU</t>
  </si>
  <si>
    <t>ANDHRA PRADESHUYYALAWADA</t>
  </si>
  <si>
    <t>ANDHRA PRADESHVADAMALAPETA</t>
  </si>
  <si>
    <t>ANDHRA PRADESHVAJRAKARUR</t>
  </si>
  <si>
    <t>ANDHRA PRADESHVAJRAPUKOTHURU</t>
  </si>
  <si>
    <t>ANDHRA PRADESHVAKADU</t>
  </si>
  <si>
    <t>ANDHRA PRADESHVALAPARLA</t>
  </si>
  <si>
    <t>ANDHRA PRADESHVARADAIAHPALEM</t>
  </si>
  <si>
    <t>ANDHRA PRADESHVARIKUNTAPADU</t>
  </si>
  <si>
    <t>ANDHRA PRADESHVATSAVAI</t>
  </si>
  <si>
    <t>ANDHRA PRADESHVATTICHERUKURU</t>
  </si>
  <si>
    <t>ANDHRA PRADESHVAYALPAD</t>
  </si>
  <si>
    <t>ANDHRA PRADESHVEDURUKUPPAM</t>
  </si>
  <si>
    <t>ANDHRA PRADESHVEERABALLE</t>
  </si>
  <si>
    <t>ANDHRA PRADESHVEERAGHATTAM</t>
  </si>
  <si>
    <t>ANDHRA PRADESHVEERAPUNAYUNIPALLE</t>
  </si>
  <si>
    <t>ANDHRA PRADESHVEERAVASARAM</t>
  </si>
  <si>
    <t>ANDHRA PRADESHVEERULLAPADU</t>
  </si>
  <si>
    <t>ANDHRA PRADESHVELDURTHI</t>
  </si>
  <si>
    <t>ANDHRA PRADESHVELGODE</t>
  </si>
  <si>
    <t>ANDHRA PRADESHVELIGANDLA</t>
  </si>
  <si>
    <t>ANDHRA PRADESHVEMPALLE</t>
  </si>
  <si>
    <t>ANDHRA PRADESHVEMULA</t>
  </si>
  <si>
    <t>ANDHRA PRADESHVEMURU</t>
  </si>
  <si>
    <t>ANDHRA PRADESHVENKATACHALAM</t>
  </si>
  <si>
    <t>ANDHRA PRADESHVENKATAGIRI</t>
  </si>
  <si>
    <t>ANDHRA PRADESHVENKATAGIRIKOTA</t>
  </si>
  <si>
    <t>ANDHRA PRADESHVEPADA</t>
  </si>
  <si>
    <t>ANDHRA PRADESHVEPAGUNTA</t>
  </si>
  <si>
    <t>ANDHRA PRADESHVETAPALEM</t>
  </si>
  <si>
    <t>ANDHRA PRADESHVIDAPANAKAL</t>
  </si>
  <si>
    <t>ANDHRA PRADESHVIDAVALUR</t>
  </si>
  <si>
    <t>ANDHRA PRADESHVIJAYAPURAM</t>
  </si>
  <si>
    <t>ANDHRA PRADESHVIJAYAWADA</t>
  </si>
  <si>
    <t>ANDHRA PRADESHVIJAYAWADA (RURAL)</t>
  </si>
  <si>
    <t>ANDHRA PRADESHVINJAMUR</t>
  </si>
  <si>
    <t>ANDHRA PRADESHVINUKONDA</t>
  </si>
  <si>
    <t>ANDHRA PRADESHVISAKAPATNAM</t>
  </si>
  <si>
    <t>ANDHRA PRADESHVISAKHAPATNAM</t>
  </si>
  <si>
    <t>ANDHRA PRADESHVISSANNAPET</t>
  </si>
  <si>
    <t>ANDHRA PRADESHVIZIANAGARAM</t>
  </si>
  <si>
    <t>ANDHRA PRADESHVOLETIVARIPALEM</t>
  </si>
  <si>
    <t>ANDHRA PRADESHVONTIMITTA</t>
  </si>
  <si>
    <t>ANDHRA PRADESHVUYYURU</t>
  </si>
  <si>
    <t>ANDHRA PRADESHWEST GODAVARI</t>
  </si>
  <si>
    <t>ANDHRA PRADESHYADAMARRI</t>
  </si>
  <si>
    <t>ANDHRA PRADESHYADIKI</t>
  </si>
  <si>
    <t>ANDHRA PRADESHYELAMANCHILI</t>
  </si>
  <si>
    <t>ANDHRA PRADESHYELESWARAM</t>
  </si>
  <si>
    <t>ANDHRA PRADESHYELLANUR</t>
  </si>
  <si>
    <t>ANDHRA PRADESHYEMMIGANUR</t>
  </si>
  <si>
    <t>ANDHRA PRADESHYERPEDU</t>
  </si>
  <si>
    <t>ANDHRA PRADESHYERRAGONDAPALEM</t>
  </si>
  <si>
    <t>ANDHRA PRADESHYERRAGUNTLA</t>
  </si>
  <si>
    <t>ANDHRA PRADESHYERUKALACHERUVU</t>
  </si>
  <si>
    <t>ANDHRA PRADESHZARUGUMILLI</t>
  </si>
  <si>
    <t>ARUNACHAL PRADESHALONG CIRCLE</t>
  </si>
  <si>
    <t>ARUNACHAL PRADESHANINI CIRCLE</t>
  </si>
  <si>
    <t>ARUNACHAL PRADESHBALEMU CIRCLE</t>
  </si>
  <si>
    <t>ARUNACHAL PRADESHBALIJAN CIRCLE</t>
  </si>
  <si>
    <t>ARUNACHAL PRADESHBASAR CIRCLE</t>
  </si>
  <si>
    <t>ARUNACHAL PRADESHBHALUKPONG CIRCLE</t>
  </si>
  <si>
    <t>ARUNACHAL PRADESHBORDUMSA CIRCLE</t>
  </si>
  <si>
    <t>ARUNACHAL PRADESHCHANGLANG CIRCLE</t>
  </si>
  <si>
    <t>ARUNACHAL PRADESHCHIMPU</t>
  </si>
  <si>
    <t>ARUNACHAL PRADESHCHOWKHAM CIRCLE</t>
  </si>
  <si>
    <t>ARUNACHAL PRADESHDIRANG CIRCLE</t>
  </si>
  <si>
    <t>ARUNACHAL PRADESHDOIMUKH CIRCLE</t>
  </si>
  <si>
    <t>ARUNACHAL PRADESHGEKU CIRCLE</t>
  </si>
  <si>
    <t>ARUNACHAL PRADESHGENSI CIRCLE</t>
  </si>
  <si>
    <t>ARUNACHAL PRADESHGIBA CIRCLE</t>
  </si>
  <si>
    <t>ARUNACHAL PRADESHHAWAI CIRCLE</t>
  </si>
  <si>
    <t>ARUNACHAL PRADESHHILL TOP</t>
  </si>
  <si>
    <t>ARUNACHAL PRADESHITANAGAR CIRCLE</t>
  </si>
  <si>
    <t>ARUNACHAL PRADESHJAIRAMPUR CIRCLE</t>
  </si>
  <si>
    <t>ARUNACHAL PRADESHKIMIN CIRCLE</t>
  </si>
  <si>
    <t>ARUNACHAL PRADESHKORONU CIRCLE</t>
  </si>
  <si>
    <t>ARUNACHAL PRADESHMEBO CIRCLE</t>
  </si>
  <si>
    <t>ARUNACHAL PRADESHMIAO CIRCLE</t>
  </si>
  <si>
    <t>ARUNACHAL PRADESHMUKTO</t>
  </si>
  <si>
    <t>ARUNACHAL PRADESHNAFRA CIRCLE</t>
  </si>
  <si>
    <t>ARUNACHAL PRADESHNAHARLAGUN CIRCLE</t>
  </si>
  <si>
    <t>ARUNACHAL PRADESHNAMPONG CIRCLE</t>
  </si>
  <si>
    <t>ARUNACHAL PRADESHNAMSAI CIRCLE</t>
  </si>
  <si>
    <t>ARUNACHAL PRADESHPASIGHAT CIRCLE</t>
  </si>
  <si>
    <t>ARUNACHAL PRADESHRUPA CIRCLE</t>
  </si>
  <si>
    <t>ARUNACHAL PRADESHSEIJOSA CIRCLE</t>
  </si>
  <si>
    <t>ARUNACHAL PRADESHSEPPA CIRCLE</t>
  </si>
  <si>
    <t>ARUNACHAL PRADESHSINGCHUNG CIRCLE</t>
  </si>
  <si>
    <t>ARUNACHAL PRADESHSUNPURA CIRCLE</t>
  </si>
  <si>
    <t>ARUNACHAL PRADESHTAWANG CIRCLE</t>
  </si>
  <si>
    <t>ARUNACHAL PRADESHTEZU CIRCLE</t>
  </si>
  <si>
    <t>ARUNACHAL PRADESHTUTING</t>
  </si>
  <si>
    <t>ARUNACHAL PRADESHVIJOYNAGAR CIRCLE</t>
  </si>
  <si>
    <t>ARUNACHAL PRADESHYACHULI CIRCLE</t>
  </si>
  <si>
    <t>ARUNACHAL PRADESHZIRO CIRCLE</t>
  </si>
  <si>
    <t>ASSAMABHAYAPURI</t>
  </si>
  <si>
    <t>ASSAMAGAMONI</t>
  </si>
  <si>
    <t>ASSAMAMGURI</t>
  </si>
  <si>
    <t>ASSAMAMINGAON</t>
  </si>
  <si>
    <t>ASSAMANANDAPARA</t>
  </si>
  <si>
    <t>ASSAMASSAM AGRICULTURAL UNVER</t>
  </si>
  <si>
    <t>ASSAMATTERIKHAT</t>
  </si>
  <si>
    <t>ASSAMBADARPUR</t>
  </si>
  <si>
    <t>ASSAMBAGRIBARI</t>
  </si>
  <si>
    <t>ASSAMBAJALI</t>
  </si>
  <si>
    <t>ASSAMBALIJANA</t>
  </si>
  <si>
    <t>ASSAMBAMUNBARI</t>
  </si>
  <si>
    <t>ASSAMBARAMA</t>
  </si>
  <si>
    <t>ASSAMBARBHAG</t>
  </si>
  <si>
    <t>ASSAMBARKHETRI</t>
  </si>
  <si>
    <t>ASSAMBARNAGAR</t>
  </si>
  <si>
    <t>ASSAMBARPETA</t>
  </si>
  <si>
    <t>ASSAMBASKA</t>
  </si>
  <si>
    <t>ASSAMBAZARICHERRA</t>
  </si>
  <si>
    <t>ASSAMBHAIRAVKUNDA</t>
  </si>
  <si>
    <t>ASSAMBHURAGAON</t>
  </si>
  <si>
    <t>ASSAMBIHAGURI</t>
  </si>
  <si>
    <t>ASSAMBIHPURIA</t>
  </si>
  <si>
    <t>ASSAMBIHUPURIA</t>
  </si>
  <si>
    <t>ASSAMBIJNI</t>
  </si>
  <si>
    <t>ASSAMBINDUKURI</t>
  </si>
  <si>
    <t>ASSAMBINOVANAGAR</t>
  </si>
  <si>
    <t>ASSAMBISWANATH</t>
  </si>
  <si>
    <t>ASSAMBOITAMARI</t>
  </si>
  <si>
    <t>ASSAMBOKAKHAT</t>
  </si>
  <si>
    <t>ASSAMBOKO</t>
  </si>
  <si>
    <t>ASSAMBONGAIGAON</t>
  </si>
  <si>
    <t>ASSAMBORDOLONI</t>
  </si>
  <si>
    <t>ASSAMBORGONG</t>
  </si>
  <si>
    <t>ASSAMCACHAR</t>
  </si>
  <si>
    <t>ASSAMCACHAR HILLS - NORTH</t>
  </si>
  <si>
    <t>ASSAMCHABUA</t>
  </si>
  <si>
    <t>ASSAMCHAMARIA</t>
  </si>
  <si>
    <t>ASSAMCHANDRAPUR</t>
  </si>
  <si>
    <t>ASSAMCHAPAR</t>
  </si>
  <si>
    <t>ASSAMCHARIDUAR</t>
  </si>
  <si>
    <t>ASSAMCHHAYGAON</t>
  </si>
  <si>
    <t>ASSAMDALGAON</t>
  </si>
  <si>
    <t>ASSAMDARRANG</t>
  </si>
  <si>
    <t>ASSAMDEKARGAON</t>
  </si>
  <si>
    <t>ASSAMDERGAON</t>
  </si>
  <si>
    <t>ASSAMDHAKUAKHANA</t>
  </si>
  <si>
    <t>ASSAMDHANBIL</t>
  </si>
  <si>
    <t>ASSAMDHEKIAJULI</t>
  </si>
  <si>
    <t>ASSAMDHEMAJI</t>
  </si>
  <si>
    <t>ASSAMDHING</t>
  </si>
  <si>
    <t>ASSAMDHUBRI</t>
  </si>
  <si>
    <t>ASSAMDHUNAGURI</t>
  </si>
  <si>
    <t>ASSAMDIBRUGARH</t>
  </si>
  <si>
    <t>ASSAMDIBRUGARH EAST</t>
  </si>
  <si>
    <t>ASSAMDIBRUGARH WEST</t>
  </si>
  <si>
    <t>ASSAMDIMAKUCHI</t>
  </si>
  <si>
    <t>ASSAMDIMOW</t>
  </si>
  <si>
    <t>ASSAMDIPHU</t>
  </si>
  <si>
    <t>ASSAMDONKA</t>
  </si>
  <si>
    <t>ASSAMDOTOMA</t>
  </si>
  <si>
    <t>ASSAMDUDHNAI</t>
  </si>
  <si>
    <t>ASSAMGARCHUK</t>
  </si>
  <si>
    <t>ASSAMGHOGRAPAR</t>
  </si>
  <si>
    <t>ASSAMGLT</t>
  </si>
  <si>
    <t>ASSAMGMC</t>
  </si>
  <si>
    <t>ASSAMGOALPARA</t>
  </si>
  <si>
    <t>ASSAMGOHPUR</t>
  </si>
  <si>
    <t>ASSAMGOLAGHAT</t>
  </si>
  <si>
    <t>ASSAMGOLI BANDHA</t>
  </si>
  <si>
    <t>ASSAMGOLOKGANJ</t>
  </si>
  <si>
    <t>ASSAMGOPINATH NAGAR</t>
  </si>
  <si>
    <t>ASSAMGORESWAR</t>
  </si>
  <si>
    <t>ASSAMGOSSAIGAON</t>
  </si>
  <si>
    <t>ASSAMGOTANAGAR</t>
  </si>
  <si>
    <t>ASSAMGUWAHATI</t>
  </si>
  <si>
    <t>ASSAMHAILAKANDI</t>
  </si>
  <si>
    <t>ASSAMHAJO</t>
  </si>
  <si>
    <t>ASSAMHARISINGA</t>
  </si>
  <si>
    <t>ASSAMHATIGAON</t>
  </si>
  <si>
    <t>ASSAMHATIGARH</t>
  </si>
  <si>
    <t>ASSAMHELEM</t>
  </si>
  <si>
    <t>ASSAMHOJAI</t>
  </si>
  <si>
    <t>ASSAMINDRAPUR</t>
  </si>
  <si>
    <t>ASSAMJALAH</t>
  </si>
  <si>
    <t>ASSAMJALAN NAGAR</t>
  </si>
  <si>
    <t>ASSAMJONAI</t>
  </si>
  <si>
    <t>ASSAMJORHAT</t>
  </si>
  <si>
    <t>ASSAMJORHAT EAST</t>
  </si>
  <si>
    <t>ASSAMJORHAT WEST</t>
  </si>
  <si>
    <t>ASSAMKADAM</t>
  </si>
  <si>
    <t>ASSAMKAGAJNAGAR</t>
  </si>
  <si>
    <t>ASSAMKAHILIPARA</t>
  </si>
  <si>
    <t>ASSAMKAKAJAN</t>
  </si>
  <si>
    <t>ASSAMKALAIGAON</t>
  </si>
  <si>
    <t>ASSAMKALGACHIA</t>
  </si>
  <si>
    <t>ASSAMKALIABOR</t>
  </si>
  <si>
    <t>ASSAMKAMAKHYA</t>
  </si>
  <si>
    <t>ASSAMKAMALPUR</t>
  </si>
  <si>
    <t>ASSAMKAMPUR</t>
  </si>
  <si>
    <t>ASSAMKAMRUP</t>
  </si>
  <si>
    <t>ASSAMKARIMGANJ</t>
  </si>
  <si>
    <t>ASSAMKARSONTALA</t>
  </si>
  <si>
    <t>ASSAMKATIGORA</t>
  </si>
  <si>
    <t>ASSAMKHANAPARA</t>
  </si>
  <si>
    <t>ASSAMKHARUPETIAGHAT</t>
  </si>
  <si>
    <t>ASSAMKHELMATI</t>
  </si>
  <si>
    <t>ASSAMKHOIRABARI</t>
  </si>
  <si>
    <t>ASSAMKHOWANG</t>
  </si>
  <si>
    <t>ASSAMKOKILABARI</t>
  </si>
  <si>
    <t>ASSAMKOKRAJHAR</t>
  </si>
  <si>
    <t>ASSAMKOPATI</t>
  </si>
  <si>
    <t>ASSAMKUMARPARA</t>
  </si>
  <si>
    <t>ASSAMLAKHIPUR</t>
  </si>
  <si>
    <t>ASSAMLALPUL</t>
  </si>
  <si>
    <t>ASSAMLANKA</t>
  </si>
  <si>
    <t>ASSAMMACHKHOWA</t>
  </si>
  <si>
    <t>ASSAMMAHMORA</t>
  </si>
  <si>
    <t>ASSAMMAHUR</t>
  </si>
  <si>
    <t>ASSAMMAIBONG</t>
  </si>
  <si>
    <t>ASSAMMAINAGURI</t>
  </si>
  <si>
    <t>ASSAMMAJBAT</t>
  </si>
  <si>
    <t>ASSAMMAJULI</t>
  </si>
  <si>
    <t>ASSAMMANGALDOI</t>
  </si>
  <si>
    <t>ASSAMMANIKPUR</t>
  </si>
  <si>
    <t>ASSAMMANKACHAR</t>
  </si>
  <si>
    <t>ASSAMMARGHERITA</t>
  </si>
  <si>
    <t>ASSAMMARIGAON</t>
  </si>
  <si>
    <t>ASSAMMATIA</t>
  </si>
  <si>
    <t>ASSAMMAZBAT</t>
  </si>
  <si>
    <t>ASSAMMEHERPUR</t>
  </si>
  <si>
    <t>ASSAMMORIGAON</t>
  </si>
  <si>
    <t>ASSAMNA-DUAR</t>
  </si>
  <si>
    <t>ASSAMNAGAON</t>
  </si>
  <si>
    <t>ASSAMNAGARBERA</t>
  </si>
  <si>
    <t>ASSAMNAHARKATIYA</t>
  </si>
  <si>
    <t>ASSAMNALBARI</t>
  </si>
  <si>
    <t>ASSAMNAOBAICHA</t>
  </si>
  <si>
    <t>ASSAMNAOBOISA</t>
  </si>
  <si>
    <t>ASSAMNARAYANPUR</t>
  </si>
  <si>
    <t>ASSAMNAZIRA</t>
  </si>
  <si>
    <t>ASSAMNILAMBAZAR</t>
  </si>
  <si>
    <t>ASSAMNORTH GUWAHATI</t>
  </si>
  <si>
    <t>ASSAMNORTH LAKHIMPUR</t>
  </si>
  <si>
    <t>ASSAMPACHIM NALBARI</t>
  </si>
  <si>
    <t>ASSAMPALASBARI</t>
  </si>
  <si>
    <t>ASSAMPALONGHAT</t>
  </si>
  <si>
    <t>ASSAMPANCHMILE</t>
  </si>
  <si>
    <t>ASSAMPANERIHAT</t>
  </si>
  <si>
    <t>ASSAMPATHARKANDI</t>
  </si>
  <si>
    <t>ASSAMPATHARQUERRY</t>
  </si>
  <si>
    <t>ASSAMPATHORIGHAT</t>
  </si>
  <si>
    <t>ASSAMPHULONI</t>
  </si>
  <si>
    <t>ASSAMRAHA</t>
  </si>
  <si>
    <t>ASSAMRAMKRISHNA NAGAR</t>
  </si>
  <si>
    <t>ASSAMRAMPUR</t>
  </si>
  <si>
    <t>ASSAMRANGIA</t>
  </si>
  <si>
    <t>ASSAMRANGJULI</t>
  </si>
  <si>
    <t>ASSAMREHABARI</t>
  </si>
  <si>
    <t>ASSAMROWTA</t>
  </si>
  <si>
    <t>ASSAMRUPAHI</t>
  </si>
  <si>
    <t>ASSAMSAMAGURI</t>
  </si>
  <si>
    <t>ASSAMSARTHEBARI</t>
  </si>
  <si>
    <t>ASSAMSARUPETA</t>
  </si>
  <si>
    <t>ASSAMSAUKUCHI</t>
  </si>
  <si>
    <t>ASSAMSIBSAGAR</t>
  </si>
  <si>
    <t>ASSAMSIDLI</t>
  </si>
  <si>
    <t>ASSAMSILAPATHAR</t>
  </si>
  <si>
    <t>ASSAMSILCHAR</t>
  </si>
  <si>
    <t>ASSAMSILONIJAN</t>
  </si>
  <si>
    <t>ASSAMSIPAJHAR</t>
  </si>
  <si>
    <t>ASSAMSIRAJULI</t>
  </si>
  <si>
    <t>ASSAMSISSIBARGAON</t>
  </si>
  <si>
    <t>ASSAMSONAI</t>
  </si>
  <si>
    <t>ASSAMSONAPUR</t>
  </si>
  <si>
    <t>ASSAMSONARI</t>
  </si>
  <si>
    <t>ASSAMSONITPUR</t>
  </si>
  <si>
    <t>ASSAMSOUTH SALMARA</t>
  </si>
  <si>
    <t>ASSAMSUBANSIRI</t>
  </si>
  <si>
    <t>ASSAMTAMULPUR</t>
  </si>
  <si>
    <t>ASSAMTANGLA</t>
  </si>
  <si>
    <t>ASSAMTENGAKHAT</t>
  </si>
  <si>
    <t>ASSAMTEOK</t>
  </si>
  <si>
    <t>ASSAMTETENBARI</t>
  </si>
  <si>
    <t>ASSAMTEZPUR</t>
  </si>
  <si>
    <t>ASSAMTHELAMARA</t>
  </si>
  <si>
    <t>ASSAMTIHU</t>
  </si>
  <si>
    <t>ASSAMTINGKHONG</t>
  </si>
  <si>
    <t>ASSAMTINSUKIA</t>
  </si>
  <si>
    <t>ASSAMTITABOR</t>
  </si>
  <si>
    <t>ASSAMUDALGURI</t>
  </si>
  <si>
    <t>ASSAMUDARBOND</t>
  </si>
  <si>
    <t>ASSAMULUBARI</t>
  </si>
  <si>
    <t>ASSAMUMRANGSO</t>
  </si>
  <si>
    <t>ASSAMVASUDEVANALLUR</t>
  </si>
  <si>
    <t>BIHAR18TH FLOOR, DR. RAJKUMAR ROAD</t>
  </si>
  <si>
    <t>BIHAR6JT</t>
  </si>
  <si>
    <t>BIHARAHMEDABAD - 382210</t>
  </si>
  <si>
    <t>BIHARAKBARPUR</t>
  </si>
  <si>
    <t>BIHARAKORHI</t>
  </si>
  <si>
    <t>BIHARAMNOUR</t>
  </si>
  <si>
    <t>BIHARANDAR</t>
  </si>
  <si>
    <t>BIHARANDHRATHARHI</t>
  </si>
  <si>
    <t>BIHARARARIA</t>
  </si>
  <si>
    <t>BIHARARERAJ</t>
  </si>
  <si>
    <t>BIHARARRAH</t>
  </si>
  <si>
    <t>BIHARASARGANJ</t>
  </si>
  <si>
    <t>BIHARASTHAWAN</t>
  </si>
  <si>
    <t>BIHARAT ANDAMP; PO-PORDA,</t>
  </si>
  <si>
    <t>BIHARATHMALGOLA</t>
  </si>
  <si>
    <t>BIHARATRI</t>
  </si>
  <si>
    <t>BIHARAURAI</t>
  </si>
  <si>
    <t>BIHARAURANGABAD</t>
  </si>
  <si>
    <t>BIHARAURANGABAD-431136</t>
  </si>
  <si>
    <t>BIHARBAIRGANIA</t>
  </si>
  <si>
    <t>BIHARBAJITPUR</t>
  </si>
  <si>
    <t>BIHARBAJPATTI</t>
  </si>
  <si>
    <t>BIHARBAKHTIARPUR</t>
  </si>
  <si>
    <t>BIHARBANDRA</t>
  </si>
  <si>
    <t>BIHARBANKA</t>
  </si>
  <si>
    <t>BIHARBANKATWA</t>
  </si>
  <si>
    <t>BIHARBARACHATTI</t>
  </si>
  <si>
    <t>BIHARBARAHAT</t>
  </si>
  <si>
    <t>BIHARBARAHIYA</t>
  </si>
  <si>
    <t>BIHARBARBIGHA</t>
  </si>
  <si>
    <t>BIHARBARH</t>
  </si>
  <si>
    <t>BIHARBARHAMPUR</t>
  </si>
  <si>
    <t>BIHARBARHAT</t>
  </si>
  <si>
    <t>BIHARBARUN</t>
  </si>
  <si>
    <t>BIHARBASANTPUR</t>
  </si>
  <si>
    <t>BIHARBASISTHA,</t>
  </si>
  <si>
    <t>BIHARBATHNAHA</t>
  </si>
  <si>
    <t>BIHARBAUSI</t>
  </si>
  <si>
    <t>BIHARBEGUSARAI</t>
  </si>
  <si>
    <t>BIHARBEHEA</t>
  </si>
  <si>
    <t>BIHARBELAGANJ</t>
  </si>
  <si>
    <t>BIHARBELSAND</t>
  </si>
  <si>
    <t>BIHARBEN</t>
  </si>
  <si>
    <t>BIHARBENIPATTI</t>
  </si>
  <si>
    <t>BIHARBENIPUR</t>
  </si>
  <si>
    <t>BIHARBETTIAH</t>
  </si>
  <si>
    <t>BIHARBHABUA</t>
  </si>
  <si>
    <t>BIHARBHAGALPUR</t>
  </si>
  <si>
    <t>BIHARBHAGWANPUR</t>
  </si>
  <si>
    <t>BIHARBHAGWANPUR HAT</t>
  </si>
  <si>
    <t>BIHARBHAJAPARA</t>
  </si>
  <si>
    <t>BIHARBHARMAGARH</t>
  </si>
  <si>
    <t>BIHARBHOPAL MP-</t>
  </si>
  <si>
    <t>BIHARBIBHUTPUR</t>
  </si>
  <si>
    <t>BIHARBIDUPUR</t>
  </si>
  <si>
    <t>BIHARBIHARSHARIF</t>
  </si>
  <si>
    <t>BIHARBIHPUR</t>
  </si>
  <si>
    <t>BIHARBIHTA</t>
  </si>
  <si>
    <t>BIHARBIKRAMGANJ</t>
  </si>
  <si>
    <t>BIHARBIRAUL</t>
  </si>
  <si>
    <t>BIHARBOCHAHA</t>
  </si>
  <si>
    <t>BIHARBODH GAYA</t>
  </si>
  <si>
    <t>BIHARBOKHARA</t>
  </si>
  <si>
    <t>BIHARBUXAR</t>
  </si>
  <si>
    <t>BIHARCANACONA,</t>
  </si>
  <si>
    <t>BIHARCHAKAI</t>
  </si>
  <si>
    <t>BIHARCHAKIA</t>
  </si>
  <si>
    <t>BIHARCHAKKI</t>
  </si>
  <si>
    <t>BIHARCHAND</t>
  </si>
  <si>
    <t>BIHARCHANDI</t>
  </si>
  <si>
    <t>BIHARCHAPRA</t>
  </si>
  <si>
    <t>BIHARCHARKHI DADRI</t>
  </si>
  <si>
    <t>BIHARCHAUSA</t>
  </si>
  <si>
    <t>BIHARCHEHRA KALAN</t>
  </si>
  <si>
    <t>BIHARCHEWARA</t>
  </si>
  <si>
    <t>BIHARCHHATAPUR</t>
  </si>
  <si>
    <t>BIHARCHIRAIA</t>
  </si>
  <si>
    <t>BIHARCITY-1 GURGAON</t>
  </si>
  <si>
    <t>BIHARCOLGONG</t>
  </si>
  <si>
    <t>BIHARCOUNTRY, SECTOR ƒ?? 50,</t>
  </si>
  <si>
    <t>BIHARCOURT F-32</t>
  </si>
  <si>
    <t>BIHARDANAPUR</t>
  </si>
  <si>
    <t>BIHARDARBHANGA</t>
  </si>
  <si>
    <t>BIHARDARIAPUR</t>
  </si>
  <si>
    <t>BIHARDAUDNAGAR</t>
  </si>
  <si>
    <t>BIHARDAWATH</t>
  </si>
  <si>
    <t>BIHARDEHRI</t>
  </si>
  <si>
    <t>BIHARDEHRI ON SONE</t>
  </si>
  <si>
    <t>BIHARDEO</t>
  </si>
  <si>
    <t>BIHARDEONAR MUMBAI</t>
  </si>
  <si>
    <t>BIHARDHAKA</t>
  </si>
  <si>
    <t>BIHARDHAMDAHA</t>
  </si>
  <si>
    <t>BIHARDHARHARA</t>
  </si>
  <si>
    <t>BIHARDIGHWARA</t>
  </si>
  <si>
    <t>BIHARDINAPUR-CUM-KHAGAUL</t>
  </si>
  <si>
    <t>BIHARDISTT HOSHIAPUR</t>
  </si>
  <si>
    <t>BIHARDULHIN BAZAR</t>
  </si>
  <si>
    <t>BIHARDUMRA</t>
  </si>
  <si>
    <t>BIHARDUMRAON</t>
  </si>
  <si>
    <t>BIHAREKANGARSARAI</t>
  </si>
  <si>
    <t>BIHAREKMA</t>
  </si>
  <si>
    <t>BIHARFATEHPUR</t>
  </si>
  <si>
    <t>BIHARFATHEGANJ,</t>
  </si>
  <si>
    <t>BIHARFATWAH</t>
  </si>
  <si>
    <t>BIHARGADILA VISAKHAPATNAM ANDRA</t>
  </si>
  <si>
    <t>BIHARGARKHA</t>
  </si>
  <si>
    <t>BIHARGAYA</t>
  </si>
  <si>
    <t>BIHARGAYA TOWN CD BLOCK</t>
  </si>
  <si>
    <t>BIHARGHAZIABAD UTTARPRADESH</t>
  </si>
  <si>
    <t>BIHARGHOSWARI</t>
  </si>
  <si>
    <t>BIHARGIRIAK</t>
  </si>
  <si>
    <t>BIHARGOBINDPUR</t>
  </si>
  <si>
    <t>BIHARGOH</t>
  </si>
  <si>
    <t>BIHARGOMOH</t>
  </si>
  <si>
    <t>BIHARGOPALGANJ</t>
  </si>
  <si>
    <t>BIHARGORADIH</t>
  </si>
  <si>
    <t>BIHARGORAUL</t>
  </si>
  <si>
    <t>BIHARGURARU</t>
  </si>
  <si>
    <t>BIHARGURGAON HARYAN,</t>
  </si>
  <si>
    <t>BIHARGURUA</t>
  </si>
  <si>
    <t>BIHARGYASA NAGAR</t>
  </si>
  <si>
    <t>BIHARHAJIPUR</t>
  </si>
  <si>
    <t>BIHARHARNAUT</t>
  </si>
  <si>
    <t>BIHARHASPURA</t>
  </si>
  <si>
    <t>BIHARHILSA</t>
  </si>
  <si>
    <t>BIHARHULASGANJ</t>
  </si>
  <si>
    <t>BIHARIMAMGANJ</t>
  </si>
  <si>
    <t>BIHARINDUSTRIAL AREA, JIGANI HOBLI,</t>
  </si>
  <si>
    <t>BIHARISHUPUR</t>
  </si>
  <si>
    <t>BIHARISMAILPUR</t>
  </si>
  <si>
    <t>BIHARITARHI</t>
  </si>
  <si>
    <t>BIHARJAGDISHPUR</t>
  </si>
  <si>
    <t>BIHARJAIGAON</t>
  </si>
  <si>
    <t>BIHARJAINAGAR</t>
  </si>
  <si>
    <t>BIHARJALALPUR</t>
  </si>
  <si>
    <t>BIHARJAMALPUR</t>
  </si>
  <si>
    <t>BIHARJAMUI</t>
  </si>
  <si>
    <t>BIHARJANDAHA</t>
  </si>
  <si>
    <t>BIHARJAYNAGAR</t>
  </si>
  <si>
    <t>BIHARJEHANABAD</t>
  </si>
  <si>
    <t>BIHARJHANDAHA</t>
  </si>
  <si>
    <t>BIHARJHANJHARPUR</t>
  </si>
  <si>
    <t>BIHARKAHALGAON</t>
  </si>
  <si>
    <t>BIHARKAHARA</t>
  </si>
  <si>
    <t>BIHARKALER</t>
  </si>
  <si>
    <t>BIHARKALYANPUR</t>
  </si>
  <si>
    <t>BIHARKAMBAM</t>
  </si>
  <si>
    <t>BIHARKANTI</t>
  </si>
  <si>
    <t>BIHARKAPURTHALA, PUNJAB</t>
  </si>
  <si>
    <t>BIHARKARAKAT</t>
  </si>
  <si>
    <t>BIHARKARGAHAR</t>
  </si>
  <si>
    <t>BIHARKARPI</t>
  </si>
  <si>
    <t>BIHARKATIHAR</t>
  </si>
  <si>
    <t>BIHARKATORIA</t>
  </si>
  <si>
    <t>BIHARKATRA</t>
  </si>
  <si>
    <t>BIHARKAWAKOL</t>
  </si>
  <si>
    <t>BIHARKESARIA</t>
  </si>
  <si>
    <t>BIHARKESATH</t>
  </si>
  <si>
    <t>BIHARKHAGARIA</t>
  </si>
  <si>
    <t>BIHARKHAIRA</t>
  </si>
  <si>
    <t>BIHARKHAIRANE NAVI MUMBAI</t>
  </si>
  <si>
    <t>BIHARKHARIK</t>
  </si>
  <si>
    <t>BIHARKHUSRUPUR</t>
  </si>
  <si>
    <t>BIHARKISHANGANJ</t>
  </si>
  <si>
    <t>BIHARKISHANPUR</t>
  </si>
  <si>
    <t>BIHARKOCHAS</t>
  </si>
  <si>
    <t>BIHARKONCH</t>
  </si>
  <si>
    <t>BIHARKUDRA</t>
  </si>
  <si>
    <t>BIHARKUMARKHAND</t>
  </si>
  <si>
    <t>BIHARKURHANI</t>
  </si>
  <si>
    <t>BIHARKUTUMBA</t>
  </si>
  <si>
    <t>BIHARLAHLADPUR</t>
  </si>
  <si>
    <t>BIHARLAKHISARAI</t>
  </si>
  <si>
    <t>BIHARLAKSHMIPUR</t>
  </si>
  <si>
    <t>BIHARLALGANJ</t>
  </si>
  <si>
    <t>BIHARLAUKAHA</t>
  </si>
  <si>
    <t>BIHARLAUKAHI</t>
  </si>
  <si>
    <t>BIHARM. GANJ</t>
  </si>
  <si>
    <t>BIHARMADANPUR</t>
  </si>
  <si>
    <t>BIHARMADHEPURA</t>
  </si>
  <si>
    <t>BIHARMADHUBANI</t>
  </si>
  <si>
    <t>BIHARMAHISHI</t>
  </si>
  <si>
    <t>BIHARMAHNAR</t>
  </si>
  <si>
    <t>BIHARMAJIWADA,</t>
  </si>
  <si>
    <t>BIHARMAKER</t>
  </si>
  <si>
    <t>BIHARMANER</t>
  </si>
  <si>
    <t>BIHARMANJHI</t>
  </si>
  <si>
    <t>BIHARMARHAURA</t>
  </si>
  <si>
    <t>BIHARMARWAN</t>
  </si>
  <si>
    <t>BIHARMASAURHI</t>
  </si>
  <si>
    <t>BIHARMASHRAKH</t>
  </si>
  <si>
    <t>BIHARMESKAUR</t>
  </si>
  <si>
    <t>BIHARMINAPUR</t>
  </si>
  <si>
    <t>BIHARMOHANIA</t>
  </si>
  <si>
    <t>BIHARMOKAMA</t>
  </si>
  <si>
    <t>BIHARMOTIHARI</t>
  </si>
  <si>
    <t>BIHARMOTIPUR</t>
  </si>
  <si>
    <t>BIHARMURLIGANJ</t>
  </si>
  <si>
    <t>BIHARMUSHAHARI</t>
  </si>
  <si>
    <t>BIHARMUZAFFARPUR</t>
  </si>
  <si>
    <t>BIHARNABINAGAR</t>
  </si>
  <si>
    <t>BIHARNAGAR NAUSA</t>
  </si>
  <si>
    <t>BIHARNAGAR,GURGAON</t>
  </si>
  <si>
    <t>BIHARNALANDA</t>
  </si>
  <si>
    <t>BIHARNANPUR</t>
  </si>
  <si>
    <t>BIHARNARAYANPUR</t>
  </si>
  <si>
    <t>BIHARNARDIGANJ</t>
  </si>
  <si>
    <t>BIHARNASRIGANJ</t>
  </si>
  <si>
    <t>BIHARNATHNAGAR</t>
  </si>
  <si>
    <t>BIHARNAUBATPUR</t>
  </si>
  <si>
    <t>BIHARNAWADA</t>
  </si>
  <si>
    <t>BIHARNAWANAGAR</t>
  </si>
  <si>
    <t>BIHARNEW VIJAY NAGAR</t>
  </si>
  <si>
    <t>BIHARNEXT TO ANDHERI SPORTS COMPLEX</t>
  </si>
  <si>
    <t>BIHARNIRMALI</t>
  </si>
  <si>
    <t>BIHARNIRNAYNAGAR</t>
  </si>
  <si>
    <t>BIHARNR. DLF GOLF COURSE</t>
  </si>
  <si>
    <t>BIHAROBRA</t>
  </si>
  <si>
    <t>BIHARPAKRI DAYAL</t>
  </si>
  <si>
    <t>BIHARPAKRIBARAWAN</t>
  </si>
  <si>
    <t>BIHARPALIGANJ</t>
  </si>
  <si>
    <t>BIHARPANDAAK</t>
  </si>
  <si>
    <t>BIHARPANDARAK</t>
  </si>
  <si>
    <t>BIHARPANHGACHIA</t>
  </si>
  <si>
    <t>BIHARPARAIYA</t>
  </si>
  <si>
    <t>BIHARPARBATTA</t>
  </si>
  <si>
    <t>BIHARPARIHAR</t>
  </si>
  <si>
    <t>BIHARPAROO</t>
  </si>
  <si>
    <t>BIHARPARSAUNI</t>
  </si>
  <si>
    <t>BIHARPATARGHAT</t>
  </si>
  <si>
    <t>BIHARPATEPUR</t>
  </si>
  <si>
    <t>BIHARPATNA</t>
  </si>
  <si>
    <t>BIHARPATNA SADAR</t>
  </si>
  <si>
    <t>BIHARPHATAK JAIPUR RAJASTHAN</t>
  </si>
  <si>
    <t>BIHARPHULPARAS</t>
  </si>
  <si>
    <t>BIHARPHULWARI</t>
  </si>
  <si>
    <t>BIHARPILKHUWA</t>
  </si>
  <si>
    <t>BIHARPIRO</t>
  </si>
  <si>
    <t>BIHARPIRPAINTI</t>
  </si>
  <si>
    <t>BIHARPIRU</t>
  </si>
  <si>
    <t>BIHARPO DHAKRIA, 31</t>
  </si>
  <si>
    <t>BIHARPRAKASAM DIST (AP)</t>
  </si>
  <si>
    <t>BIHARPRATAPGANJ</t>
  </si>
  <si>
    <t>BIHARPRATAPNAGAR</t>
  </si>
  <si>
    <t>BIHARPUMP HOUSE , ANDHERI E</t>
  </si>
  <si>
    <t>BIHARPUPRI</t>
  </si>
  <si>
    <t>BIHARPURNEA</t>
  </si>
  <si>
    <t>BIHARRAFIGANJ</t>
  </si>
  <si>
    <t>BIHARRAGHOPUR</t>
  </si>
  <si>
    <t>BIHARRAHUI</t>
  </si>
  <si>
    <t>BIHARRAJAULI</t>
  </si>
  <si>
    <t>BIHARRAJAUN</t>
  </si>
  <si>
    <t>BIHARRAJGIR</t>
  </si>
  <si>
    <t>BIHARRAJPUR</t>
  </si>
  <si>
    <t>BIHARRAKKIPATTI</t>
  </si>
  <si>
    <t>BIHARRAMNAGAR</t>
  </si>
  <si>
    <t>BIHARRAMPUR,INDIA</t>
  </si>
  <si>
    <t>BIHARRANIGANJ</t>
  </si>
  <si>
    <t>BIHARRATNI FARIDPUR</t>
  </si>
  <si>
    <t>BIHARRAXAUL</t>
  </si>
  <si>
    <t>BIHARREVELGANJ</t>
  </si>
  <si>
    <t>BIHARRIGA</t>
  </si>
  <si>
    <t>BIHARROAD JALANDHAR</t>
  </si>
  <si>
    <t>BIHARROAD VATTIYOORKAVU TRIVANDRUM</t>
  </si>
  <si>
    <t>BIHARROH</t>
  </si>
  <si>
    <t>BIHARROHTAS</t>
  </si>
  <si>
    <t>BIHARRUNISAIDPUR</t>
  </si>
  <si>
    <t>BIHARRUNNISAIDPUR</t>
  </si>
  <si>
    <t>BIHARS V PATEL ROAD</t>
  </si>
  <si>
    <t>BIHARSAHEBGANJ</t>
  </si>
  <si>
    <t>BIHARSAKRA</t>
  </si>
  <si>
    <t>BIHARSALKHUA</t>
  </si>
  <si>
    <t>BIHARSAMASTIPUR</t>
  </si>
  <si>
    <t>BIHARSAMPATCHAK</t>
  </si>
  <si>
    <t>BIHARSANGRAMPUR</t>
  </si>
  <si>
    <t>BIHARSANGRAMPUR(CHAMPARAN)</t>
  </si>
  <si>
    <t>BIHARSANKARANAKOVIL</t>
  </si>
  <si>
    <t>BIHARSARAI ,DELHI</t>
  </si>
  <si>
    <t>BIHARSARAIYA</t>
  </si>
  <si>
    <t>BIHARSARITA VIHAR, NEW DELHI</t>
  </si>
  <si>
    <t>BIHARSARMERA</t>
  </si>
  <si>
    <t>BIHARSASARAM</t>
  </si>
  <si>
    <t>BIHARSAUR BAZAR</t>
  </si>
  <si>
    <t>BIHARSECONDARY SCHOOL</t>
  </si>
  <si>
    <t>BIHARSECTOR - 50 NOIDA</t>
  </si>
  <si>
    <t>BIHARSECTOR 45 GURGAON</t>
  </si>
  <si>
    <t>BIHARSECTOR-40</t>
  </si>
  <si>
    <t>BIHARSFRSDF</t>
  </si>
  <si>
    <t>BIHARSHAHPUR</t>
  </si>
  <si>
    <t>BIHARSHEIKHPURA</t>
  </si>
  <si>
    <t>BIHARSHEOHAR</t>
  </si>
  <si>
    <t>BIHARSHEOSAGAR</t>
  </si>
  <si>
    <t>BIHARSHERGHATI</t>
  </si>
  <si>
    <t>BIHARSIKANDRA</t>
  </si>
  <si>
    <t>BIHARSILAO</t>
  </si>
  <si>
    <t>BIHARSIMRI</t>
  </si>
  <si>
    <t>BIHARSIMRI BAKHTIARPUR</t>
  </si>
  <si>
    <t>BIHARSINGHESHWAR</t>
  </si>
  <si>
    <t>BIHARSIRDALA</t>
  </si>
  <si>
    <t>BIHARSISWAN</t>
  </si>
  <si>
    <t>BIHARSIWAN</t>
  </si>
  <si>
    <t>BIHARSONBARSA</t>
  </si>
  <si>
    <t>BIHARSONBERSA</t>
  </si>
  <si>
    <t>BIHARSONEPUR</t>
  </si>
  <si>
    <t>BIHARSONO</t>
  </si>
  <si>
    <t>BIHARSULTANGANJ</t>
  </si>
  <si>
    <t>BIHARSUNCITY, INDIRAPURAM</t>
  </si>
  <si>
    <t>BIHARSUPAUL</t>
  </si>
  <si>
    <t>BIHARSURAJGARHA</t>
  </si>
  <si>
    <t>BIHARSURSAND</t>
  </si>
  <si>
    <t>BIHARTEHSIL BATAL</t>
  </si>
  <si>
    <t>BIHARTHANJAVAR</t>
  </si>
  <si>
    <t>BIHARTHARTHARI</t>
  </si>
  <si>
    <t>BIHARTHODUPUZHA,</t>
  </si>
  <si>
    <t>BIHARTILOUTHU</t>
  </si>
  <si>
    <t>BIHARTOKERSI JIVRAJ RAOD,</t>
  </si>
  <si>
    <t>BIHARTOWER,SAI BABA NAGAR,MIRA</t>
  </si>
  <si>
    <t>BIHARTX 76134</t>
  </si>
  <si>
    <t>BIHARUDWANT NAGAR</t>
  </si>
  <si>
    <t>BIHARVAISHALI</t>
  </si>
  <si>
    <t>BIHARVIHAR, SEC-52</t>
  </si>
  <si>
    <t>BIHARVIKAS COLONY ƒ??ƒ??</t>
  </si>
  <si>
    <t>BIHARVILEPARLE - WEST</t>
  </si>
  <si>
    <t>BIHARWADI VASCO DA GAMA GOA</t>
  </si>
  <si>
    <t>BIHARWAKAD, PUNE</t>
  </si>
  <si>
    <t>BIHARWARISALIGANJ</t>
  </si>
  <si>
    <t>BIHARWAZIRGANJ</t>
  </si>
  <si>
    <t>CHANDIGARHCHANDIGARH</t>
  </si>
  <si>
    <t>CHANDIGARHROPAR</t>
  </si>
  <si>
    <t>CHHATTISGARHRAIGARH</t>
  </si>
  <si>
    <t>CHHATTISGARHABHANPUR</t>
  </si>
  <si>
    <t>CHHATTISGARHAMBAGARH</t>
  </si>
  <si>
    <t>CHHATTISGARHAMBIKAPUR</t>
  </si>
  <si>
    <t>CHHATTISGARHANTAGARH</t>
  </si>
  <si>
    <t>CHHATTISGARHARANG</t>
  </si>
  <si>
    <t>CHHATTISGARHBAGICHA</t>
  </si>
  <si>
    <t>CHHATTISGARHBALOD</t>
  </si>
  <si>
    <t>CHHATTISGARHBALODA BAZAR</t>
  </si>
  <si>
    <t>CHHATTISGARHBALOOD</t>
  </si>
  <si>
    <t>CHHATTISGARHBASNA</t>
  </si>
  <si>
    <t>CHHATTISGARHBASTAR</t>
  </si>
  <si>
    <t>CHHATTISGARHBEMETARA</t>
  </si>
  <si>
    <t>CHHATTISGARHBEMETRA</t>
  </si>
  <si>
    <t>CHHATTISGARHBERLA</t>
  </si>
  <si>
    <t>CHHATTISGARHBHANUPRATAPPUR</t>
  </si>
  <si>
    <t>CHHATTISGARHBHARATPUR</t>
  </si>
  <si>
    <t>CHHATTISGARHBHATAPARA</t>
  </si>
  <si>
    <t>CHHATTISGARHBHILAI</t>
  </si>
  <si>
    <t>CHHATTISGARHBHOPAL PATTANAM</t>
  </si>
  <si>
    <t>CHHATTISGARHBILASPUR</t>
  </si>
  <si>
    <t>CHHATTISGARHBINDRANAWAGARH</t>
  </si>
  <si>
    <t>CHHATTISGARHCHAMPA</t>
  </si>
  <si>
    <t>CHHATTISGARHCHARAMA</t>
  </si>
  <si>
    <t>CHHATTISGARHCHHUIKHADAN</t>
  </si>
  <si>
    <t>CHHATTISGARHCHLAIGARH</t>
  </si>
  <si>
    <t>CHHATTISGARHDABHARA</t>
  </si>
  <si>
    <t>CHHATTISGARHDEOBHOG</t>
  </si>
  <si>
    <t>CHHATTISGARHDHAMDHA</t>
  </si>
  <si>
    <t>CHHATTISGARHDHAMTARI</t>
  </si>
  <si>
    <t>CHHATTISGARHDONDILUHARA</t>
  </si>
  <si>
    <t>CHHATTISGARHDONGARGAON</t>
  </si>
  <si>
    <t>CHHATTISGARHDONGARGARH</t>
  </si>
  <si>
    <t>CHHATTISGARHDURG</t>
  </si>
  <si>
    <t>CHHATTISGARHGAMHARIA</t>
  </si>
  <si>
    <t>CHHATTISGARHGARIABAND</t>
  </si>
  <si>
    <t>CHHATTISGARHGHARGHODA</t>
  </si>
  <si>
    <t>CHHATTISGARHGIZA EGYPT</t>
  </si>
  <si>
    <t>CHHATTISGARHGUNDERDEHI</t>
  </si>
  <si>
    <t>CHHATTISGARHGURUR</t>
  </si>
  <si>
    <t>CHHATTISGARHJAGDALPUR</t>
  </si>
  <si>
    <t>CHHATTISGARHJAGDISHPUR</t>
  </si>
  <si>
    <t>CHHATTISGARHJAIJAIPUR</t>
  </si>
  <si>
    <t>CHHATTISGARHJANJGIR</t>
  </si>
  <si>
    <t>CHHATTISGARHJASHPURNAGAR</t>
  </si>
  <si>
    <t>CHHATTISGARHJHAGRAKHAND COLLY</t>
  </si>
  <si>
    <t>CHHATTISGARHKANKER</t>
  </si>
  <si>
    <t>CHHATTISGARHKARGI ROAD</t>
  </si>
  <si>
    <t>CHHATTISGARHKASDOL</t>
  </si>
  <si>
    <t>CHHATTISGARHKATGHORA</t>
  </si>
  <si>
    <t>CHHATTISGARHKAWARDHA</t>
  </si>
  <si>
    <t>CHHATTISGARHKESHKAL</t>
  </si>
  <si>
    <t>CHHATTISGARHKHAIRAGARH</t>
  </si>
  <si>
    <t>CHHATTISGARHKHARSIA</t>
  </si>
  <si>
    <t>CHHATTISGARHKONDAGAON</t>
  </si>
  <si>
    <t>CHHATTISGARHKONTA</t>
  </si>
  <si>
    <t>CHHATTISGARHKORBA COLLIERY</t>
  </si>
  <si>
    <t>CHHATTISGARHKORIYA</t>
  </si>
  <si>
    <t>CHHATTISGARHKUNKURI</t>
  </si>
  <si>
    <t>CHHATTISGARHKURUD</t>
  </si>
  <si>
    <t>CHHATTISGARHLAILUNGA</t>
  </si>
  <si>
    <t>CHHATTISGARHLAKHANPURI</t>
  </si>
  <si>
    <t>CHHATTISGARHLORMI</t>
  </si>
  <si>
    <t>CHHATTISGARHLUNDRA</t>
  </si>
  <si>
    <t>CHHATTISGARHMAHASAMUND</t>
  </si>
  <si>
    <t>CHHATTISGARHMAINPUR</t>
  </si>
  <si>
    <t>CHHATTISGARHMANDLA</t>
  </si>
  <si>
    <t>CHHATTISGARHMANPUR</t>
  </si>
  <si>
    <t>CHHATTISGARHMASTURI</t>
  </si>
  <si>
    <t>CHHATTISGARHMOHLA</t>
  </si>
  <si>
    <t>CHHATTISGARHMUNGELI</t>
  </si>
  <si>
    <t>CHHATTISGARHNARAYANPUR</t>
  </si>
  <si>
    <t>CHHATTISGARHNARHARPUR</t>
  </si>
  <si>
    <t>CHHATTISGARHNAWAGARH</t>
  </si>
  <si>
    <t>CHHATTISGARHPAKHANJOR</t>
  </si>
  <si>
    <t>CHHATTISGARHPAKHANJUR</t>
  </si>
  <si>
    <t>CHHATTISGARHPAL</t>
  </si>
  <si>
    <t>CHHATTISGARHPALARI</t>
  </si>
  <si>
    <t>CHHATTISGARHPAMGARH</t>
  </si>
  <si>
    <t>CHHATTISGARHPANDARIYA</t>
  </si>
  <si>
    <t>CHHATTISGARHPATHALGAON</t>
  </si>
  <si>
    <t>CHHATTISGARHPENDRAROAD</t>
  </si>
  <si>
    <t>CHHATTISGARHPRATAPPUR</t>
  </si>
  <si>
    <t>CHHATTISGARHRAIPUR</t>
  </si>
  <si>
    <t>CHHATTISGARHRAIPUR HO</t>
  </si>
  <si>
    <t>CHHATTISGARHRAJIM</t>
  </si>
  <si>
    <t>CHHATTISGARHRAJNANDGAON</t>
  </si>
  <si>
    <t>CHHATTISGARHSAJA</t>
  </si>
  <si>
    <t>CHHATTISGARHSAKTI</t>
  </si>
  <si>
    <t>CHHATTISGARHSAMARI</t>
  </si>
  <si>
    <t>CHHATTISGARHSARANGARH</t>
  </si>
  <si>
    <t>CHHATTISGARHSIDHI</t>
  </si>
  <si>
    <t>CHHATTISGARHSURAJPUR</t>
  </si>
  <si>
    <t>CHHATTISGARHSURGUJA</t>
  </si>
  <si>
    <t>CHHATTISGARHTAKHATPUR</t>
  </si>
  <si>
    <t>CHHATTISGARHTILDA</t>
  </si>
  <si>
    <t>CHHATTISGARHUDAIPUR</t>
  </si>
  <si>
    <t>CHHATTISGARHWADRAFNAGAR</t>
  </si>
  <si>
    <t>DADRA AND NAGAR HAVELIDADRA AND NAGAR HAVELI</t>
  </si>
  <si>
    <t>DAMAN AND DIUDAMAN</t>
  </si>
  <si>
    <t>DAMAN AND DIUDIU</t>
  </si>
  <si>
    <t>DELHIDELHI</t>
  </si>
  <si>
    <t>DELHINEW  DELHI</t>
  </si>
  <si>
    <t>DELHINEW DELHI</t>
  </si>
  <si>
    <t>DELHISHAHADRA</t>
  </si>
  <si>
    <t>GOABARDEZ</t>
  </si>
  <si>
    <t>GOABICHOLIM</t>
  </si>
  <si>
    <t>GOACALANGUTE</t>
  </si>
  <si>
    <t>GOACANACONA</t>
  </si>
  <si>
    <t>GOACARANZALEM</t>
  </si>
  <si>
    <t>GOAMORMUGAO</t>
  </si>
  <si>
    <t>GOANORTH GOA</t>
  </si>
  <si>
    <t>GOAPERNEM</t>
  </si>
  <si>
    <t>GOAPONDA</t>
  </si>
  <si>
    <t>GOAQUEPEM</t>
  </si>
  <si>
    <t>GOASALCETE</t>
  </si>
  <si>
    <t>GOASANGUEM</t>
  </si>
  <si>
    <t>GOASATARI</t>
  </si>
  <si>
    <t>GOASOUTH GOA</t>
  </si>
  <si>
    <t>GOATISWADI</t>
  </si>
  <si>
    <t>GUJARATABDASA</t>
  </si>
  <si>
    <t>GUJARATAHMEDABAD</t>
  </si>
  <si>
    <t>GUJARATAMIRGADH</t>
  </si>
  <si>
    <t>GUJARATAMOD</t>
  </si>
  <si>
    <t>GUJARATAMRELI</t>
  </si>
  <si>
    <t>GUJARATANAND</t>
  </si>
  <si>
    <t>GUJARATANJAR</t>
  </si>
  <si>
    <t>GUJARATANKLAV</t>
  </si>
  <si>
    <t>GUJARATANKLESVAR</t>
  </si>
  <si>
    <t>GUJARATBABRA</t>
  </si>
  <si>
    <t>GUJARATBAGASARA</t>
  </si>
  <si>
    <t>GUJARATBALASINOR</t>
  </si>
  <si>
    <t>GUJARATBANSDA</t>
  </si>
  <si>
    <t>GUJARATBARDOLI</t>
  </si>
  <si>
    <t>GUJARATBARWALA</t>
  </si>
  <si>
    <t>GUJARATBAVLA</t>
  </si>
  <si>
    <t>GUJARATBAYAD</t>
  </si>
  <si>
    <t>GUJARATBECHARAJI</t>
  </si>
  <si>
    <t>GUJARATBHABHAR</t>
  </si>
  <si>
    <t>GUJARATBHACHAU</t>
  </si>
  <si>
    <t>GUJARATBHANVAD</t>
  </si>
  <si>
    <t>GUJARATBHARUCH</t>
  </si>
  <si>
    <t>GUJARATBHARUCH H O</t>
  </si>
  <si>
    <t>GUJARATBHAVNAGAR</t>
  </si>
  <si>
    <t>GUJARATBHESAN</t>
  </si>
  <si>
    <t>GUJARATBHILODA</t>
  </si>
  <si>
    <t>GUJARATBHUJ</t>
  </si>
  <si>
    <t>GUJARATBORSAD</t>
  </si>
  <si>
    <t>GUJARATBOTAD</t>
  </si>
  <si>
    <t>GUJARATCHANASMA</t>
  </si>
  <si>
    <t>GUJARATCHHOTA UDAIPUR</t>
  </si>
  <si>
    <t>GUJARATCHHOTAUDEPUR</t>
  </si>
  <si>
    <t>GUJARATCHIKHLI</t>
  </si>
  <si>
    <t>GUJARATCHORASI</t>
  </si>
  <si>
    <t>GUJARATCHORYASI</t>
  </si>
  <si>
    <t>GUJARATCHOTILA</t>
  </si>
  <si>
    <t>GUJARATDABHOI</t>
  </si>
  <si>
    <t>GUJARATDAMAN</t>
  </si>
  <si>
    <t>GUJARATDANTA</t>
  </si>
  <si>
    <t>GUJARATDANTIWADA</t>
  </si>
  <si>
    <t>GUJARATDASADA</t>
  </si>
  <si>
    <t>GUJARATDASKROI</t>
  </si>
  <si>
    <t>GUJARATDEDIAPADA</t>
  </si>
  <si>
    <t>GUJARATDEESA</t>
  </si>
  <si>
    <t>GUJARATDEHGAM</t>
  </si>
  <si>
    <t>GUJARATDEODAR</t>
  </si>
  <si>
    <t>GUJARATDEROL</t>
  </si>
  <si>
    <t>GUJARATDETROJ-RAMPURA</t>
  </si>
  <si>
    <t>GUJARATDEVGADBARIA</t>
  </si>
  <si>
    <t>GUJARATDHANDHUKA</t>
  </si>
  <si>
    <t>GUJARATDHANERA</t>
  </si>
  <si>
    <t>GUJARATDHANPUR</t>
  </si>
  <si>
    <t>GUJARATDHANSURA</t>
  </si>
  <si>
    <t>GUJARATDHARAMPUR</t>
  </si>
  <si>
    <t>GUJARATDHARI</t>
  </si>
  <si>
    <t>GUJARATDHOLKA</t>
  </si>
  <si>
    <t>GUJARATDHORAJI</t>
  </si>
  <si>
    <t>GUJARATDHRANGADHRA</t>
  </si>
  <si>
    <t>GUJARATDHROL</t>
  </si>
  <si>
    <t>GUJARATDOHAD</t>
  </si>
  <si>
    <t>GUJARATFARTILIZER NAGAR</t>
  </si>
  <si>
    <t>GUJARATFATEPURA</t>
  </si>
  <si>
    <t>GUJARATGADHADA</t>
  </si>
  <si>
    <t>GUJARATGANDEVI</t>
  </si>
  <si>
    <t>GUJARATGANDHIDHAM</t>
  </si>
  <si>
    <t>GUJARATGANDHINAGAR</t>
  </si>
  <si>
    <t>GUJARATGARBADA</t>
  </si>
  <si>
    <t>GUJARATGARIYADHAR</t>
  </si>
  <si>
    <t>GUJARATGHOGHA</t>
  </si>
  <si>
    <t>GUJARATGHOGHAMBA</t>
  </si>
  <si>
    <t>GUJARATGODHRA</t>
  </si>
  <si>
    <t>GUJARATGONDAL</t>
  </si>
  <si>
    <t>GUJARATHALOL</t>
  </si>
  <si>
    <t>GUJARATHALVAD</t>
  </si>
  <si>
    <t>GUJARATHANSOT</t>
  </si>
  <si>
    <t>GUJARATHARIJ</t>
  </si>
  <si>
    <t>GUJARATHIMATNAGAR</t>
  </si>
  <si>
    <t>GUJARATIDAR</t>
  </si>
  <si>
    <t>GUJARATJAFRABAD</t>
  </si>
  <si>
    <t>GUJARATJALALPORE</t>
  </si>
  <si>
    <t>GUJARATJAMBUGHODA</t>
  </si>
  <si>
    <t>GUJARATJAMBUSAR</t>
  </si>
  <si>
    <t>GUJARATJAMJODHPUR</t>
  </si>
  <si>
    <t>GUJARATJAMKANDORNA</t>
  </si>
  <si>
    <t>GUJARATJAMNAGAR</t>
  </si>
  <si>
    <t>GUJARATJASDAN</t>
  </si>
  <si>
    <t>GUJARATJETPUR</t>
  </si>
  <si>
    <t>GUJARATJETPUR PAVI</t>
  </si>
  <si>
    <t>GUJARATJHAGADIA</t>
  </si>
  <si>
    <t>GUJARATJHALOD</t>
  </si>
  <si>
    <t>GUJARATJODIA</t>
  </si>
  <si>
    <t>GUJARATJODIYA</t>
  </si>
  <si>
    <t>GUJARATJUNAGADH</t>
  </si>
  <si>
    <t>GUJARATKACHCHH</t>
  </si>
  <si>
    <t>GUJARATKADANA</t>
  </si>
  <si>
    <t>GUJARATKADI</t>
  </si>
  <si>
    <t>GUJARATKALAVAD</t>
  </si>
  <si>
    <t>GUJARATKALOL</t>
  </si>
  <si>
    <t>GUJARATKALYANPUR</t>
  </si>
  <si>
    <t>GUJARATKAMREJ</t>
  </si>
  <si>
    <t>GUJARATKANKREJ</t>
  </si>
  <si>
    <t>GUJARATKAPADVANJ</t>
  </si>
  <si>
    <t>GUJARATKAPRADA</t>
  </si>
  <si>
    <t>GUJARATKARJAN</t>
  </si>
  <si>
    <t>GUJARATKATHLAL</t>
  </si>
  <si>
    <t>GUJARATKAVANT</t>
  </si>
  <si>
    <t>GUJARATKESHOD</t>
  </si>
  <si>
    <t>GUJARATKHAMBHA</t>
  </si>
  <si>
    <t>GUJARATKHAMBHALIA</t>
  </si>
  <si>
    <t>GUJARATKHAMBHAT</t>
  </si>
  <si>
    <t>GUJARATKHANPUR</t>
  </si>
  <si>
    <t>GUJARATKHEDA</t>
  </si>
  <si>
    <t>GUJARATKHEDBRAHMA</t>
  </si>
  <si>
    <t>GUJARATKHERALU</t>
  </si>
  <si>
    <t>GUJARATKODINAR</t>
  </si>
  <si>
    <t>GUJARATKOTDA SANGANI</t>
  </si>
  <si>
    <t>GUJARATKUNKAVAV VADIA</t>
  </si>
  <si>
    <t>GUJARATKUTCH</t>
  </si>
  <si>
    <t>GUJARATKUTIYANA</t>
  </si>
  <si>
    <t>GUJARATLAKHPAT</t>
  </si>
  <si>
    <t>GUJARATLAKHTAR</t>
  </si>
  <si>
    <t>GUJARATLALPUR</t>
  </si>
  <si>
    <t>GUJARATLATHI</t>
  </si>
  <si>
    <t>GUJARATLILIA</t>
  </si>
  <si>
    <t>GUJARATLIMBDI</t>
  </si>
  <si>
    <t>GUJARATLIMKHEDA</t>
  </si>
  <si>
    <t>GUJARATLODHIKA</t>
  </si>
  <si>
    <t>GUJARATLUNAWADA</t>
  </si>
  <si>
    <t>GUJARATMAHESANA</t>
  </si>
  <si>
    <t>GUJARATMAHUDHA</t>
  </si>
  <si>
    <t>GUJARATMAHUVA</t>
  </si>
  <si>
    <t>GUJARATMALIA</t>
  </si>
  <si>
    <t>GUJARATMALIYA</t>
  </si>
  <si>
    <t>GUJARATMALPUR</t>
  </si>
  <si>
    <t>GUJARATMANAVADAR</t>
  </si>
  <si>
    <t>GUJARATMANDAL</t>
  </si>
  <si>
    <t>GUJARATMANDVI</t>
  </si>
  <si>
    <t>GUJARATMANGROL</t>
  </si>
  <si>
    <t>GUJARATMANSA</t>
  </si>
  <si>
    <t>GUJARATMATAR</t>
  </si>
  <si>
    <t>GUJARATMEGHRAJ</t>
  </si>
  <si>
    <t>GUJARATMEHMEDABAD</t>
  </si>
  <si>
    <t>GUJARATMENDARDA</t>
  </si>
  <si>
    <t>GUJARATMODASA</t>
  </si>
  <si>
    <t>GUJARATMORBI</t>
  </si>
  <si>
    <t>GUJARATMORWA HADAF</t>
  </si>
  <si>
    <t>GUJARATMULI</t>
  </si>
  <si>
    <t>GUJARATMUNDRA</t>
  </si>
  <si>
    <t>GUJARATNADIAD</t>
  </si>
  <si>
    <t>GUJARATNAGAR MAIN ROAD</t>
  </si>
  <si>
    <t>GUJARATNAKHATRANA</t>
  </si>
  <si>
    <t>GUJARATNANDOD</t>
  </si>
  <si>
    <t>GUJARATNASWADI</t>
  </si>
  <si>
    <t>GUJARATNAVSARI</t>
  </si>
  <si>
    <t>GUJARATNIZAR</t>
  </si>
  <si>
    <t>GUJARATNO 12 JAWAHAR</t>
  </si>
  <si>
    <t>GUJARATOKHAMANDAL</t>
  </si>
  <si>
    <t>GUJARATOLPAD</t>
  </si>
  <si>
    <t>GUJARATPADDHARI</t>
  </si>
  <si>
    <t>GUJARATPADRA</t>
  </si>
  <si>
    <t>GUJARATPALANPUR</t>
  </si>
  <si>
    <t>GUJARATPALITANA</t>
  </si>
  <si>
    <t>GUJARATPALSANA</t>
  </si>
  <si>
    <t>GUJARATPARDI</t>
  </si>
  <si>
    <t>GUJARATPATAN</t>
  </si>
  <si>
    <t>GUJARATPETLAD</t>
  </si>
  <si>
    <t>GUJARATPORBANDAR</t>
  </si>
  <si>
    <t>GUJARATPRANTIJ</t>
  </si>
  <si>
    <t>GUJARATPRATAPNAGAR NANDOD</t>
  </si>
  <si>
    <t>GUJARATRADHANPUR</t>
  </si>
  <si>
    <t>GUJARATRAJKOT</t>
  </si>
  <si>
    <t>GUJARATRAJULA</t>
  </si>
  <si>
    <t>GUJARATRANAVAV</t>
  </si>
  <si>
    <t>GUJARATRANPUR</t>
  </si>
  <si>
    <t>GUJARATRAPAR</t>
  </si>
  <si>
    <t>GUJARATSAGBARA</t>
  </si>
  <si>
    <t>GUJARATSAMI</t>
  </si>
  <si>
    <t>GUJARATSANAND</t>
  </si>
  <si>
    <t>GUJARATSANKHEDA</t>
  </si>
  <si>
    <t>GUJARATSANTALPUR</t>
  </si>
  <si>
    <t>GUJARATSANTRAMPUR</t>
  </si>
  <si>
    <t>GUJARATSARDHAR</t>
  </si>
  <si>
    <t>GUJARATSATLASANA</t>
  </si>
  <si>
    <t>GUJARATSAVAR KUNDLA</t>
  </si>
  <si>
    <t>GUJARATSAVLI</t>
  </si>
  <si>
    <t>GUJARATSAYLA</t>
  </si>
  <si>
    <t>GUJARATSHEHERA</t>
  </si>
  <si>
    <t>GUJARATSIDHPUR</t>
  </si>
  <si>
    <t>GUJARATSIHOR</t>
  </si>
  <si>
    <t>GUJARATSINOR</t>
  </si>
  <si>
    <t>GUJARATSOJITRA</t>
  </si>
  <si>
    <t>GUJARATSONGADH</t>
  </si>
  <si>
    <t>GUJARATSURAT</t>
  </si>
  <si>
    <t>GUJARATSUTRAPADA</t>
  </si>
  <si>
    <t>GUJARATTALAJA</t>
  </si>
  <si>
    <t>GUJARATTALALA</t>
  </si>
  <si>
    <t>GUJARATTALOD</t>
  </si>
  <si>
    <t>GUJARATTANKARA</t>
  </si>
  <si>
    <t>GUJARATTARAPUR</t>
  </si>
  <si>
    <t>GUJARATTHARAD</t>
  </si>
  <si>
    <t>GUJARATTHASRA</t>
  </si>
  <si>
    <t>GUJARATTHE DANGS</t>
  </si>
  <si>
    <t>GUJARATTILAKWADA</t>
  </si>
  <si>
    <t>GUJARATUCHCHHAL</t>
  </si>
  <si>
    <t>GUJARATUMARPADA</t>
  </si>
  <si>
    <t>GUJARATUMBERGAON</t>
  </si>
  <si>
    <t>GUJARATUMRALA</t>
  </si>
  <si>
    <t>GUJARATUMRETH</t>
  </si>
  <si>
    <t>HIMACHAL PRADESHUNA</t>
  </si>
  <si>
    <t>GUJARATUNJHA</t>
  </si>
  <si>
    <t>GUJARATUPLETA</t>
  </si>
  <si>
    <t>GUJARATVADALI</t>
  </si>
  <si>
    <t>GUJARATVADGAM</t>
  </si>
  <si>
    <t>GUJARATVADNAGAR</t>
  </si>
  <si>
    <t>GUJARATVADODARA</t>
  </si>
  <si>
    <t>GUJARATVAGDOD</t>
  </si>
  <si>
    <t>GUJARATVAGHODIA</t>
  </si>
  <si>
    <t>GUJARATVAGRA</t>
  </si>
  <si>
    <t>GUJARATVALIA</t>
  </si>
  <si>
    <t>GUJARATVALLABHIPUR</t>
  </si>
  <si>
    <t>GUJARATVALOD</t>
  </si>
  <si>
    <t>GUJARATVALSAD</t>
  </si>
  <si>
    <t>GUJARATVANSDA</t>
  </si>
  <si>
    <t>GUJARATVANTHALI</t>
  </si>
  <si>
    <t>GUJARATVAPI</t>
  </si>
  <si>
    <t>GUJARATVAV</t>
  </si>
  <si>
    <t>GUJARATVIJAPUR</t>
  </si>
  <si>
    <t>GUJARATVIJAYNAGAR</t>
  </si>
  <si>
    <t>GUJARATVIRAMGAM</t>
  </si>
  <si>
    <t>GUJARATVISAVADAR</t>
  </si>
  <si>
    <t>GUJARATVISNAGAR</t>
  </si>
  <si>
    <t>GUJARATVYARA</t>
  </si>
  <si>
    <t>GUJARATWADHWAN</t>
  </si>
  <si>
    <t>GUJARATWANKANER</t>
  </si>
  <si>
    <t>HARYANAAMBALA</t>
  </si>
  <si>
    <t>HARYANAASSANDH</t>
  </si>
  <si>
    <t>HARYANABABAIN</t>
  </si>
  <si>
    <t>HARYANABAHADURGARH</t>
  </si>
  <si>
    <t>HARYANABALLABGARH</t>
  </si>
  <si>
    <t>HARYANABARARA</t>
  </si>
  <si>
    <t>HARYANABAWAL</t>
  </si>
  <si>
    <t>HARYANABAWANI KHERA</t>
  </si>
  <si>
    <t>HARYANABERI</t>
  </si>
  <si>
    <t>HARYANABHIWANI</t>
  </si>
  <si>
    <t>HARYANABHONDSI</t>
  </si>
  <si>
    <t>HARYANACHHACHHRAULI</t>
  </si>
  <si>
    <t>HARYANADABWALI</t>
  </si>
  <si>
    <t>HARYANADADRI</t>
  </si>
  <si>
    <t>HARYANADHARUHERA</t>
  </si>
  <si>
    <t>HARYANAFARIDABAD</t>
  </si>
  <si>
    <t>HARYANAFARIDABAD, BALLABGARH</t>
  </si>
  <si>
    <t>HARYANAFATEHABAD</t>
  </si>
  <si>
    <t>HARYANAFEROZEPUR JHIRKA</t>
  </si>
  <si>
    <t>HARYANAGANAUR</t>
  </si>
  <si>
    <t>HARYANAGARHI HARSARU</t>
  </si>
  <si>
    <t>HARYANAGHARAUNDA</t>
  </si>
  <si>
    <t>HARYANAGOHANA H O</t>
  </si>
  <si>
    <t>HARYANAGUHLA</t>
  </si>
  <si>
    <t>HARYANAGURGAON</t>
  </si>
  <si>
    <t>HARYANAHANSI</t>
  </si>
  <si>
    <t>HARYANAHATHIN</t>
  </si>
  <si>
    <t>HARYANAHISAR</t>
  </si>
  <si>
    <t>HARYANAHODAL</t>
  </si>
  <si>
    <t>HARYANAJAGADHRI</t>
  </si>
  <si>
    <t>HARYANAJHAJJAR</t>
  </si>
  <si>
    <t>HARYANAJIND</t>
  </si>
  <si>
    <t>HARYANAJIND 126112</t>
  </si>
  <si>
    <t>HARYANAJULANA</t>
  </si>
  <si>
    <t>HARYANAKAITHAL</t>
  </si>
  <si>
    <t>HARYANAKALKA</t>
  </si>
  <si>
    <t>HARYANAKARNAL</t>
  </si>
  <si>
    <t>HARYANAKOSLI</t>
  </si>
  <si>
    <t>HARYANAKURUKSHETRA</t>
  </si>
  <si>
    <t>HARYANAMAHAM</t>
  </si>
  <si>
    <t>HARYANAMAHENDRAGARH</t>
  </si>
  <si>
    <t>HARYANAMANESAR</t>
  </si>
  <si>
    <t>HARYANAMEWAT</t>
  </si>
  <si>
    <t>HARYANANANUKALAN</t>
  </si>
  <si>
    <t>HARYANANARAINGARH</t>
  </si>
  <si>
    <t>HARYANANARNAUL</t>
  </si>
  <si>
    <t>HARYANANARNAUND</t>
  </si>
  <si>
    <t>HARYANANARWANA</t>
  </si>
  <si>
    <t>HARYANAPALWAL</t>
  </si>
  <si>
    <t>HARYANAPANCHKULA</t>
  </si>
  <si>
    <t>HARYANAPANIPAT</t>
  </si>
  <si>
    <t>HARYANAPARCEM PERNEM,</t>
  </si>
  <si>
    <t>HARYANAPATAUDI</t>
  </si>
  <si>
    <t>HARYANAPEHOWA</t>
  </si>
  <si>
    <t>HARYANAPUNAHANA</t>
  </si>
  <si>
    <t>HARYANARANIA</t>
  </si>
  <si>
    <t>HARYANAREWARI</t>
  </si>
  <si>
    <t>HARYANAROHTAK</t>
  </si>
  <si>
    <t>HARYANASAFIDON</t>
  </si>
  <si>
    <t>HARYANASAMALKHA</t>
  </si>
  <si>
    <t>HARYANASHAHBAD</t>
  </si>
  <si>
    <t>HARYANASIRSA</t>
  </si>
  <si>
    <t>HARYANASOHNA</t>
  </si>
  <si>
    <t>HARYANASONEPAT</t>
  </si>
  <si>
    <t>HARYANASONIPAT</t>
  </si>
  <si>
    <t>HARYANATAORU</t>
  </si>
  <si>
    <t>HARYANATHANESAR</t>
  </si>
  <si>
    <t>HARYANATOHANA</t>
  </si>
  <si>
    <t>HARYANATOSHAM</t>
  </si>
  <si>
    <t>HARYANAYAMUNANAGAR</t>
  </si>
  <si>
    <t>HIMACHAL PRADESHAMB</t>
  </si>
  <si>
    <t>HIMACHAL PRADESHANI</t>
  </si>
  <si>
    <t>HIMACHAL PRADESHARCHANDI</t>
  </si>
  <si>
    <t>HIMACHAL PRADESHARKI</t>
  </si>
  <si>
    <t>HIMACHAL PRADESHAUT</t>
  </si>
  <si>
    <t>HIMACHAL PRADESHBAGLI</t>
  </si>
  <si>
    <t>HIMACHAL PRADESHBAHANWIN</t>
  </si>
  <si>
    <t>HIMACHAL PRADESHBAIJNATH</t>
  </si>
  <si>
    <t>HIMACHAL PRADESHBALDWARA</t>
  </si>
  <si>
    <t>HIMACHAL PRADESHBALI CHOWKI</t>
  </si>
  <si>
    <t>HIMACHAL PRADESHBANGANA</t>
  </si>
  <si>
    <t>HIMACHAL PRADESHBANJAR</t>
  </si>
  <si>
    <t>HIMACHAL PRADESHBAROH</t>
  </si>
  <si>
    <t>HIMACHAL PRADESHBARSAR</t>
  </si>
  <si>
    <t>HIMACHAL PRADESHBHAGSU NATH</t>
  </si>
  <si>
    <t>HIMACHAL PRADESHBHALAI</t>
  </si>
  <si>
    <t>HIMACHAL PRADESHBHARWAIN</t>
  </si>
  <si>
    <t>HIMACHAL PRADESHBHATTIYAT</t>
  </si>
  <si>
    <t>HIMACHAL PRADESHBHORANJ</t>
  </si>
  <si>
    <t>HIMACHAL PRADESHBIJHARI</t>
  </si>
  <si>
    <t>HIMACHAL PRADESHBILASPUR SADAR</t>
  </si>
  <si>
    <t>HIMACHAL PRADESHBRAHMAUR</t>
  </si>
  <si>
    <t>HIMACHAL PRADESHCHACHYOT</t>
  </si>
  <si>
    <t>HIMACHAL PRADESHCHALNAIR</t>
  </si>
  <si>
    <t>HIMACHAL PRADESHCHAMBA</t>
  </si>
  <si>
    <t>HIMACHAL PRADESHCHAURAH</t>
  </si>
  <si>
    <t>HIMACHAL PRADESHCHETA</t>
  </si>
  <si>
    <t>HIMACHAL PRADESHCHIRGAON</t>
  </si>
  <si>
    <t>HIMACHAL PRADESHDADAHU</t>
  </si>
  <si>
    <t>HIMACHAL PRADESHDALHOUSIE</t>
  </si>
  <si>
    <t>HIMACHAL PRADESHDERA GOPIPUR</t>
  </si>
  <si>
    <t>HIMACHAL PRADESHDHARAMSALA</t>
  </si>
  <si>
    <t>HIMACHAL PRADESHDHARMPUR</t>
  </si>
  <si>
    <t>HIMACHAL PRADESHDHARMSALA</t>
  </si>
  <si>
    <t>HIMACHAL PRADESHDHATWAL</t>
  </si>
  <si>
    <t>HIMACHAL PRADESHDHIRA</t>
  </si>
  <si>
    <t>HIMACHAL PRADESHDODRA KWAR</t>
  </si>
  <si>
    <t>HIMACHAL PRADESHDRUG</t>
  </si>
  <si>
    <t>HIMACHAL PRADESHGARSA</t>
  </si>
  <si>
    <t>HIMACHAL PRADESHGHUMARWIN</t>
  </si>
  <si>
    <t>HIMACHAL PRADESHHAMIRPUR</t>
  </si>
  <si>
    <t>HIMACHAL PRADESHHANGRANG</t>
  </si>
  <si>
    <t>HIMACHAL PRADESHHARCHAKIAN</t>
  </si>
  <si>
    <t>HIMACHAL PRADESHHAROLI</t>
  </si>
  <si>
    <t>HIMACHAL PRADESHHOLI</t>
  </si>
  <si>
    <t>HIMACHAL PRADESHINDORA</t>
  </si>
  <si>
    <t>HIMACHAL PRADESHJAI SINGHPUR</t>
  </si>
  <si>
    <t>HIMACHAL PRADESHJASWAN</t>
  </si>
  <si>
    <t>HIMACHAL PRADESHJAWALI</t>
  </si>
  <si>
    <t>HIMACHAL PRADESHJHANDUTA</t>
  </si>
  <si>
    <t>HIMACHAL PRADESHJOGINDARNAGAR</t>
  </si>
  <si>
    <t>HIMACHAL PRADESHJOGINDER NAGAR</t>
  </si>
  <si>
    <t>HIMACHAL PRADESHJUBBAL</t>
  </si>
  <si>
    <t>HIMACHAL PRADESHKALPA</t>
  </si>
  <si>
    <t>HIMACHAL PRADESHKAMRAU</t>
  </si>
  <si>
    <t>HIMACHAL PRADESHKANDAGHAT</t>
  </si>
  <si>
    <t>HIMACHAL PRADESHKANGRA</t>
  </si>
  <si>
    <t>HIMACHAL PRADESHKARSOG</t>
  </si>
  <si>
    <t>HIMACHAL PRADESHKASAULI</t>
  </si>
  <si>
    <t>HIMACHAL PRADESHKHALINI</t>
  </si>
  <si>
    <t>HIMACHAL PRADESHKHANIARA</t>
  </si>
  <si>
    <t>HIMACHAL PRADESHKHUNDIAN</t>
  </si>
  <si>
    <t>HIMACHAL PRADESHKOTKHAI</t>
  </si>
  <si>
    <t>HIMACHAL PRADESHKOTLI</t>
  </si>
  <si>
    <t>HIMACHAL PRADESHKRISHANGARH</t>
  </si>
  <si>
    <t>HIMACHAL PRADESHKULLU</t>
  </si>
  <si>
    <t>HIMACHAL PRADESHKUMHARSAIN</t>
  </si>
  <si>
    <t>HIMACHAL PRADESHLAFUGHATI</t>
  </si>
  <si>
    <t>HIMACHAL PRADESHLAHAUL</t>
  </si>
  <si>
    <t>HIMACHAL PRADESHLAHUL</t>
  </si>
  <si>
    <t>HIMACHAL PRADESHLARJI</t>
  </si>
  <si>
    <t>HIMACHAL PRADESHMANALI</t>
  </si>
  <si>
    <t>HIMACHAL PRADESHMANDI</t>
  </si>
  <si>
    <t>HIMACHAL PRADESHMORANG</t>
  </si>
  <si>
    <t>HIMACHAL PRADESHNADAUN</t>
  </si>
  <si>
    <t>HIMACHAL PRADESHNAHAN</t>
  </si>
  <si>
    <t>HIMACHAL PRADESHNAINA DEVI</t>
  </si>
  <si>
    <t>HIMACHAL PRADESHNALAGARH</t>
  </si>
  <si>
    <t>HIMACHAL PRADESHNANKHARI</t>
  </si>
  <si>
    <t>HIMACHAL PRADESHNERMAND</t>
  </si>
  <si>
    <t>HIMACHAL PRADESHNICHAR</t>
  </si>
  <si>
    <t>HIMACHAL PRADESHNIHRI</t>
  </si>
  <si>
    <t>HIMACHAL PRADESHNOHRA</t>
  </si>
  <si>
    <t>HIMACHAL PRADESHNURPUR</t>
  </si>
  <si>
    <t>HIMACHAL PRADESHPACHHAD</t>
  </si>
  <si>
    <t>HIMACHAL PRADESHPALAMPUR</t>
  </si>
  <si>
    <t>HIMACHAL PRADESHPANGI</t>
  </si>
  <si>
    <t>HIMACHAL PRADESHPAONTA SAHIB</t>
  </si>
  <si>
    <t>HIMACHAL PRADESHPOABO</t>
  </si>
  <si>
    <t>HIMACHAL PRADESHPOO</t>
  </si>
  <si>
    <t>HIMACHAL PRADESHQUASBA KOTLA</t>
  </si>
  <si>
    <t>HIMACHAL PRADESHRAJGARH</t>
  </si>
  <si>
    <t>HIMACHAL PRADESHRAKKAR</t>
  </si>
  <si>
    <t>HIMACHAL PRADESHRAMPUR</t>
  </si>
  <si>
    <t>HIMACHAL PRADESHRAMPUR BUSHAHR</t>
  </si>
  <si>
    <t>HIMACHAL PRADESHRAMSHAHR</t>
  </si>
  <si>
    <t>HIMACHAL PRADESHRENUKA</t>
  </si>
  <si>
    <t>HIMACHAL PRADESHROHRU</t>
  </si>
  <si>
    <t>HIMACHAL PRADESHSAINJ</t>
  </si>
  <si>
    <t>HIMACHAL PRADESHSALUNI</t>
  </si>
  <si>
    <t>HIMACHAL PRADESHSANDHOL</t>
  </si>
  <si>
    <t>HIMACHAL PRADESHSANGLA</t>
  </si>
  <si>
    <t>HIMACHAL PRADESHSARKAGHAT</t>
  </si>
  <si>
    <t>HIMACHAL PRADESHSEOH</t>
  </si>
  <si>
    <t>HIMACHAL PRADESHSEONI</t>
  </si>
  <si>
    <t>HIMACHAL PRADESHSHAHPUR</t>
  </si>
  <si>
    <t>HIMACHAL PRADESHSHALAI</t>
  </si>
  <si>
    <t>HIMACHAL PRADESHSHIMLA</t>
  </si>
  <si>
    <t>HIMACHAL PRADESHSIMLA</t>
  </si>
  <si>
    <t>HIMACHAL PRADESHSOLAN</t>
  </si>
  <si>
    <t>HIMACHAL PRADESHSPITI</t>
  </si>
  <si>
    <t>HIMACHAL PRADESHSUNDARNAGAR</t>
  </si>
  <si>
    <t>HIMACHAL PRADESHSUNDER NAGAR</t>
  </si>
  <si>
    <t>HIMACHAL PRADESHSURANGANI</t>
  </si>
  <si>
    <t>HIMACHAL PRADESHTARA DEVI</t>
  </si>
  <si>
    <t>HIMACHAL PRADESHTHEOG</t>
  </si>
  <si>
    <t>HIMACHAL PRADESHTHUNAG</t>
  </si>
  <si>
    <t>HIMACHAL PRADESHTHURAL</t>
  </si>
  <si>
    <t>HIMACHAL PRADESHTIRA SUJANPUR</t>
  </si>
  <si>
    <t>GUJARATUNA</t>
  </si>
  <si>
    <t>JAMMU AND KASHMIRAKHNOOR</t>
  </si>
  <si>
    <t>JAMMU AND KASHMIRANANTNAG</t>
  </si>
  <si>
    <t>JAMMU AND KASHMIRBACHPORA</t>
  </si>
  <si>
    <t>JAMMU AND KASHMIRBADGAM</t>
  </si>
  <si>
    <t>JAMMU AND KASHMIRBAIN BAJALTA</t>
  </si>
  <si>
    <t>JAMMU AND KASHMIRBANIHAL</t>
  </si>
  <si>
    <t>JAMMU AND KASHMIRBARAMULA</t>
  </si>
  <si>
    <t>JAMMU AND KASHMIRBARSOO</t>
  </si>
  <si>
    <t>JAMMU AND KASHMIRBASHOHLI</t>
  </si>
  <si>
    <t>JAMMU AND KASHMIRBATWARA</t>
  </si>
  <si>
    <t>JAMMU AND KASHMIRBEERWAH</t>
  </si>
  <si>
    <t>JAMMU AND KASHMIRBEMINA</t>
  </si>
  <si>
    <t>JAMMU AND KASHMIRBHADERWAH</t>
  </si>
  <si>
    <t>JAMMU AND KASHMIRBHALESSA</t>
  </si>
  <si>
    <t>JAMMU AND KASHMIRBIJBEHARA</t>
  </si>
  <si>
    <t>JAMMU AND KASHMIRBILLAWAR</t>
  </si>
  <si>
    <t>JAMMU AND KASHMIRBISHNA</t>
  </si>
  <si>
    <t>JAMMU AND KASHMIRBREIN</t>
  </si>
  <si>
    <t>JAMMU AND KASHMIRBUDHAL</t>
  </si>
  <si>
    <t>JAMMU AND KASHMIRCHADURA</t>
  </si>
  <si>
    <t>JAMMU AND KASHMIRCHANDERWADI</t>
  </si>
  <si>
    <t>JAMMU AND KASHMIRCHANI HIMAT</t>
  </si>
  <si>
    <t>JAMMU AND KASHMIRCHENANI</t>
  </si>
  <si>
    <t>JAMMU AND KASHMIRCHOWKI CHOURA</t>
  </si>
  <si>
    <t>JAMMU AND KASHMIRDODA</t>
  </si>
  <si>
    <t>JAMMU AND KASHMIRDUL HASTI</t>
  </si>
  <si>
    <t>JAMMU AND KASHMIRDURU</t>
  </si>
  <si>
    <t>JAMMU AND KASHMIRGANDERBAL</t>
  </si>
  <si>
    <t>JAMMU AND KASHMIRGANDHI NAGAR</t>
  </si>
  <si>
    <t>JAMMU AND KASHMIRGOOL GULAB GARH</t>
  </si>
  <si>
    <t>JAMMU AND KASHMIRGULMARG</t>
  </si>
  <si>
    <t>JAMMU AND KASHMIRGUREZ</t>
  </si>
  <si>
    <t>JAMMU AND KASHMIRHANDWARA</t>
  </si>
  <si>
    <t>JAMMU AND KASHMIRHAVELI</t>
  </si>
  <si>
    <t>JAMMU AND KASHMIRHIRANAGAR</t>
  </si>
  <si>
    <t>JAMMU AND KASHMIRJAMMU</t>
  </si>
  <si>
    <t>JAMMU AND KASHMIRJANIPUR</t>
  </si>
  <si>
    <t>JAMMU AND KASHMIRKALAKOTE</t>
  </si>
  <si>
    <t>JAMMU AND KASHMIRKANGAN</t>
  </si>
  <si>
    <t>JAMMU AND KASHMIRKARAN NAGAR</t>
  </si>
  <si>
    <t>JAMMU AND KASHMIRKARGIL</t>
  </si>
  <si>
    <t>JAMMU AND KASHMIRKARNAH</t>
  </si>
  <si>
    <t>JAMMU AND KASHMIRKATHUA</t>
  </si>
  <si>
    <t>JAMMU AND KASHMIRKISHTWAR</t>
  </si>
  <si>
    <t>JAMMU AND KASHMIRKRISHNA NAGAR</t>
  </si>
  <si>
    <t>JAMMU AND KASHMIRKULGAM</t>
  </si>
  <si>
    <t>JAMMU AND KASHMIRKUPWARA</t>
  </si>
  <si>
    <t>JAMMU AND KASHMIRLEH</t>
  </si>
  <si>
    <t>JAMMU AND KASHMIRMANDAKPAL</t>
  </si>
  <si>
    <t>JAMMU AND KASHMIRMANJMOH</t>
  </si>
  <si>
    <t>JAMMU AND KASHMIRMANTALAI</t>
  </si>
  <si>
    <t>JAMMU AND KASHMIRNANDPORA</t>
  </si>
  <si>
    <t>JAMMU AND KASHMIRNOWSHEHRA</t>
  </si>
  <si>
    <t>JAMMU AND KASHMIRPAHALGAM</t>
  </si>
  <si>
    <t>JAMMU AND KASHMIRPATTAN</t>
  </si>
  <si>
    <t>JAMMU AND KASHMIRPULWAMA</t>
  </si>
  <si>
    <t>JAMMU AND KASHMIRRAJAURI</t>
  </si>
  <si>
    <t>JAMMU AND KASHMIRRAJBAGH</t>
  </si>
  <si>
    <t>JAMMU AND KASHMIRRAMBAN</t>
  </si>
  <si>
    <t>JAMMU AND KASHMIRRAMNAGAR</t>
  </si>
  <si>
    <t>JAMMU AND KASHMIRRANBIRSINGHPORA</t>
  </si>
  <si>
    <t>JAMMU AND KASHMIRREASI</t>
  </si>
  <si>
    <t>JAMMU AND KASHMIRROOPNAGAR</t>
  </si>
  <si>
    <t>JAMMU AND KASHMIRSAMBA</t>
  </si>
  <si>
    <t>JAMMU AND KASHMIRSHUPIYAN</t>
  </si>
  <si>
    <t>JAMMU AND KASHMIRSIDHRA</t>
  </si>
  <si>
    <t>JAMMU AND KASHMIRSONAWARI</t>
  </si>
  <si>
    <t>JAMMU AND KASHMIRSOPORE</t>
  </si>
  <si>
    <t>JAMMU AND KASHMIRSRINAGAR</t>
  </si>
  <si>
    <t>JAMMU AND KASHMIRSRINAGAR(JK)</t>
  </si>
  <si>
    <t>JAMMU AND KASHMIRSUNDERBANI</t>
  </si>
  <si>
    <t>JAMMU AND KASHMIRSURANKOTE</t>
  </si>
  <si>
    <t>JAMMU AND KASHMIRTHANAMANDI</t>
  </si>
  <si>
    <t>JAMMU AND KASHMIRTRAL</t>
  </si>
  <si>
    <t>JAMMU AND KASHMIRUDHAMPUR</t>
  </si>
  <si>
    <t>JAMMU AND KASHMIRURI</t>
  </si>
  <si>
    <t>JAMMU AND KASHMIRWASOORA</t>
  </si>
  <si>
    <t>JAMMU AND KASHMIRWUYAN</t>
  </si>
  <si>
    <t>JAMMU AND KASHMIRZAKURA</t>
  </si>
  <si>
    <t>JAMMU AND KASHMIRZANSKAR</t>
  </si>
  <si>
    <t>JHARKHAND13</t>
  </si>
  <si>
    <t>JHARKHAND,DWARKA,NEW DELHI</t>
  </si>
  <si>
    <t>JHARKHAND89 I P EXTN</t>
  </si>
  <si>
    <t>JHARKHANDARAJOO</t>
  </si>
  <si>
    <t>JHARKHANDARMOOR</t>
  </si>
  <si>
    <t>JHARKHANDASHRAM RAOD SUBHANPURA,</t>
  </si>
  <si>
    <t>JHARKHANDBALUMATH</t>
  </si>
  <si>
    <t>JHARKHANDBANASAWADI</t>
  </si>
  <si>
    <t>JHARKHANDBANGALORE-51. INDIA</t>
  </si>
  <si>
    <t>JHARKHANDBARDEZ,NRTH GOA,</t>
  </si>
  <si>
    <t>JHARKHANDBARHAIT</t>
  </si>
  <si>
    <t>JHARKHANDBARHARWA</t>
  </si>
  <si>
    <t>JHARKHANDBARHI</t>
  </si>
  <si>
    <t>JHARKHANDBASIA</t>
  </si>
  <si>
    <t>JHARKHANDBATOK ST 25</t>
  </si>
  <si>
    <t>JHARKHANDBELLARY ROAD, HEBBAL</t>
  </si>
  <si>
    <t>JHARKHANDBENGABAD</t>
  </si>
  <si>
    <t>JHARKHANDBERMO</t>
  </si>
  <si>
    <t>JHARKHANDBERO</t>
  </si>
  <si>
    <t>JHARKHANDBESIDE OF ARTI TALIES,</t>
  </si>
  <si>
    <t>JHARKHANDBHAWNATHPUR</t>
  </si>
  <si>
    <t>JHARKHANDBIRNI</t>
  </si>
  <si>
    <t>JHARKHANDBISHUNGARH</t>
  </si>
  <si>
    <t>JHARKHANDBOARIJORE</t>
  </si>
  <si>
    <t>JHARKHANDBOKARO</t>
  </si>
  <si>
    <t>JHARKHANDBORIO</t>
  </si>
  <si>
    <t>JHARKHANDBORIVALI WEST MUMBAI</t>
  </si>
  <si>
    <t>JHARKHANDBUNDU</t>
  </si>
  <si>
    <t>JHARKHANDCAIRO EGYPT</t>
  </si>
  <si>
    <t>JHARKHANDCANSAULIM,</t>
  </si>
  <si>
    <t>JHARKHANDCHANDANKIARI</t>
  </si>
  <si>
    <t>JHARKHANDCHANDIL</t>
  </si>
  <si>
    <t>JHARKHANDCHANWALA</t>
  </si>
  <si>
    <t>JHARKHANDCHAS</t>
  </si>
  <si>
    <t>JHARKHANDCHATRA</t>
  </si>
  <si>
    <t>JHARKHANDCHAUPARAN</t>
  </si>
  <si>
    <t>JHARKHANDCHITTORGARH RAJ.</t>
  </si>
  <si>
    <t>JHARKHANDCHURCHU</t>
  </si>
  <si>
    <t>JHARKHANDCITY,SECTOR 91</t>
  </si>
  <si>
    <t>JHARKHANDDEOGHAR</t>
  </si>
  <si>
    <t>JHARKHANDDEORI</t>
  </si>
  <si>
    <t>JHARKHANDDHALBHUM</t>
  </si>
  <si>
    <t>JHARKHANDDHALBHUM, JAMSHEDPUR</t>
  </si>
  <si>
    <t>JHARKHANDDHANAS</t>
  </si>
  <si>
    <t>JHARKHANDDHANBAD</t>
  </si>
  <si>
    <t>JHARKHANDDHANWAR</t>
  </si>
  <si>
    <t>JHARKHANDDIST-BARMER</t>
  </si>
  <si>
    <t>JHARKHANDDISTRICT-HARDOI, STATE</t>
  </si>
  <si>
    <t>JHARKHANDDISTT. JHUNJHUNU</t>
  </si>
  <si>
    <t>JHARKHANDDISTT..FEROZEPUR</t>
  </si>
  <si>
    <t>JHARKHANDDLF CITY ƒ?? 2</t>
  </si>
  <si>
    <t>JHARKHANDDUMKA</t>
  </si>
  <si>
    <t>JHARKHANDEAST SINGHBHUM</t>
  </si>
  <si>
    <t>JHARKHANDEPIP AREA</t>
  </si>
  <si>
    <t>JHARKHANDEXPRESSWAY SECTOR-92</t>
  </si>
  <si>
    <t>JHARKHANDEXTN COMMUNITY CENTER</t>
  </si>
  <si>
    <t>JHARKHANDGARHWA</t>
  </si>
  <si>
    <t>JHARKHANDGAWAN</t>
  </si>
  <si>
    <t>JHARKHANDGH-18 SEC 46</t>
  </si>
  <si>
    <t>JHARKHANDGHATOTAND</t>
  </si>
  <si>
    <t>JHARKHANDGIRIDIH</t>
  </si>
  <si>
    <t>JHARKHANDGOBINDPUR(SINGHBHUM)</t>
  </si>
  <si>
    <t>JHARKHANDGODDA</t>
  </si>
  <si>
    <t>JHARKHANDGOLA</t>
  </si>
  <si>
    <t>JHARKHANDGOLMURI</t>
  </si>
  <si>
    <t>JHARKHANDGOTTIGERE, BANNERGHATTA ROAD</t>
  </si>
  <si>
    <t>JHARKHANDGUMIA</t>
  </si>
  <si>
    <t>JHARKHANDGUMLA</t>
  </si>
  <si>
    <t>JHARKHANDHARISWAR</t>
  </si>
  <si>
    <t>JHARKHANDHAZARIBAGH</t>
  </si>
  <si>
    <t>JHARKHANDHEIGHT</t>
  </si>
  <si>
    <t>JHARKHANDI M ROAD,</t>
  </si>
  <si>
    <t>JHARKHANDICHAK</t>
  </si>
  <si>
    <t>JHARKHANDITKHORI</t>
  </si>
  <si>
    <t>JHARKHANDJAINAGAR</t>
  </si>
  <si>
    <t>JHARKHANDJAMA</t>
  </si>
  <si>
    <t>JHARKHANDJAMSHEDPUR</t>
  </si>
  <si>
    <t>JHARKHANDJAMTARA</t>
  </si>
  <si>
    <t>JHARKHANDJAMUA</t>
  </si>
  <si>
    <t>JHARKHANDJARMUNDI</t>
  </si>
  <si>
    <t>JHARKHANDKABIR MARG LUCKNOW</t>
  </si>
  <si>
    <t>JHARKHANDKADUGODI BANGALORE</t>
  </si>
  <si>
    <t>JHARKHANDKANKE</t>
  </si>
  <si>
    <t>JHARKHANDKARAMBELE, DISTRICT ƒ?? VALSAD</t>
  </si>
  <si>
    <t>JHARKHANDKARRA</t>
  </si>
  <si>
    <t>JHARKHANDKATHARA</t>
  </si>
  <si>
    <t>JHARKHANDKATHIKUND</t>
  </si>
  <si>
    <t>JHARKHANDKAUSHAMBI .GHAZIABAD</t>
  </si>
  <si>
    <t>JHARKHANDKEREDARI</t>
  </si>
  <si>
    <t>JHARKHANDKGF KOLAR</t>
  </si>
  <si>
    <t>JHARKHANDKHATIPURA JAIPUR</t>
  </si>
  <si>
    <t>JHARKHANDKHUNTI</t>
  </si>
  <si>
    <t>JHARKHANDKHURDA, ORISSA</t>
  </si>
  <si>
    <t>JHARKHANDKODARMA</t>
  </si>
  <si>
    <t>JHARKHANDKODERMA</t>
  </si>
  <si>
    <t>JHARKHANDKOLKATA 53 W B</t>
  </si>
  <si>
    <t>JHARKHANDKUMARDUNGI</t>
  </si>
  <si>
    <t>JHARKHANDKUNDAHIT</t>
  </si>
  <si>
    <t>JHARKHANDKUNDHAIT</t>
  </si>
  <si>
    <t>JHARKHANDKURU</t>
  </si>
  <si>
    <t>JHARKHANDLALMATI JABALPUR</t>
  </si>
  <si>
    <t>JHARKHANDLATEHAR</t>
  </si>
  <si>
    <t>JHARKHANDLEGGERE, BANGALORE</t>
  </si>
  <si>
    <t>JHARKHANDLOHARDAGA</t>
  </si>
  <si>
    <t>JHARKHANDLYT BANGALORE</t>
  </si>
  <si>
    <t>JHARKHANDMADHUPUR</t>
  </si>
  <si>
    <t>JHARKHANDMAHAGAMA</t>
  </si>
  <si>
    <t>JHARKHANDMAHESHPUR</t>
  </si>
  <si>
    <t>JHARKHANDMAHIM W,</t>
  </si>
  <si>
    <t>JHARKHANDMAHUWADAND</t>
  </si>
  <si>
    <t>JHARKHANDMANDAR</t>
  </si>
  <si>
    <t>JHARKHANDMANDER</t>
  </si>
  <si>
    <t>JHARKHANDMANDU</t>
  </si>
  <si>
    <t>JHARKHANDMANEJA</t>
  </si>
  <si>
    <t>JHARKHANDMARGAO,SALCETE,</t>
  </si>
  <si>
    <t>JHARKHANDMARKACHO</t>
  </si>
  <si>
    <t>JHARKHANDMEDINIPUR,</t>
  </si>
  <si>
    <t>JHARKHANDMEHSANA -</t>
  </si>
  <si>
    <t>JHARKHANDMERCES ILHAS,</t>
  </si>
  <si>
    <t>JHARKHANDMOHALLA PANNA MP</t>
  </si>
  <si>
    <t>JHARKHANDMOHANPUR</t>
  </si>
  <si>
    <t>JHARKHANDMOTHER DAIRY PALAM</t>
  </si>
  <si>
    <t>JHARKHANDMURHU</t>
  </si>
  <si>
    <t>JHARKHANDMUTHUGOUNDENPUDUR</t>
  </si>
  <si>
    <t>JHARKHANDN.J.</t>
  </si>
  <si>
    <t>JHARKHANDNAGAR UTARI</t>
  </si>
  <si>
    <t>JHARKHANDNAMKUM</t>
  </si>
  <si>
    <t>JHARKHANDNAWADIH</t>
  </si>
  <si>
    <t>JHARKHANDNNO44 4TH STREET</t>
  </si>
  <si>
    <t>JHARKHANDOLD GOA,</t>
  </si>
  <si>
    <t>JHARKHANDON,LSM 0W1</t>
  </si>
  <si>
    <t>JHARKHANDORMANJHI</t>
  </si>
  <si>
    <t>JHARKHANDPADMA</t>
  </si>
  <si>
    <t>JHARKHANDPAKAUR</t>
  </si>
  <si>
    <t>JHARKHANDPAKURIA</t>
  </si>
  <si>
    <t>JHARKHANDPALKOT</t>
  </si>
  <si>
    <t>JHARKHANDPALOJORI</t>
  </si>
  <si>
    <t>JHARKHANDPATHARGAMA</t>
  </si>
  <si>
    <t>JHARKHANDPATHNA</t>
  </si>
  <si>
    <t>JHARKHANDPATRATU</t>
  </si>
  <si>
    <t>JHARKHANDPILAR VELHA,</t>
  </si>
  <si>
    <t>JHARKHANDPLOT 36, GURGAON</t>
  </si>
  <si>
    <t>JHARKHANDPLOT 95, ULWE,</t>
  </si>
  <si>
    <t>JHARKHANDPREMNAGAR, DEHRADUN,</t>
  </si>
  <si>
    <t>JHARKHANDPS- BIZPUR, 24</t>
  </si>
  <si>
    <t>JHARKHANDPS LISARI GATE MEERUT U.P.</t>
  </si>
  <si>
    <t>JHARKHANDPURAN MAJRA</t>
  </si>
  <si>
    <t>JHARKHANDRAJENDER NAGAR SEC-2</t>
  </si>
  <si>
    <t>JHARKHANDRAJNI-GANDA APARTMENT</t>
  </si>
  <si>
    <t>JHARKHANDRAMANATHAPURAM DISTRICT</t>
  </si>
  <si>
    <t>JHARKHANDRAMDEV NAGAR</t>
  </si>
  <si>
    <t>JHARKHANDRAMGARH</t>
  </si>
  <si>
    <t>JHARKHANDRANCHI</t>
  </si>
  <si>
    <t>JHARKHANDRATU</t>
  </si>
  <si>
    <t>JHARKHANDRD,BORIVALI WEST</t>
  </si>
  <si>
    <t>JHARKHANDROAD GWHATI3</t>
  </si>
  <si>
    <t>JHARKHANDROAD, NEAR SUBHASH</t>
  </si>
  <si>
    <t>JHARKHANDROYAPETTAH</t>
  </si>
  <si>
    <t>JHARKHANDRWIN ROAD, MANDI MOHALLA</t>
  </si>
  <si>
    <t>JHARKHANDSAHIBABAD,GAZIZBAD</t>
  </si>
  <si>
    <t>JHARKHANDSAHIBGANJ</t>
  </si>
  <si>
    <t>JHARKHANDSARAIYAHAT</t>
  </si>
  <si>
    <t>JHARKHANDSARATH</t>
  </si>
  <si>
    <t>JHARKHANDSARWAN</t>
  </si>
  <si>
    <t>JHARKHANDSECTOR 10 DELHI</t>
  </si>
  <si>
    <t>JHARKHANDSECTOR -49</t>
  </si>
  <si>
    <t>JHARKHANDSECTOR 50, GURGAON</t>
  </si>
  <si>
    <t>JHARKHANDSERAIKELA</t>
  </si>
  <si>
    <t>JHARKHANDSEWRI</t>
  </si>
  <si>
    <t>JHARKHANDSHALIMAR GARDEN EXTN</t>
  </si>
  <si>
    <t>JHARKHANDSHIKARIPARA</t>
  </si>
  <si>
    <t>JHARKHANDSIERRA LEONE</t>
  </si>
  <si>
    <t>JHARKHANDSIERRA LEONE ,</t>
  </si>
  <si>
    <t>JHARKHANDSIKANDRA AG</t>
  </si>
  <si>
    <t>JHARKHANDSIKH</t>
  </si>
  <si>
    <t>JHARKHANDSILLI</t>
  </si>
  <si>
    <t>JHARKHANDSISAI</t>
  </si>
  <si>
    <t>JHARKHANDSOCIETY RANA</t>
  </si>
  <si>
    <t>JHARKHANDSOCIETY RANA PRATAP</t>
  </si>
  <si>
    <t>JHARKHANDST FLOOR KOLKATA</t>
  </si>
  <si>
    <t>JHARKHANDTALJHARI</t>
  </si>
  <si>
    <t>JHARKHANDTAMAR</t>
  </si>
  <si>
    <t>JHARKHANDTANDWA</t>
  </si>
  <si>
    <t>JHARKHANDTENUGHAT</t>
  </si>
  <si>
    <t>JHARKHANDTHALAMBUR</t>
  </si>
  <si>
    <t>JHARKHANDTISRI</t>
  </si>
  <si>
    <t>JHARKHANDTOWN BATHINDA</t>
  </si>
  <si>
    <t>JHARKHANDU.P NOIDA</t>
  </si>
  <si>
    <t>JHARKHANDUDHWA</t>
  </si>
  <si>
    <t>JHARKHANDUJJAIN, MP</t>
  </si>
  <si>
    <t>JHARKHANDUNNAD</t>
  </si>
  <si>
    <t>JHARKHANDUTDIPA SECTOR</t>
  </si>
  <si>
    <t>JHARKHANDVILLAGE PERAMBALUR</t>
  </si>
  <si>
    <t>JHARKHANDVYTILLA,</t>
  </si>
  <si>
    <t>JHARKHANDWADALA MUMBAI</t>
  </si>
  <si>
    <t>KARNATAKA, BANDRA WEST ,</t>
  </si>
  <si>
    <t>KARNATAKA11TH LANE</t>
  </si>
  <si>
    <t>KARNATAKA1ST FLOOR, SHAHID</t>
  </si>
  <si>
    <t>KARNATAKAABBIGERE</t>
  </si>
  <si>
    <t>KARNATAKAAFZALPUR</t>
  </si>
  <si>
    <t>KARNATAKAALAND</t>
  </si>
  <si>
    <t>KARNATAKAALCOBENDAS</t>
  </si>
  <si>
    <t>KARNATAKAALUR</t>
  </si>
  <si>
    <t>KARNATAKAANEKAL</t>
  </si>
  <si>
    <t>KARNATAKAANKOLA</t>
  </si>
  <si>
    <t>KARNATAKAARKALGUD</t>
  </si>
  <si>
    <t>KARNATAKAARSIKERE</t>
  </si>
  <si>
    <t>KARNATAKAATHNI</t>
  </si>
  <si>
    <t>KARNATAKAAURAD</t>
  </si>
  <si>
    <t>KARNATAKABADAMI</t>
  </si>
  <si>
    <t>KARNATAKABAGALKOT</t>
  </si>
  <si>
    <t>KARNATAKABAGEPALLI</t>
  </si>
  <si>
    <t>KARNATAKABAILHONGAL</t>
  </si>
  <si>
    <t>KARNATAKABANGALORE</t>
  </si>
  <si>
    <t>KARNATAKABANGALORE - 560102</t>
  </si>
  <si>
    <t>KARNATAKABANGALORE NORTH</t>
  </si>
  <si>
    <t>KARNATAKABANGALORE SOUTH</t>
  </si>
  <si>
    <t>KARNATAKABANGALORE-56ƒ??47.</t>
  </si>
  <si>
    <t>KARNATAKABANGARAPET</t>
  </si>
  <si>
    <t>KARNATAKABANTVAL</t>
  </si>
  <si>
    <t>KARNATAKABASAVAKALYAN</t>
  </si>
  <si>
    <t>KARNATAKABASAVANA BAGEVADI</t>
  </si>
  <si>
    <t>KARNATAKABELGAUM</t>
  </si>
  <si>
    <t>KARNATAKABELLARY</t>
  </si>
  <si>
    <t>KARNATAKABELTANGADI</t>
  </si>
  <si>
    <t>KARNATAKABELUR</t>
  </si>
  <si>
    <t>KARNATAKABHADRAVATI</t>
  </si>
  <si>
    <t>KARNATAKABHALKI</t>
  </si>
  <si>
    <t>KARNATAKABHATKAL</t>
  </si>
  <si>
    <t>KARNATAKABIDAR</t>
  </si>
  <si>
    <t>KARNATAKABIJAPUR</t>
  </si>
  <si>
    <t>KARNATAKABILGI</t>
  </si>
  <si>
    <t>KARNATAKABORDER, DELHI</t>
  </si>
  <si>
    <t>KARNATAKABYADGI</t>
  </si>
  <si>
    <t>KARNATAKACA 92612</t>
  </si>
  <si>
    <t>KARNATAKACHALLAKERE</t>
  </si>
  <si>
    <t>KARNATAKACHAMARAJANAGAR</t>
  </si>
  <si>
    <t>KARNATAKACHANNAGIRI</t>
  </si>
  <si>
    <t>KARNATAKACHANNAPATNA</t>
  </si>
  <si>
    <t>KARNATAKACHANNARAYAPATNA</t>
  </si>
  <si>
    <t>KARNATAKACHICKBALLAPUR</t>
  </si>
  <si>
    <t>KARNATAKACHIK BALLAPUR</t>
  </si>
  <si>
    <t>KARNATAKACHIKBALLAPUR</t>
  </si>
  <si>
    <t>KARNATAKACHIKKANAYAKANAHLLI</t>
  </si>
  <si>
    <t>KARNATAKACHIKMAGALUR</t>
  </si>
  <si>
    <t>KARNATAKACHIKNAYAKANHALLI</t>
  </si>
  <si>
    <t>KARNATAKACHIKODI</t>
  </si>
  <si>
    <t>KARNATAKACHINCHOLI</t>
  </si>
  <si>
    <t>KARNATAKACHINTAMANI</t>
  </si>
  <si>
    <t>KARNATAKACHITAPUR</t>
  </si>
  <si>
    <t>KARNATAKACHITRADURGA</t>
  </si>
  <si>
    <t>KARNATAKADAVANAGERE</t>
  </si>
  <si>
    <t>KARNATAKADEVADURGA</t>
  </si>
  <si>
    <t>KARNATAKADEVANAHALLI</t>
  </si>
  <si>
    <t>KARNATAKADHARWAD</t>
  </si>
  <si>
    <t>KARNATAKADLF PH 2 GURGAON</t>
  </si>
  <si>
    <t>KARNATAKADOD BALLAPUR</t>
  </si>
  <si>
    <t>KARNATAKADODDABALLAPURA</t>
  </si>
  <si>
    <t>KARNATAKADONIMALAI TOWNSHIP</t>
  </si>
  <si>
    <t>KARNATAKAFLOOR, JAKKUR</t>
  </si>
  <si>
    <t>KARNATAKAGADAG</t>
  </si>
  <si>
    <t>KARNATAKAGANGAVATI</t>
  </si>
  <si>
    <t>KARNATAKAGANGAWATI</t>
  </si>
  <si>
    <t>KARNATAKAGAURIBIDANUR</t>
  </si>
  <si>
    <t>KARNATAKAGOKAK</t>
  </si>
  <si>
    <t>KARNATAKAGUBBI</t>
  </si>
  <si>
    <t>KARNATAKAGUDIBANDA</t>
  </si>
  <si>
    <t>KARNATAKAGULBARGA</t>
  </si>
  <si>
    <t>KARNATAKAGUNDLUPET</t>
  </si>
  <si>
    <t>KARNATAKAHADAGALLI</t>
  </si>
  <si>
    <t>KARNATAKAHAGARIBOMMANAHALLI</t>
  </si>
  <si>
    <t>KARNATAKAHALIYAL</t>
  </si>
  <si>
    <t>KARNATAKAHAMPI POWER HOUSE</t>
  </si>
  <si>
    <t>KARNATAKAHANGAL</t>
  </si>
  <si>
    <t>KARNATAKAHARAPANAHALLI</t>
  </si>
  <si>
    <t>KARNATAKAHARIHAR</t>
  </si>
  <si>
    <t>KARNATAKAHASSAN</t>
  </si>
  <si>
    <t>KARNATAKAHAVERI</t>
  </si>
  <si>
    <t>KARNATAKAHEGGADADEVANKOTE</t>
  </si>
  <si>
    <t>KARNATAKAHIOJOJKL</t>
  </si>
  <si>
    <t>KARNATAKAHIREKERUR</t>
  </si>
  <si>
    <t>KARNATAKAHIRIYUR</t>
  </si>
  <si>
    <t>KARNATAKAHOLALKERE</t>
  </si>
  <si>
    <t>KARNATAKAHOLE NARSIPUR</t>
  </si>
  <si>
    <t>KARNATAKAHOMNABAD</t>
  </si>
  <si>
    <t>KARNATAKAHONAVAR</t>
  </si>
  <si>
    <t>KARNATAKAHONNALI</t>
  </si>
  <si>
    <t>KARNATAKAHOSADURGA</t>
  </si>
  <si>
    <t>KARNATAKAHOSAKOTE</t>
  </si>
  <si>
    <t>KARNATAKAHOSANAGARA</t>
  </si>
  <si>
    <t>KARNATAKAHOSPET</t>
  </si>
  <si>
    <t>KARNATAKAHUBLI</t>
  </si>
  <si>
    <t>KARNATAKAHUKERI</t>
  </si>
  <si>
    <t>KARNATAKAHUNGUND</t>
  </si>
  <si>
    <t>KARNATAKAHUNSUR</t>
  </si>
  <si>
    <t>KARNATAKAHUVINAHADGALI</t>
  </si>
  <si>
    <t>KARNATAKAINDI</t>
  </si>
  <si>
    <t>KARNATAKAINDIRA NGR NASIK</t>
  </si>
  <si>
    <t>KARNATAKAJAGALUR</t>
  </si>
  <si>
    <t>KARNATAKAJAMKHANDI</t>
  </si>
  <si>
    <t>KARNATAKAJEVARGI</t>
  </si>
  <si>
    <t>KARNATAKAKADUR</t>
  </si>
  <si>
    <t>KARNATAKAKAGAL</t>
  </si>
  <si>
    <t>KARNATAKAKALGHATGI</t>
  </si>
  <si>
    <t>KARNATAKAKANAKAPURA</t>
  </si>
  <si>
    <t>KARNATAKAKARKAL</t>
  </si>
  <si>
    <t>KARNATAKAKARWAR</t>
  </si>
  <si>
    <t>KARNATAKAKHANAPUR</t>
  </si>
  <si>
    <t>KARNATAKAKODAGU</t>
  </si>
  <si>
    <t>KARNATAKAKOLAR</t>
  </si>
  <si>
    <t>KARNATAKAKOLLEGAL</t>
  </si>
  <si>
    <t>KARNATAKAKOPPA</t>
  </si>
  <si>
    <t>KARNATAKAKOPPAL</t>
  </si>
  <si>
    <t>KARNATAKAKORATAGERE</t>
  </si>
  <si>
    <t>KARNATAKAKRISHNARAJANAGARA</t>
  </si>
  <si>
    <t>KARNATAKAKRISHNARAJPET</t>
  </si>
  <si>
    <t>KARNATAKAKUDLIGI</t>
  </si>
  <si>
    <t>KARNATAKAKUMTA</t>
  </si>
  <si>
    <t>KARNATAKAKUNDAPURA</t>
  </si>
  <si>
    <t>KARNATAKAKUNDGOL</t>
  </si>
  <si>
    <t>KARNATAKAKUNIGAL</t>
  </si>
  <si>
    <t>KARNATAKAKUSHTAGI</t>
  </si>
  <si>
    <t>KARNATAKALINGSUGUR</t>
  </si>
  <si>
    <t>KARNATAKALOK 2 SECTOR 57</t>
  </si>
  <si>
    <t>KARNATAKAMADDUR</t>
  </si>
  <si>
    <t>KARNATAKAMADHUGIRI</t>
  </si>
  <si>
    <t>KARNATAKAMADIKERI</t>
  </si>
  <si>
    <t>KARNATAKAMADIKERI H O</t>
  </si>
  <si>
    <t>KARNATAKAMAGADI</t>
  </si>
  <si>
    <t>KARNATAKAMALAVALLI</t>
  </si>
  <si>
    <t>KARNATAKAMALKHED</t>
  </si>
  <si>
    <t>KARNATAKAMALUR</t>
  </si>
  <si>
    <t>KARNATAKAMANDIPET RAICHUR</t>
  </si>
  <si>
    <t>KARNATAKAMANDYA</t>
  </si>
  <si>
    <t>KARNATAKAMANGALORE</t>
  </si>
  <si>
    <t>KARNATAKAMANGALORE/UDUPI</t>
  </si>
  <si>
    <t>KARNATAKAMANVI</t>
  </si>
  <si>
    <t>KARNATAKAMINIRABAD</t>
  </si>
  <si>
    <t>KARNATAKAMOHABA BAZAR</t>
  </si>
  <si>
    <t>KARNATAKAMOLAKALMURU</t>
  </si>
  <si>
    <t>KARNATAKAMUDDEBIHAL</t>
  </si>
  <si>
    <t>KARNATAKAMUDHOL</t>
  </si>
  <si>
    <t>KARNATAKAMUDIGERE</t>
  </si>
  <si>
    <t>KARNATAKAMULBAGAL</t>
  </si>
  <si>
    <t>KARNATAKAMUNDARGI</t>
  </si>
  <si>
    <t>KARNATAKAMUNDGOD</t>
  </si>
  <si>
    <t>KARNATAKAMYSORE</t>
  </si>
  <si>
    <t>KARNATAKANAGAMANGALA</t>
  </si>
  <si>
    <t>KARNATAKANANJANGUD</t>
  </si>
  <si>
    <t>KARNATAKANARASIMHARAJAPURA</t>
  </si>
  <si>
    <t>KARNATAKANARGUND</t>
  </si>
  <si>
    <t>KARNATAKANAVALGUND</t>
  </si>
  <si>
    <t>KARNATAKANELAMANGALA</t>
  </si>
  <si>
    <t>KARNATAKAOFF BANNERGHATTA</t>
  </si>
  <si>
    <t>KARNATAKAP/S BALUA DISTT</t>
  </si>
  <si>
    <t>KARNATAKAPADUBIDRI</t>
  </si>
  <si>
    <t>KARNATAKAPANDAVAPURA</t>
  </si>
  <si>
    <t>KARNATAKAPARASGAD</t>
  </si>
  <si>
    <t>KARNATAKAPAVAGADA</t>
  </si>
  <si>
    <t>KARNATAKAPIRIYAPATNA</t>
  </si>
  <si>
    <t>KARNATAKAPUTTUR</t>
  </si>
  <si>
    <t>KARNATAKARAICHUR</t>
  </si>
  <si>
    <t>KARNATAKARAMANAGARAM</t>
  </si>
  <si>
    <t>KARNATAKARAMDURG</t>
  </si>
  <si>
    <t>KARNATAKARANIBENNUR</t>
  </si>
  <si>
    <t>KARNATAKARAYBAG</t>
  </si>
  <si>
    <t>KARNATAKAROAD, MAROL MAROSHI ROAD</t>
  </si>
  <si>
    <t>KARNATAKARON</t>
  </si>
  <si>
    <t>KARNATAKASAGAR</t>
  </si>
  <si>
    <t>KARNATAKASAKLESHPUR</t>
  </si>
  <si>
    <t>KARNATAKASAMPAGAON</t>
  </si>
  <si>
    <t>KARNATAKASAMPGAON</t>
  </si>
  <si>
    <t>KARNATAKASANDUR</t>
  </si>
  <si>
    <t>KARNATAKASAUNDATTI</t>
  </si>
  <si>
    <t>KARNATAKASAVANUR</t>
  </si>
  <si>
    <t>KARNATAKASEDAM</t>
  </si>
  <si>
    <t>KARNATAKASHAHPUR</t>
  </si>
  <si>
    <t>KARNATAKASHIGGAON</t>
  </si>
  <si>
    <t>KARNATAKASHIKARPUR</t>
  </si>
  <si>
    <t>KARNATAKASHIMOGA</t>
  </si>
  <si>
    <t>KARNATAKASHIRHATTI</t>
  </si>
  <si>
    <t>KARNATAKASHORAPUR</t>
  </si>
  <si>
    <t>KARNATAKASHRIRANGAPATTANA</t>
  </si>
  <si>
    <t>KARNATAKASIDDAPUR</t>
  </si>
  <si>
    <t>KARNATAKASIDLAGHATTA</t>
  </si>
  <si>
    <t>KARNATAKASINDGI</t>
  </si>
  <si>
    <t>KARNATAKASINDHNUR</t>
  </si>
  <si>
    <t>KARNATAKASIRA</t>
  </si>
  <si>
    <t>KARNATAKASIRSI</t>
  </si>
  <si>
    <t>KARNATAKASIRUGUPPA</t>
  </si>
  <si>
    <t>KARNATAKASOMVARPET</t>
  </si>
  <si>
    <t>KARNATAKASORAB</t>
  </si>
  <si>
    <t>KARNATAKASRINGERI</t>
  </si>
  <si>
    <t>KARNATAKASRINIVASPUR</t>
  </si>
  <si>
    <t>KARNATAKASULYA</t>
  </si>
  <si>
    <t>KARNATAKASUPA</t>
  </si>
  <si>
    <t>KARNATAKASYNDICATE BUS</t>
  </si>
  <si>
    <t>KARNATAKATARIKERE</t>
  </si>
  <si>
    <t>KARNATAKATIPTUR</t>
  </si>
  <si>
    <t>KARNATAKATIRTHAHALLI</t>
  </si>
  <si>
    <t>KARNATAKATIRUMAKUDAL NARSIPUR</t>
  </si>
  <si>
    <t>KARNATAKATUMKUR</t>
  </si>
  <si>
    <t>KARNATAKATUMKUR DISTRICT</t>
  </si>
  <si>
    <t>KARNATAKATURUVEKERE</t>
  </si>
  <si>
    <t>KARNATAKAUDUPI</t>
  </si>
  <si>
    <t>KARNATAKAUTTARA KANNADA</t>
  </si>
  <si>
    <t>KARNATAKAVIRAJPET</t>
  </si>
  <si>
    <t>KARNATAKAYADGIR</t>
  </si>
  <si>
    <t>KARNATAKAYELANDUR</t>
  </si>
  <si>
    <t>KARNATAKAYELBARGA</t>
  </si>
  <si>
    <t>KARNATAKAYELLAMMA HILLS</t>
  </si>
  <si>
    <t>KARNATAKAYELLAPUR</t>
  </si>
  <si>
    <t>KERALAADOOR</t>
  </si>
  <si>
    <t>KERALAALAAPUZHA</t>
  </si>
  <si>
    <t>KERALAALATHUR</t>
  </si>
  <si>
    <t>KERALAALLAHABAD, ALLAHABAD,</t>
  </si>
  <si>
    <t>KERALAALUVA</t>
  </si>
  <si>
    <t>KERALAAMBALAPPUZHA</t>
  </si>
  <si>
    <t>KERALACALICUT</t>
  </si>
  <si>
    <t>KERALACARNICHAEL ROAD</t>
  </si>
  <si>
    <t>KERALACHALAKUDI</t>
  </si>
  <si>
    <t>KERALACHANGANASSERY</t>
  </si>
  <si>
    <t>KERALACHAVAKKAD</t>
  </si>
  <si>
    <t>KERALACHENGANNUR</t>
  </si>
  <si>
    <t>KERALACHERTHALA</t>
  </si>
  <si>
    <t>KERALACHIRAYINKEEZHU</t>
  </si>
  <si>
    <t>KERALACHITTUR</t>
  </si>
  <si>
    <t>KERALADEVIKULAM</t>
  </si>
  <si>
    <t>KERALAERNAD</t>
  </si>
  <si>
    <t>KERALAERNAKULAM</t>
  </si>
  <si>
    <t>KERALAHOSDURG</t>
  </si>
  <si>
    <t>KERALAIDUKKI</t>
  </si>
  <si>
    <t>KERALAJAMMALAMADUG</t>
  </si>
  <si>
    <t>KERALAKANAYANNUR</t>
  </si>
  <si>
    <t>KERALAKANJIRAPPALLY</t>
  </si>
  <si>
    <t>KERALAKANNUR</t>
  </si>
  <si>
    <t>KERALAKARTHIKAPPALLY</t>
  </si>
  <si>
    <t>KERALAKARUNAGAPPALLY</t>
  </si>
  <si>
    <t>KERALAKARUVANNUR</t>
  </si>
  <si>
    <t>KERALAKASARAGOD</t>
  </si>
  <si>
    <t>KERALAKOCHI</t>
  </si>
  <si>
    <t>KERALAKODUNGALLUR</t>
  </si>
  <si>
    <t>KERALAKOLLAM</t>
  </si>
  <si>
    <t>KERALAKOTHAMANGALAM</t>
  </si>
  <si>
    <t>KERALAKOTTARAKKARA</t>
  </si>
  <si>
    <t>KERALAKOTTAYAM</t>
  </si>
  <si>
    <t>KERALAKOZHENCHERY</t>
  </si>
  <si>
    <t>KERALAKOZHIKODE</t>
  </si>
  <si>
    <t>KERALAKUNNATHUNAD</t>
  </si>
  <si>
    <t>KERALAKUNNATHUR</t>
  </si>
  <si>
    <t>KERALAKUTTANAD</t>
  </si>
  <si>
    <t>KERALAMALAPPURAM</t>
  </si>
  <si>
    <t>KERALAMALLAPPALLY</t>
  </si>
  <si>
    <t>KERALAMANANTHAVADY</t>
  </si>
  <si>
    <t>KERALAMANNARKAD</t>
  </si>
  <si>
    <t>KERALAMAVELIKKARA</t>
  </si>
  <si>
    <t>KERALAMEENACHIL</t>
  </si>
  <si>
    <t>KERALAMUKUNDAPURAM</t>
  </si>
  <si>
    <t>KERALAMUVATTUPUZHA</t>
  </si>
  <si>
    <t>KERALANEAR BADANT CINEMA,MUMBAI</t>
  </si>
  <si>
    <t>KERALANEDUMANGAD</t>
  </si>
  <si>
    <t>KERALANEHRU  NAGAR  GHAZIABAD</t>
  </si>
  <si>
    <t>KERALANEYYATTINKARA</t>
  </si>
  <si>
    <t>KERALANILAMBUR</t>
  </si>
  <si>
    <t>KERALANOIDA - 201301</t>
  </si>
  <si>
    <t>KERALAOTTAPPALAM</t>
  </si>
  <si>
    <t>KERALAPALA</t>
  </si>
  <si>
    <t>KERALAPALAKKAD</t>
  </si>
  <si>
    <t>KERALAPARAVUR</t>
  </si>
  <si>
    <t>KERALAPATHANAMTHITTA</t>
  </si>
  <si>
    <t>KERALAPATHANAPURAM</t>
  </si>
  <si>
    <t>KERALAPEERUMADE</t>
  </si>
  <si>
    <t>KERALAPERINTHALMANNA</t>
  </si>
  <si>
    <t>KERALAPONNANI</t>
  </si>
  <si>
    <t>KERALAQUILANDY</t>
  </si>
  <si>
    <t>KERALARANNI</t>
  </si>
  <si>
    <t>KERALASULTHANBATHERY</t>
  </si>
  <si>
    <t>KERALATALAPPILLY</t>
  </si>
  <si>
    <t>KERALATALIPARAMBA</t>
  </si>
  <si>
    <t>KERALATHALASSERY</t>
  </si>
  <si>
    <t>KERALATHIRUVALLA</t>
  </si>
  <si>
    <t>KERALATHIRUVANANTHAPURAM</t>
  </si>
  <si>
    <t>KERALATHODUPUZHA</t>
  </si>
  <si>
    <t>KERALATHRISSUR</t>
  </si>
  <si>
    <t>KERALATIRUR</t>
  </si>
  <si>
    <t>KERALATIRURANGADI</t>
  </si>
  <si>
    <t>KERALATIRUVALLA</t>
  </si>
  <si>
    <t>KERALAUDUMBANCHOLA</t>
  </si>
  <si>
    <t>KERALAVADAKARA</t>
  </si>
  <si>
    <t>KERALAVAIKOM</t>
  </si>
  <si>
    <t>KERALAVYTHIRI</t>
  </si>
  <si>
    <t>LAKSHADWEEPAMINI</t>
  </si>
  <si>
    <t>LAKSHADWEEPANDROTT</t>
  </si>
  <si>
    <t>LAKSHADWEEPLAKSHADWEEP</t>
  </si>
  <si>
    <t>MADHYA PRADESHAGAR</t>
  </si>
  <si>
    <t>MADHYA PRADESHAJAIGARH</t>
  </si>
  <si>
    <t>MADHYA PRADESHALGI</t>
  </si>
  <si>
    <t>MADHYA PRADESHALIRAJPUR</t>
  </si>
  <si>
    <t>MADHYA PRADESHALOT</t>
  </si>
  <si>
    <t>MADHYA PRADESHAMARPATAN</t>
  </si>
  <si>
    <t>MADHYA PRADESHAMARWARA</t>
  </si>
  <si>
    <t>MADHYA PRADESHAMBAH</t>
  </si>
  <si>
    <t>MADHYA PRADESHAMLA</t>
  </si>
  <si>
    <t>MADHYA PRADESHANUPPUR</t>
  </si>
  <si>
    <t>MADHYA PRADESHARRODA</t>
  </si>
  <si>
    <t>MADHYA PRADESHASHOKNAGAR</t>
  </si>
  <si>
    <t>MADHYA PRADESHASHTA</t>
  </si>
  <si>
    <t>MADHYA PRADESHATER</t>
  </si>
  <si>
    <t>MADHYA PRADESHAYODHYA BYPASS ROAD,</t>
  </si>
  <si>
    <t>MADHYA PRADESHBABAI</t>
  </si>
  <si>
    <t>MADHYA PRADESHBADA-MALHERA</t>
  </si>
  <si>
    <t>MADHYA PRADESHBADNAGAR</t>
  </si>
  <si>
    <t>MADHYA PRADESHBADNAWAR</t>
  </si>
  <si>
    <t>MADHYA PRADESHBADOD</t>
  </si>
  <si>
    <t>MADHYA PRADESHBAGLI</t>
  </si>
  <si>
    <t>MADHYA PRADESHBAHORIBAND</t>
  </si>
  <si>
    <t>MADHYA PRADESHBAIHAR</t>
  </si>
  <si>
    <t>MADHYA PRADESHBAJNA</t>
  </si>
  <si>
    <t>MADHYA PRADESHBALAGHAT</t>
  </si>
  <si>
    <t>MADHYA PRADESHBALDEOGARH</t>
  </si>
  <si>
    <t>MADHYA PRADESHBANDA</t>
  </si>
  <si>
    <t>MADHYA PRADESHBANDHOGARH</t>
  </si>
  <si>
    <t>MADHYA PRADESHBANKHEDI</t>
  </si>
  <si>
    <t>MADHYA PRADESHBARAILY</t>
  </si>
  <si>
    <t>MADHYA PRADESHBARGHAT</t>
  </si>
  <si>
    <t>MADHYA PRADESHBARWAHA</t>
  </si>
  <si>
    <t>MADHYA PRADESHBARWANI</t>
  </si>
  <si>
    <t>MADHYA PRADESHBASODA</t>
  </si>
  <si>
    <t>MADHYA PRADESHBATIYAGARH</t>
  </si>
  <si>
    <t>MADHYA PRADESHBEDIYA</t>
  </si>
  <si>
    <t>MADHYA PRADESHBEGAMGANJ</t>
  </si>
  <si>
    <t>MADHYA PRADESHBEOHARI</t>
  </si>
  <si>
    <t>MADHYA PRADESHBERASIA</t>
  </si>
  <si>
    <t>MADHYA PRADESHBETUL</t>
  </si>
  <si>
    <t>MADHYA PRADESHBHADBHADA</t>
  </si>
  <si>
    <t>MADHYA PRADESHBHAGWANPURA</t>
  </si>
  <si>
    <t>MADHYA PRADESHBHAINSDEHI</t>
  </si>
  <si>
    <t>MADHYA PRADESHBHANDER</t>
  </si>
  <si>
    <t>MADHYA PRADESHBHANPURA</t>
  </si>
  <si>
    <t>MADHYA PRADESHBHAVRA</t>
  </si>
  <si>
    <t>MADHYA PRADESHBHEL</t>
  </si>
  <si>
    <t>MADHYA PRADESHBHERUGARH</t>
  </si>
  <si>
    <t>MADHYA PRADESHBHIKANGAON</t>
  </si>
  <si>
    <t>MADHYA PRADESHBHIND</t>
  </si>
  <si>
    <t>MADHYA PRADESHBHITARWAR</t>
  </si>
  <si>
    <t>MADHYA PRADESHBHOPAL</t>
  </si>
  <si>
    <t>MADHYA PRADESHBHOPAL MACT COLLEGE</t>
  </si>
  <si>
    <t>MADHYA PRADESHBIAORA</t>
  </si>
  <si>
    <t>MADHYA PRADESHBICHHIYA</t>
  </si>
  <si>
    <t>MADHYA PRADESHBICHHUA</t>
  </si>
  <si>
    <t>MADHYA PRADESHBIJAWAR</t>
  </si>
  <si>
    <t>MADHYA PRADESHBINA</t>
  </si>
  <si>
    <t>MADHYA PRADESHBIRLA NAGAR</t>
  </si>
  <si>
    <t>MADHYA PRADESHBUDHIYA</t>
  </si>
  <si>
    <t>MADHYA PRADESHBUDNI</t>
  </si>
  <si>
    <t>MADHYA PRADESHBURHANPUR</t>
  </si>
  <si>
    <t>MADHYA PRADESHCHACHAURA</t>
  </si>
  <si>
    <t>MADHYA PRADESHCHANDERI</t>
  </si>
  <si>
    <t>MADHYA PRADESHCHAURAI</t>
  </si>
  <si>
    <t>MADHYA PRADESHCHHATARPUR</t>
  </si>
  <si>
    <t>MADHYA PRADESHCHHINDWARA</t>
  </si>
  <si>
    <t>MADHYA PRADESHCHITRANGI</t>
  </si>
  <si>
    <t>MADHYA PRADESHCHURHAT</t>
  </si>
  <si>
    <t>MADHYA PRADESHCITY OF DUBAI.</t>
  </si>
  <si>
    <t>MADHYA PRADESHDABRA</t>
  </si>
  <si>
    <t>MADHYA PRADESHDAK BHAWAN</t>
  </si>
  <si>
    <t>MADHYA PRADESHDAMOH</t>
  </si>
  <si>
    <t>MADHYA PRADESHDARPAN COLONY</t>
  </si>
  <si>
    <t>MADHYA PRADESHDATIA</t>
  </si>
  <si>
    <t>MADHYA PRADESHDEORI</t>
  </si>
  <si>
    <t>MADHYA PRADESHDEOSAR</t>
  </si>
  <si>
    <t>MADHYA PRADESHDEPALPUR</t>
  </si>
  <si>
    <t>MADHYA PRADESHDEWAS</t>
  </si>
  <si>
    <t>MADHYA PRADESHDHAR</t>
  </si>
  <si>
    <t>MADHYA PRADESHDHARAMPURI</t>
  </si>
  <si>
    <t>MADHYA PRADESHDINDORI</t>
  </si>
  <si>
    <t>MADHYA PRADESHDUDHICHUA</t>
  </si>
  <si>
    <t>MADHYA PRADESHGADARWARA</t>
  </si>
  <si>
    <t>MADHYA PRADESHGAIRATGANJ</t>
  </si>
  <si>
    <t>MADHYA PRADESHGALLA MANDI</t>
  </si>
  <si>
    <t>MADHYA PRADESHGANDHI NAGAR</t>
  </si>
  <si>
    <t>MADHYA PRADESHGARHAKOTA</t>
  </si>
  <si>
    <t>MADHYA PRADESHGAROTH</t>
  </si>
  <si>
    <t>MADHYA PRADESHGAURIHAR</t>
  </si>
  <si>
    <t>MADHYA PRADESHGHANSAUR</t>
  </si>
  <si>
    <t>MADHYA PRADESHGHATIYA</t>
  </si>
  <si>
    <t>MADHYA PRADESHGIRD</t>
  </si>
  <si>
    <t>MADHYA PRADESHGOHAD</t>
  </si>
  <si>
    <t>MADHYA PRADESHGOHARGANJ</t>
  </si>
  <si>
    <t>MADHYA PRADESHGOPADBANAS</t>
  </si>
  <si>
    <t>MADHYA PRADESHGOTEGAON</t>
  </si>
  <si>
    <t>MADHYA PRADESHGOUR NAGAR</t>
  </si>
  <si>
    <t>MADHYA PRADESHGUNA</t>
  </si>
  <si>
    <t>MADHYA PRADESHGUNNOR</t>
  </si>
  <si>
    <t>MADHYA PRADESHGURH</t>
  </si>
  <si>
    <t>MADHYA PRADESHGYARASPUR</t>
  </si>
  <si>
    <t>MADHYA PRADESHHANUMANA</t>
  </si>
  <si>
    <t>MADHYA PRADESHHARDA</t>
  </si>
  <si>
    <t>MADHYA PRADESHHARSUD</t>
  </si>
  <si>
    <t>MADHYA PRADESHHATTA</t>
  </si>
  <si>
    <t>MADHYA PRADESHHOSHANGABAD</t>
  </si>
  <si>
    <t>MADHYA PRADESHHUZUR</t>
  </si>
  <si>
    <t>MADHYA PRADESHICHHAWAR</t>
  </si>
  <si>
    <t>MADHYA PRADESHINDORE</t>
  </si>
  <si>
    <t>MADHYA PRADESHISAGARH</t>
  </si>
  <si>
    <t>MADHYA PRADESHITARSI</t>
  </si>
  <si>
    <t>MADHYA PRADESHJABALPUR</t>
  </si>
  <si>
    <t>MADHYA PRADESHJABERA</t>
  </si>
  <si>
    <t>MADHYA PRADESHJAISINGHNAGAR</t>
  </si>
  <si>
    <t>MADHYA PRADESHJAITHARI</t>
  </si>
  <si>
    <t>MADHYA PRADESHJAMAI</t>
  </si>
  <si>
    <t>MADHYA PRADESHJAORA</t>
  </si>
  <si>
    <t>MADHYA PRADESHJATARA</t>
  </si>
  <si>
    <t>MADHYA PRADESHJAWAD</t>
  </si>
  <si>
    <t>MADHYA PRADESHJHABUA</t>
  </si>
  <si>
    <t>MADHYA PRADESHJHIRNIYA</t>
  </si>
  <si>
    <t>MADHYA PRADESHJIRAPUR</t>
  </si>
  <si>
    <t>MADHYA PRADESHJOBAT</t>
  </si>
  <si>
    <t>MADHYA PRADESHJOURA</t>
  </si>
  <si>
    <t>MADHYA PRADESHKAILARAS</t>
  </si>
  <si>
    <t>MADHYA PRADESHKALAPIPAL</t>
  </si>
  <si>
    <t>MADHYA PRADESHKANNOD</t>
  </si>
  <si>
    <t>MADHYA PRADESHKARAHAL</t>
  </si>
  <si>
    <t>MADHYA PRADESHKARAHI</t>
  </si>
  <si>
    <t>MADHYA PRADESHKARERA</t>
  </si>
  <si>
    <t>MADHYA PRADESHKASRAWAD</t>
  </si>
  <si>
    <t>MADHYA PRADESHKATANGI</t>
  </si>
  <si>
    <t>MADHYA PRADESHKEOLARI</t>
  </si>
  <si>
    <t>MADHYA PRADESHKESLI</t>
  </si>
  <si>
    <t>MADHYA PRADESHKHACHAROD</t>
  </si>
  <si>
    <t>MADHYA PRADESHKHANDWA</t>
  </si>
  <si>
    <t>MADHYA PRADESHKHANIYADHANA</t>
  </si>
  <si>
    <t>MADHYA PRADESHKHARGONE</t>
  </si>
  <si>
    <t>MADHYA PRADESHKHATEGAON</t>
  </si>
  <si>
    <t>MADHYA PRADESHKHILCHIPUR</t>
  </si>
  <si>
    <t>MADHYA PRADESHKHIRKIYA</t>
  </si>
  <si>
    <t>MADHYA PRADESHKHURAI</t>
  </si>
  <si>
    <t>MADHYA PRADESHKIRNAPUR</t>
  </si>
  <si>
    <t>MADHYA PRADESHKOLARAS</t>
  </si>
  <si>
    <t>MADHYA PRADESHKOTMA</t>
  </si>
  <si>
    <t>MADHYA PRADESHKUKSHI</t>
  </si>
  <si>
    <t>MADHYA PRADESHKUMBHRAJ</t>
  </si>
  <si>
    <t>MADHYA PRADESHKUNDAM</t>
  </si>
  <si>
    <t>MADHYA PRADESHKURAI</t>
  </si>
  <si>
    <t>MADHYA PRADESHKURWAI</t>
  </si>
  <si>
    <t>MADHYA PRADESHLAHAR</t>
  </si>
  <si>
    <t>MADHYA PRADESHLAKHNADON</t>
  </si>
  <si>
    <t>MADHYA PRADESHLANJI</t>
  </si>
  <si>
    <t>MADHYA PRADESHLASHKAR</t>
  </si>
  <si>
    <t>MADHYA PRADESHLATERI</t>
  </si>
  <si>
    <t>MADHYA PRADESHLAUNDI</t>
  </si>
  <si>
    <t>MADHYA PRADESHMAHAVEER NAGAR</t>
  </si>
  <si>
    <t>MADHYA PRADESHMAHESHWAR</t>
  </si>
  <si>
    <t>MADHYA PRADESHMAHIDPUR</t>
  </si>
  <si>
    <t>MADHYA PRADESHMAIHAR</t>
  </si>
  <si>
    <t>MADHYA PRADESHMAJAULI</t>
  </si>
  <si>
    <t>MADHYA PRADESHMALHARGARH</t>
  </si>
  <si>
    <t>MADHYA PRADESHMANASA</t>
  </si>
  <si>
    <t>MADHYA PRADESHMANAWAR</t>
  </si>
  <si>
    <t>MADHYA PRADESHMANDLA</t>
  </si>
  <si>
    <t>MADHYA PRADESHMANDSAUR</t>
  </si>
  <si>
    <t>MADHYA PRADESHMANGAL NAGAR</t>
  </si>
  <si>
    <t>MADHYA PRADESHMAUGANJ</t>
  </si>
  <si>
    <t>MADHYA PRADESHMEGHNAGAR</t>
  </si>
  <si>
    <t>MADHYA PRADESHMEHGAON</t>
  </si>
  <si>
    <t>MADHYA PRADESHMHOW</t>
  </si>
  <si>
    <t>MADHYA PRADESHMIHONA</t>
  </si>
  <si>
    <t>MADHYA PRADESHMOMAN BADODIYA</t>
  </si>
  <si>
    <t>MADHYA PRADESHMORENA</t>
  </si>
  <si>
    <t>MADHYA PRADESHMOTI MAHAL</t>
  </si>
  <si>
    <t>MADHYA PRADESHMULTAI</t>
  </si>
  <si>
    <t>MADHYA PRADESHMUNGAOLI</t>
  </si>
  <si>
    <t>MADHYA PRADESHMURWARA</t>
  </si>
  <si>
    <t>MADHYA PRADESHNAGDA</t>
  </si>
  <si>
    <t>MADHYA PRADESHNAGOD</t>
  </si>
  <si>
    <t>MADHYA PRADESHNAIHAT</t>
  </si>
  <si>
    <t>MADHYA PRADESHNAINPUR</t>
  </si>
  <si>
    <t>MADHYA PRADESHNALKHEDA</t>
  </si>
  <si>
    <t>MADHYA PRADESHNANAKHEDA</t>
  </si>
  <si>
    <t>MADHYA PRADESHNARSIMHAPUR</t>
  </si>
  <si>
    <t>MADHYA PRADESHNARSINGHGARH</t>
  </si>
  <si>
    <t>MADHYA PRADESHNARWAR</t>
  </si>
  <si>
    <t>MADHYA PRADESHNASRULLAGANJ</t>
  </si>
  <si>
    <t>MADHYA PRADESHNATERAN</t>
  </si>
  <si>
    <t>MADHYA PRADESHNAYA BAZAR</t>
  </si>
  <si>
    <t>MADHYA PRADESHNEEMUCH</t>
  </si>
  <si>
    <t>MADHYA PRADESHNEPANAGAR</t>
  </si>
  <si>
    <t>MADHYA PRADESHNISHATPURA</t>
  </si>
  <si>
    <t>MADHYA PRADESHNIWARI</t>
  </si>
  <si>
    <t>MADHYA PRADESHNIWAS</t>
  </si>
  <si>
    <t>MADHYA PRADESHNOWGONG</t>
  </si>
  <si>
    <t>MADHYA PRADESHPALERA</t>
  </si>
  <si>
    <t>MADHYA PRADESHPANDHANA</t>
  </si>
  <si>
    <t>MADHYA PRADESHPANDHURNA</t>
  </si>
  <si>
    <t>MADHYA PRADESHPANNA</t>
  </si>
  <si>
    <t>MADHYA PRADESHPANSEMAL</t>
  </si>
  <si>
    <t>MADHYA PRADESHPARASIA</t>
  </si>
  <si>
    <t>MADHYA PRADESHPATAN</t>
  </si>
  <si>
    <t>MADHYA PRADESHPATERA</t>
  </si>
  <si>
    <t>MADHYA PRADESHPATHARIA</t>
  </si>
  <si>
    <t>MADHYA PRADESHPAWAI</t>
  </si>
  <si>
    <t>MADHYA PRADESHPETLAWAD</t>
  </si>
  <si>
    <t>MADHYA PRADESHPICHHORE</t>
  </si>
  <si>
    <t>MADHYA PRADESHPIPARIYA</t>
  </si>
  <si>
    <t>MADHYA PRADESHPIPLODA</t>
  </si>
  <si>
    <t>MADHYA PRADESHPOHARI</t>
  </si>
  <si>
    <t>MADHYA PRADESHPORSA</t>
  </si>
  <si>
    <t>MADHYA PRADESHPRITHVIPUR</t>
  </si>
  <si>
    <t>MADHYA PRADESHPUSHPARAJGARH</t>
  </si>
  <si>
    <t>MADHYA PRADESHRAGHOGARH</t>
  </si>
  <si>
    <t>MADHYA PRADESHRAGHURAJ NAGAR</t>
  </si>
  <si>
    <t>MADHYA PRADESHRAGHURAJNAGAR</t>
  </si>
  <si>
    <t>MADHYA PRADESHRAHATGARH</t>
  </si>
  <si>
    <t>MADHYA PRADESHRAISEN</t>
  </si>
  <si>
    <t>MADHYA PRADESHRAJ BHAWAN</t>
  </si>
  <si>
    <t>MADHYA PRADESHRAJGARH</t>
  </si>
  <si>
    <t>MADHYA PRADESHRAJNAGAR</t>
  </si>
  <si>
    <t>MADHYA PRADESHRAJPUR</t>
  </si>
  <si>
    <t>MADHYA PRADESHRAMNAGAR</t>
  </si>
  <si>
    <t>MADHYA PRADESHRAMPUR NAIKIN</t>
  </si>
  <si>
    <t>MADHYA PRADESHRAMPUR-BAGHELAN</t>
  </si>
  <si>
    <t>MADHYA PRADESHRANAPUR</t>
  </si>
  <si>
    <t>MADHYA PRADESHRASALPURA</t>
  </si>
  <si>
    <t>MADHYA PRADESHRATLAM</t>
  </si>
  <si>
    <t>MADHYA PRADESHRON</t>
  </si>
  <si>
    <t>MADHYA PRADESHSABALGARH</t>
  </si>
  <si>
    <t>MADHYA PRADESHSAGAR</t>
  </si>
  <si>
    <t>MADHYA PRADESHSALICHAUKA</t>
  </si>
  <si>
    <t>MADHYA PRADESHSANWER</t>
  </si>
  <si>
    <t>MADHYA PRADESHSARANGPUR</t>
  </si>
  <si>
    <t>MADHYA PRADESHSARDARPUR</t>
  </si>
  <si>
    <t>MADHYA PRADESHSATPUDA</t>
  </si>
  <si>
    <t>MADHYA PRADESHSAUSAR</t>
  </si>
  <si>
    <t>MADHYA PRADESHSAWER</t>
  </si>
  <si>
    <t>MADHYA PRADESHSEHORE</t>
  </si>
  <si>
    <t>MADHYA PRADESHSENDHWA</t>
  </si>
  <si>
    <t>MADHYA PRADESHSEONDHA</t>
  </si>
  <si>
    <t>MADHYA PRADESHSEONI</t>
  </si>
  <si>
    <t>MADHYA PRADESHSEONI-MALWA</t>
  </si>
  <si>
    <t>MADHYA PRADESHSHAHNAGAR</t>
  </si>
  <si>
    <t>MADHYA PRADESHSHAHPUR</t>
  </si>
  <si>
    <t>MADHYA PRADESHSHAHPURA</t>
  </si>
  <si>
    <t>MADHYA PRADESHSHAJAPUR</t>
  </si>
  <si>
    <t>MADHYA PRADESHSHEOPUR</t>
  </si>
  <si>
    <t>MADHYA PRADESHSHIKSHA MANDAL</t>
  </si>
  <si>
    <t>MADHYA PRADESHSHIVPURI</t>
  </si>
  <si>
    <t>MADHYA PRADESHSHUJALPUR</t>
  </si>
  <si>
    <t>MADHYA PRADESHSIHAWAL</t>
  </si>
  <si>
    <t>MADHYA PRADESHSIHORA</t>
  </si>
  <si>
    <t>MADHYA PRADESHSILWANI</t>
  </si>
  <si>
    <t>MADHYA PRADESHSINGRAULI</t>
  </si>
  <si>
    <t>HIMACHAL PRADESHSIRMAUR</t>
  </si>
  <si>
    <t>MADHYA PRADESHSIRONJ</t>
  </si>
  <si>
    <t>MADHYA PRADESHSITAMAU</t>
  </si>
  <si>
    <t>MADHYA PRADESHSOHAGPUR</t>
  </si>
  <si>
    <t>MADHYA PRADESHSONKATCH</t>
  </si>
  <si>
    <t>MADHYA PRADESHSUSNER</t>
  </si>
  <si>
    <t>MADHYA PRADESHTAMIA</t>
  </si>
  <si>
    <t>MADHYA PRADESHTARANA</t>
  </si>
  <si>
    <t>MADHYA PRADESHTENDUKHEDA</t>
  </si>
  <si>
    <t>MADHYA PRADESHTEONTHAR</t>
  </si>
  <si>
    <t>MADHYA PRADESHTHANDLA</t>
  </si>
  <si>
    <t>MADHYA PRADESHTHIKRI</t>
  </si>
  <si>
    <t>MADHYA PRADESHTIKAMGARH</t>
  </si>
  <si>
    <t>MADHYA PRADESHTILLAKNAGAR</t>
  </si>
  <si>
    <t>MADHYA PRADESHTIMARNI</t>
  </si>
  <si>
    <t>MADHYA PRADESHTONK KHURD</t>
  </si>
  <si>
    <t>MADHYA PRADESHTRILANGA</t>
  </si>
  <si>
    <t>MADHYA PRADESHUDAIPURA</t>
  </si>
  <si>
    <t>MADHYA PRADESHUJJAIN</t>
  </si>
  <si>
    <t>MADHYA PRADESHUNCHEHARA</t>
  </si>
  <si>
    <t>MADHYA PRADESHVIDISHA</t>
  </si>
  <si>
    <t>MADHYA PRADESHVIJAYPUR</t>
  </si>
  <si>
    <t>MADHYA PRADESHVIJAYRAGHAVGARH</t>
  </si>
  <si>
    <t>MADHYA PRADESHWARASEONI</t>
  </si>
  <si>
    <t>MAHARASHTRAACHALPUR</t>
  </si>
  <si>
    <t>MAHARASHTRAAHERI</t>
  </si>
  <si>
    <t>MAHARASHTRAAHMADNAGAR</t>
  </si>
  <si>
    <t>MAHARASHTRAAHMADPUR</t>
  </si>
  <si>
    <t>MAHARASHTRAAHMEDNAGAR</t>
  </si>
  <si>
    <t>MAHARASHTRAAJRA</t>
  </si>
  <si>
    <t>MAHARASHTRAAKKALKOT</t>
  </si>
  <si>
    <t>MAHARASHTRAAKKALKUWA</t>
  </si>
  <si>
    <t>MAHARASHTRAAKOLA</t>
  </si>
  <si>
    <t>MAHARASHTRAAKOT</t>
  </si>
  <si>
    <t>MAHARASHTRAAKRANI</t>
  </si>
  <si>
    <t>MAHARASHTRAALIBAG</t>
  </si>
  <si>
    <t>MAHARASHTRAAMALNER</t>
  </si>
  <si>
    <t>MAHARASHTRAAMBAD</t>
  </si>
  <si>
    <t>MAHARASHTRAAMBAJOGAI</t>
  </si>
  <si>
    <t>MAHARASHTRAAMBARNATH</t>
  </si>
  <si>
    <t>MAHARASHTRAAMBEGAON</t>
  </si>
  <si>
    <t>MAHARASHTRAAMBERNATH</t>
  </si>
  <si>
    <t>MAHARASHTRAAMBERNATH WEST, THANE</t>
  </si>
  <si>
    <t>MAHARASHTRAAMGAON</t>
  </si>
  <si>
    <t>MAHARASHTRAAMRAVATI</t>
  </si>
  <si>
    <t>MAHARASHTRAANJANGAON</t>
  </si>
  <si>
    <t>MAHARASHTRAANJANGAON SURJI</t>
  </si>
  <si>
    <t>MAHARASHTRAARDHAPUR</t>
  </si>
  <si>
    <t>MAHARASHTRAARJUNI MORGAON</t>
  </si>
  <si>
    <t>MAHARASHTRAARMORI</t>
  </si>
  <si>
    <t>MAHARASHTRAARNI</t>
  </si>
  <si>
    <t>MAHARASHTRAARVI</t>
  </si>
  <si>
    <t>MAHARASHTRAASHTI</t>
  </si>
  <si>
    <t>MAHARASHTRAATPADI</t>
  </si>
  <si>
    <t>MAHARASHTRAAUNDHA NAGNATH</t>
  </si>
  <si>
    <t>MAHARASHTRAAURANGABAD</t>
  </si>
  <si>
    <t>MAHARASHTRAAUSA</t>
  </si>
  <si>
    <t>MAHARASHTRABABHULGAON</t>
  </si>
  <si>
    <t>MAHARASHTRABADNAPUR</t>
  </si>
  <si>
    <t>MAHARASHTRABALAPUR</t>
  </si>
  <si>
    <t>MAHARASHTRABALLARPUR</t>
  </si>
  <si>
    <t>MAHARASHTRABARAMATI</t>
  </si>
  <si>
    <t>MAHARASHTRABARSHI</t>
  </si>
  <si>
    <t>MAHARASHTRABARSHITAKLI</t>
  </si>
  <si>
    <t>MAHARASHTRABASMATHNAGAR</t>
  </si>
  <si>
    <t>MAHARASHTRABASSEIN</t>
  </si>
  <si>
    <t>MAHARASHTRABAVDA</t>
  </si>
  <si>
    <t>MAHARASHTRABHADGAON</t>
  </si>
  <si>
    <t>MAHARASHTRABHADRAVATI</t>
  </si>
  <si>
    <t>MAHARASHTRABHANDARA</t>
  </si>
  <si>
    <t>MAHARASHTRABHATKULI</t>
  </si>
  <si>
    <t>MAHARASHTRABHIWANDI</t>
  </si>
  <si>
    <t>MAHARASHTRABHIWAPUR</t>
  </si>
  <si>
    <t>MAHARASHTRABHOKAR</t>
  </si>
  <si>
    <t>MAHARASHTRABHOR</t>
  </si>
  <si>
    <t>MAHARASHTRABHUDARGAD</t>
  </si>
  <si>
    <t>MAHARASHTRABHUM</t>
  </si>
  <si>
    <t>MAHARASHTRABHUSAWAL</t>
  </si>
  <si>
    <t>MAHARASHTRABID</t>
  </si>
  <si>
    <t>MAHARASHTRABILOLI</t>
  </si>
  <si>
    <t>MAHARASHTRABODWAD</t>
  </si>
  <si>
    <t>MAHARASHTRABORIVALI EAST</t>
  </si>
  <si>
    <t>MAHARASHTRABORIVALI WEST</t>
  </si>
  <si>
    <t>MAHARASHTRABRAHMAPURI</t>
  </si>
  <si>
    <t>MAHARASHTRABULDHANA</t>
  </si>
  <si>
    <t>MAHARASHTRACHAKUR</t>
  </si>
  <si>
    <t>MAHARASHTRACHALISGAON</t>
  </si>
  <si>
    <t>MAHARASHTRACHAMORSHI</t>
  </si>
  <si>
    <t>MAHARASHTRACHANDGAD</t>
  </si>
  <si>
    <t>MAHARASHTRACHANDRAPUR</t>
  </si>
  <si>
    <t>MAHARASHTRACHANDUR BAZAR</t>
  </si>
  <si>
    <t>MAHARASHTRACHANDUR RAILWAY</t>
  </si>
  <si>
    <t>MAHARASHTRACHANDVAD</t>
  </si>
  <si>
    <t>MAHARASHTRACHIKHALDARA</t>
  </si>
  <si>
    <t>MAHARASHTRACHIKHLI</t>
  </si>
  <si>
    <t>MAHARASHTRACHIMUR</t>
  </si>
  <si>
    <t>MAHARASHTRACHIPLUN</t>
  </si>
  <si>
    <t>MAHARASHTRACHOPDA</t>
  </si>
  <si>
    <t>MAHARASHTRADAHANU</t>
  </si>
  <si>
    <t>MAHARASHTRADAHISAR EAST</t>
  </si>
  <si>
    <t>MAHARASHTRADAPOLI</t>
  </si>
  <si>
    <t>MAHARASHTRADARWHA</t>
  </si>
  <si>
    <t>MAHARASHTRADARYAPUR</t>
  </si>
  <si>
    <t>MAHARASHTRADAUND</t>
  </si>
  <si>
    <t>MAHARASHTRADEGLUR</t>
  </si>
  <si>
    <t>MAHARASHTRADEOLI</t>
  </si>
  <si>
    <t>MAHARASHTRADEORI</t>
  </si>
  <si>
    <t>MAHARASHTRADESAIGANJ (VADASA)</t>
  </si>
  <si>
    <t>MAHARASHTRADEVGAD</t>
  </si>
  <si>
    <t>MAHARASHTRADEVLA</t>
  </si>
  <si>
    <t>MAHARASHTRADHAMANGAON</t>
  </si>
  <si>
    <t>MAHARASHTRADHAMANGAON RLY</t>
  </si>
  <si>
    <t>MAHARASHTRADHANORA</t>
  </si>
  <si>
    <t>MAHARASHTRADHARANGAON</t>
  </si>
  <si>
    <t>MAHARASHTRADHARMABAD</t>
  </si>
  <si>
    <t>MAHARASHTRADHARNI</t>
  </si>
  <si>
    <t>MAHARASHTRADHARUR</t>
  </si>
  <si>
    <t>MAHARASHTRADHULE</t>
  </si>
  <si>
    <t>MAHARASHTRADIGRAS</t>
  </si>
  <si>
    <t>MAHARASHTRADINDORI</t>
  </si>
  <si>
    <t>MAHARASHTRADODAMARG</t>
  </si>
  <si>
    <t>MAHARASHTRAEDLABAD</t>
  </si>
  <si>
    <t>MAHARASHTRAERANDOL</t>
  </si>
  <si>
    <t>MAHARASHTRAETTAPALLI</t>
  </si>
  <si>
    <t>MAHARASHTRAGADHINGLAJ</t>
  </si>
  <si>
    <t>MAHARASHTRAGANGAKHED</t>
  </si>
  <si>
    <t>MAHARASHTRAGANGAPUR</t>
  </si>
  <si>
    <t>MAHARASHTRAGEORAI</t>
  </si>
  <si>
    <t>MAHARASHTRAGHANSAWANGI</t>
  </si>
  <si>
    <t>MAHARASHTRAGHATANJI</t>
  </si>
  <si>
    <t>MAHARASHTRAGONDIYA</t>
  </si>
  <si>
    <t>MAHARASHTRAGONDPIPRI</t>
  </si>
  <si>
    <t>MAHARASHTRAGOREGAON</t>
  </si>
  <si>
    <t>MAHARASHTRAGOREGAON EAST</t>
  </si>
  <si>
    <t>MAHARASHTRAGOREGAON WEST</t>
  </si>
  <si>
    <t>MAHARASHTRAGUHAGAR</t>
  </si>
  <si>
    <t>MAHARASHTRAHADGAON</t>
  </si>
  <si>
    <t>MAHARASHTRAHATKANANGALE</t>
  </si>
  <si>
    <t>MAHARASHTRAHAVELI</t>
  </si>
  <si>
    <t>MAHARASHTRAHIMAYATNAGAR</t>
  </si>
  <si>
    <t>MAHARASHTRAHINGANGHAT</t>
  </si>
  <si>
    <t>MAHARASHTRAHINGNA</t>
  </si>
  <si>
    <t>MAHARASHTRAHINGOLI</t>
  </si>
  <si>
    <t>MAHARASHTRAIGATPURI</t>
  </si>
  <si>
    <t>MAHARASHTRAINDAPUR</t>
  </si>
  <si>
    <t>MAHARASHTRAJAFFERABAD</t>
  </si>
  <si>
    <t>MAHARASHTRAJALGAON</t>
  </si>
  <si>
    <t>MAHARASHTRAJALGAON (JAMOD)</t>
  </si>
  <si>
    <t>MAHARASHTRAJALKOT</t>
  </si>
  <si>
    <t>MAHARASHTRAJALNA</t>
  </si>
  <si>
    <t>MAHARASHTRAJAMKHED</t>
  </si>
  <si>
    <t>MAHARASHTRAJAMNER</t>
  </si>
  <si>
    <t>MAHARASHTRAJAT</t>
  </si>
  <si>
    <t>MAHARASHTRAJAWHAR</t>
  </si>
  <si>
    <t>MAHARASHTRAJINTUR</t>
  </si>
  <si>
    <t>MAHARASHTRAJOGESHWARI EAST</t>
  </si>
  <si>
    <t>MAHARASHTRAJOGESHWARI WEST</t>
  </si>
  <si>
    <t>MAHARASHTRAJUNNAR</t>
  </si>
  <si>
    <t>MAHARASHTRAKAGAL</t>
  </si>
  <si>
    <t>MAHARASHTRAKAIJ</t>
  </si>
  <si>
    <t>MAHARASHTRAKALAMB</t>
  </si>
  <si>
    <t>MAHARASHTRAKALAMBOLI</t>
  </si>
  <si>
    <t>MAHARASHTRAKALAMESHWAR</t>
  </si>
  <si>
    <t>MAHARASHTRAKALAMNURI</t>
  </si>
  <si>
    <t>MAHARASHTRAKALWAN</t>
  </si>
  <si>
    <t>MAHARASHTRAKALYAN</t>
  </si>
  <si>
    <t>MAHARASHTRAKAMTHI</t>
  </si>
  <si>
    <t>MAHARASHTRAKANDHAR</t>
  </si>
  <si>
    <t>MAHARASHTRAKANDIVALI EAST</t>
  </si>
  <si>
    <t>MAHARASHTRAKANDIVALI WEST</t>
  </si>
  <si>
    <t>MAHARASHTRAKANKAVLI</t>
  </si>
  <si>
    <t>MAHARASHTRAKANNAD</t>
  </si>
  <si>
    <t>MAHARASHTRAKARAD</t>
  </si>
  <si>
    <t>MAHARASHTRAKARANJA</t>
  </si>
  <si>
    <t>MAHARASHTRAKARJAT</t>
  </si>
  <si>
    <t>MAHARASHTRAKARMALA</t>
  </si>
  <si>
    <t>MAHARASHTRAKARVIR</t>
  </si>
  <si>
    <t>MAHARASHTRAKATOL</t>
  </si>
  <si>
    <t>MAHARASHTRAKAVATHE MAHANKAL</t>
  </si>
  <si>
    <t>MAHARASHTRAKELAPUR</t>
  </si>
  <si>
    <t>MAHARASHTRAKHALAPUR</t>
  </si>
  <si>
    <t>MAHARASHTRAKHAMGAON</t>
  </si>
  <si>
    <t>MAHARASHTRAKHANAPUR</t>
  </si>
  <si>
    <t>MAHARASHTRAKHANDALA</t>
  </si>
  <si>
    <t>MAHARASHTRAKHATAV</t>
  </si>
  <si>
    <t>MAHARASHTRAKHED</t>
  </si>
  <si>
    <t>MAHARASHTRAKHULDABAD</t>
  </si>
  <si>
    <t>MAHARASHTRAKINWAT</t>
  </si>
  <si>
    <t>MAHARASHTRAKOLHAPUR</t>
  </si>
  <si>
    <t>MAHARASHTRAKOPARGAON</t>
  </si>
  <si>
    <t>MAHARASHTRAKOPERGAON</t>
  </si>
  <si>
    <t>MAHARASHTRAKORCHI</t>
  </si>
  <si>
    <t>MAHARASHTRAKOREGAON</t>
  </si>
  <si>
    <t>MAHARASHTRAKORPHANA</t>
  </si>
  <si>
    <t>MAHARASHTRAKUDAL</t>
  </si>
  <si>
    <t>MAHARASHTRAKUHI</t>
  </si>
  <si>
    <t>MAHARASHTRAKUNJ NEW</t>
  </si>
  <si>
    <t>MAHARASHTRALAKHANDUR</t>
  </si>
  <si>
    <t>MAHARASHTRALAKHANI</t>
  </si>
  <si>
    <t>MAHARASHTRALAKHNI</t>
  </si>
  <si>
    <t>MAHARASHTRALANJA</t>
  </si>
  <si>
    <t>MAHARASHTRALATUR</t>
  </si>
  <si>
    <t>MAHARASHTRALOHA</t>
  </si>
  <si>
    <t>MAHARASHTRALONAR</t>
  </si>
  <si>
    <t>MAHARASHTRAMADHA</t>
  </si>
  <si>
    <t>MAHARASHTRAMAHAD</t>
  </si>
  <si>
    <t>MAHARASHTRAMAHAGAON</t>
  </si>
  <si>
    <t>MAHARASHTRAMAHOOR</t>
  </si>
  <si>
    <t>MAHARASHTRAMAJAL</t>
  </si>
  <si>
    <t>MAHARASHTRAMALAD EAST</t>
  </si>
  <si>
    <t>MAHARASHTRAMALAD WEST</t>
  </si>
  <si>
    <t>MAHARASHTRAMALEGAON</t>
  </si>
  <si>
    <t>MAHARASHTRAMALKAPUR</t>
  </si>
  <si>
    <t>MAHARASHTRAMALSHIRAS</t>
  </si>
  <si>
    <t>MAHARASHTRAMALSIRAS</t>
  </si>
  <si>
    <t>MAHARASHTRAMALWAN</t>
  </si>
  <si>
    <t>MAHARASHTRAMAN</t>
  </si>
  <si>
    <t>MAHARASHTRAMANDANGAD</t>
  </si>
  <si>
    <t>MAHARASHTRAMANGALVEDHA</t>
  </si>
  <si>
    <t>MAHARASHTRAMANGAON</t>
  </si>
  <si>
    <t>MAHARASHTRAMANMANGALAM</t>
  </si>
  <si>
    <t>MAHARASHTRAMANTHA</t>
  </si>
  <si>
    <t>MAHARASHTRAMANWATH</t>
  </si>
  <si>
    <t>MAHARASHTRAMAREGAON</t>
  </si>
  <si>
    <t>MAHARASHTRAMAUDA</t>
  </si>
  <si>
    <t>MAHARASHTRAMAVAL</t>
  </si>
  <si>
    <t>MAHARASHTRAMAWAL</t>
  </si>
  <si>
    <t>MAHARASHTRAMEHKAR</t>
  </si>
  <si>
    <t>MAHARASHTRAMHASLA</t>
  </si>
  <si>
    <t>MAHARASHTRAMIRAJ</t>
  </si>
  <si>
    <t>MAHARASHTRAMOHADI</t>
  </si>
  <si>
    <t>MAHARASHTRAMOHOL</t>
  </si>
  <si>
    <t>MAHARASHTRAMOKHADA</t>
  </si>
  <si>
    <t>MAHARASHTRAMORE, PS KOTWALI</t>
  </si>
  <si>
    <t>MAHARASHTRAMORSHI</t>
  </si>
  <si>
    <t>MAHARASHTRAMOTALA</t>
  </si>
  <si>
    <t>MAHARASHTRAMOTERA</t>
  </si>
  <si>
    <t>MAHARASHTRAMUKHED</t>
  </si>
  <si>
    <t>MAHARASHTRAMUL</t>
  </si>
  <si>
    <t>MAHARASHTRAMULSHI</t>
  </si>
  <si>
    <t>MAHARASHTRAMUMBAI</t>
  </si>
  <si>
    <t>MAHARASHTRAMURBAD</t>
  </si>
  <si>
    <t>MAHARASHTRANAGAR , DELHI</t>
  </si>
  <si>
    <t>MAHARASHTRANAGBHIR</t>
  </si>
  <si>
    <t>MAHARASHTRANAGPUR</t>
  </si>
  <si>
    <t>MAHARASHTRANAIGAON</t>
  </si>
  <si>
    <t>MAHARASHTRANANDED</t>
  </si>
  <si>
    <t>MAHARASHTRANANDGAON</t>
  </si>
  <si>
    <t>MAHARASHTRANANDGAON KHANDESHWAR</t>
  </si>
  <si>
    <t>MAHARASHTRANANDURA</t>
  </si>
  <si>
    <t>MAHARASHTRANANDURBAR</t>
  </si>
  <si>
    <t>MAHARASHTRANARKHED</t>
  </si>
  <si>
    <t>MAHARASHTRANASHIK</t>
  </si>
  <si>
    <t>MAHARASHTRANAVI  MUMBAI</t>
  </si>
  <si>
    <t>MAHARASHTRANAVI MUMBAI</t>
  </si>
  <si>
    <t>MAHARASHTRANAVI MUMBAI - 400614</t>
  </si>
  <si>
    <t>MAHARASHTRANAWAPUR</t>
  </si>
  <si>
    <t>MAHARASHTRANER</t>
  </si>
  <si>
    <t>MAHARASHTRANEVASA</t>
  </si>
  <si>
    <t>MAHARASHTRANILANGA</t>
  </si>
  <si>
    <t>MAHARASHTRANIPHAD</t>
  </si>
  <si>
    <t>MAHARASHTRANORTH SOLAPUR</t>
  </si>
  <si>
    <t>MAHARASHTRAOSMANABAD</t>
  </si>
  <si>
    <t>MAHARASHTRAPACHORA</t>
  </si>
  <si>
    <t>MAHARASHTRAPAITHAN</t>
  </si>
  <si>
    <t>MAHARASHTRAPALAM</t>
  </si>
  <si>
    <t>MAHARASHTRAPALGHAR</t>
  </si>
  <si>
    <t>MAHARASHTRAPALUS</t>
  </si>
  <si>
    <t>MAHARASHTRAPANDHARPUR</t>
  </si>
  <si>
    <t>MAHARASHTRAPANHALA</t>
  </si>
  <si>
    <t>MAHARASHTRAPANVEL</t>
  </si>
  <si>
    <t>MAHARASHTRAPARANDA</t>
  </si>
  <si>
    <t>MAHARASHTRAPARATWADA</t>
  </si>
  <si>
    <t>MAHARASHTRAPARBHANI</t>
  </si>
  <si>
    <t>MAHARASHTRAPARLI</t>
  </si>
  <si>
    <t>MAHARASHTRAPARNER</t>
  </si>
  <si>
    <t>MAHARASHTRAPAROLA</t>
  </si>
  <si>
    <t>MAHARASHTRAPARSEONI</t>
  </si>
  <si>
    <t>MAHARASHTRAPARTUR</t>
  </si>
  <si>
    <t>MAHARASHTRAPATHARDI</t>
  </si>
  <si>
    <t>MAHARASHTRAPATHRI</t>
  </si>
  <si>
    <t>MAHARASHTRAPATODA</t>
  </si>
  <si>
    <t>MAHARASHTRAPAUNI</t>
  </si>
  <si>
    <t>MAHARASHTRAPEINT</t>
  </si>
  <si>
    <t>MAHARASHTRAPEN</t>
  </si>
  <si>
    <t>MAHARASHTRAPHALTAN</t>
  </si>
  <si>
    <t>MAHARASHTRAPHULAMBRI</t>
  </si>
  <si>
    <t>MAHARASHTRAPHULUMBRI</t>
  </si>
  <si>
    <t>MAHARASHTRAPUNE</t>
  </si>
  <si>
    <t>MAHARASHTRAPURANDAR</t>
  </si>
  <si>
    <t>MAHARASHTRAPURANDHAR</t>
  </si>
  <si>
    <t>MAHARASHTRAPURNA</t>
  </si>
  <si>
    <t>MAHARASHTRAPUSAD</t>
  </si>
  <si>
    <t>MAHARASHTRARADHANAGARI</t>
  </si>
  <si>
    <t>MAHARASHTRARAHTA</t>
  </si>
  <si>
    <t>MAHARASHTRARAHURI</t>
  </si>
  <si>
    <t>MAHARASHTRARAIGARH JUTE MILLS</t>
  </si>
  <si>
    <t>MAHARASHTRARAJAPUR</t>
  </si>
  <si>
    <t>MAHARASHTRARAJURA</t>
  </si>
  <si>
    <t>MAHARASHTRARALEGAON</t>
  </si>
  <si>
    <t>MAHARASHTRARAMTEK</t>
  </si>
  <si>
    <t>MAHARASHTRARATNAGIRI</t>
  </si>
  <si>
    <t>MAHARASHTRARAVER</t>
  </si>
  <si>
    <t>MAHARASHTRARENAPUR</t>
  </si>
  <si>
    <t>MAHARASHTRAROHA</t>
  </si>
  <si>
    <t>MAHARASHTRASADAK ARJUNI</t>
  </si>
  <si>
    <t>MAHARASHTRASADAK-ARJUNI</t>
  </si>
  <si>
    <t>MAHARASHTRASAKOLI</t>
  </si>
  <si>
    <t>MAHARASHTRASAKRI</t>
  </si>
  <si>
    <t>MAHARASHTRASALEKASA</t>
  </si>
  <si>
    <t>MAHARASHTRASAMUDRAPUR</t>
  </si>
  <si>
    <t>MAHARASHTRASANGAMESHWAR</t>
  </si>
  <si>
    <t>MAHARASHTRASANGAMNER</t>
  </si>
  <si>
    <t>MAHARASHTRASANGLI</t>
  </si>
  <si>
    <t>MAHARASHTRASANGMESHWAR</t>
  </si>
  <si>
    <t>MAHARASHTRASANGOLE</t>
  </si>
  <si>
    <t>MAHARASHTRASANGRAMPUR</t>
  </si>
  <si>
    <t>MAHARASHTRASANTACRUZ</t>
  </si>
  <si>
    <t>MAHARASHTRASASWAD - 411001</t>
  </si>
  <si>
    <t>MAHARASHTRASATANA</t>
  </si>
  <si>
    <t>MAHARASHTRASATARA</t>
  </si>
  <si>
    <t>MAHARASHTRASAVNER</t>
  </si>
  <si>
    <t>MAHARASHTRASAWALI</t>
  </si>
  <si>
    <t>MAHARASHTRASAWANTWADI</t>
  </si>
  <si>
    <t>MAHARASHTRASELOO</t>
  </si>
  <si>
    <t>MAHARASHTRASENGAON</t>
  </si>
  <si>
    <t>MAHARASHTRASHAHADE</t>
  </si>
  <si>
    <t>MAHARASHTRASHAHAPUR</t>
  </si>
  <si>
    <t>MAHARASHTRASHAHUWADI</t>
  </si>
  <si>
    <t>MAHARASHTRASHEGAON</t>
  </si>
  <si>
    <t>MAHARASHTRASHEVGAON</t>
  </si>
  <si>
    <t>MAHARASHTRASHINDKHEDE</t>
  </si>
  <si>
    <t>MAHARASHTRASHIRALA</t>
  </si>
  <si>
    <t>MAHARASHTRASHIROL</t>
  </si>
  <si>
    <t>MAHARASHTRASHIRPUR</t>
  </si>
  <si>
    <t>MAHARASHTRASHIRUR</t>
  </si>
  <si>
    <t>MAHARASHTRASHIRUR ANANTPAL</t>
  </si>
  <si>
    <t>MAHARASHTRASHRIGONDA</t>
  </si>
  <si>
    <t>MAHARASHTRASHRIRAMPUR</t>
  </si>
  <si>
    <t>MAHARASHTRASHRIVARDHAN</t>
  </si>
  <si>
    <t>MAHARASHTRASILLOD</t>
  </si>
  <si>
    <t>MAHARASHTRASIMADA ROAD SURAT</t>
  </si>
  <si>
    <t>MAHARASHTRASINDEWAHI</t>
  </si>
  <si>
    <t>MAHARASHTRASINDKHEDE</t>
  </si>
  <si>
    <t>MAHARASHTRASINNAR</t>
  </si>
  <si>
    <t>MAHARASHTRASOEGAON</t>
  </si>
  <si>
    <t>MAHARASHTRASOLAPUR</t>
  </si>
  <si>
    <t>MAHARASHTRASONPETH</t>
  </si>
  <si>
    <t>MAHARASHTRASOUTH SOLAPUR</t>
  </si>
  <si>
    <t>MAHARASHTRASUDHAGAD</t>
  </si>
  <si>
    <t>MAHARASHTRASULTANWIND</t>
  </si>
  <si>
    <t>MAHARASHTRATALASARI</t>
  </si>
  <si>
    <t>MAHARASHTRATALODE</t>
  </si>
  <si>
    <t>MAHARASHTRATASGAON</t>
  </si>
  <si>
    <t>MAHARASHTRATELHARA</t>
  </si>
  <si>
    <t>MAHARASHTRATEOSA</t>
  </si>
  <si>
    <t>MAHARASHTRATHANE</t>
  </si>
  <si>
    <t>MAHARASHTRATIRORA</t>
  </si>
  <si>
    <t>MAHARASHTRATULJAPUR</t>
  </si>
  <si>
    <t>MAHARASHTRATUMSAR</t>
  </si>
  <si>
    <t>MAHARASHTRAUDGIR</t>
  </si>
  <si>
    <t>MAHARASHTRAULHASNAGAR</t>
  </si>
  <si>
    <t>MAHARASHTRAUMARGA</t>
  </si>
  <si>
    <t>MAHARASHTRAUMARI</t>
  </si>
  <si>
    <t>MAHARASHTRAUMARKHED</t>
  </si>
  <si>
    <t>MAHARASHTRAUMRED</t>
  </si>
  <si>
    <t>MAHARASHTRAUNNAV</t>
  </si>
  <si>
    <t>MAHARASHTRAURAN</t>
  </si>
  <si>
    <t>MAHARASHTRAVAIBHAVWADI</t>
  </si>
  <si>
    <t>MAHARASHTRAVAIJAPUR</t>
  </si>
  <si>
    <t>MAHARASHTRAVASAI</t>
  </si>
  <si>
    <t>MAHARASHTRAVELHE</t>
  </si>
  <si>
    <t>MAHARASHTRAVENGURLA</t>
  </si>
  <si>
    <t>MAHARASHTRAVIKRAMGAD</t>
  </si>
  <si>
    <t>MAHARASHTRAVIRAR</t>
  </si>
  <si>
    <t>MAHARASHTRAWADA</t>
  </si>
  <si>
    <t>MAHARASHTRAWAI</t>
  </si>
  <si>
    <t>MAHARASHTRAWALWA</t>
  </si>
  <si>
    <t>MAHARASHTRAWANI</t>
  </si>
  <si>
    <t>MAHARASHTRAWARDHA</t>
  </si>
  <si>
    <t>MAHARASHTRAWARORA</t>
  </si>
  <si>
    <t>MAHARASHTRAWARUD</t>
  </si>
  <si>
    <t>MAHARASHTRAWASHIM</t>
  </si>
  <si>
    <t>MAHARASHTRAYAVATMAL</t>
  </si>
  <si>
    <t>MAHARASHTRAYAWAL</t>
  </si>
  <si>
    <t>MAHARASHTRAYEVLA</t>
  </si>
  <si>
    <t>MANIPURBISHENPUR</t>
  </si>
  <si>
    <t>MANIPURCHANDEL</t>
  </si>
  <si>
    <t>MANIPURCHENDEL</t>
  </si>
  <si>
    <t>MANIPURCHURACHANDPUR</t>
  </si>
  <si>
    <t>MANIPURD M COLLEGE</t>
  </si>
  <si>
    <t>MANIPURIMPHAL</t>
  </si>
  <si>
    <t>MANIPURKARONG</t>
  </si>
  <si>
    <t>MANIPURNIL</t>
  </si>
  <si>
    <t>MANIPURSENAPATI</t>
  </si>
  <si>
    <t>MANIPURTAMENGLONG</t>
  </si>
  <si>
    <t>MANIPURTHOUBAL</t>
  </si>
  <si>
    <t>MANIPURUKHRUL</t>
  </si>
  <si>
    <t>MEGHALAYAAMLAREM</t>
  </si>
  <si>
    <t>MEGHALAYAARAIMILE</t>
  </si>
  <si>
    <t>MEGHALAYAASSAM RIFLES</t>
  </si>
  <si>
    <t>MEGHALAYABAGHMARA</t>
  </si>
  <si>
    <t>MEGHALAYABALAT</t>
  </si>
  <si>
    <t>MEGHALAYABETASING</t>
  </si>
  <si>
    <t>MEGHALAYABYRNIHAT</t>
  </si>
  <si>
    <t>MEGHALAYACHERRABAZAR</t>
  </si>
  <si>
    <t>MEGHALAYACHERRAPUNJEE</t>
  </si>
  <si>
    <t>MEGHALAYADALU</t>
  </si>
  <si>
    <t>MEGHALAYAHAPPY VALLEY</t>
  </si>
  <si>
    <t>MEGHALAYAIEWDUH</t>
  </si>
  <si>
    <t>MEGHALAYAKHLIEHRIAT</t>
  </si>
  <si>
    <t>MEGHALAYALAITUMKHRAH</t>
  </si>
  <si>
    <t>MEGHALAYALOWER CHANDMARI</t>
  </si>
  <si>
    <t>MEGHALAYAMAIRANG</t>
  </si>
  <si>
    <t>MEGHALAYAMAWKYRWAT</t>
  </si>
  <si>
    <t>MEGHALAYAMAWPHLANG</t>
  </si>
  <si>
    <t>MEGHALAYAMAWRYNGKNENG</t>
  </si>
  <si>
    <t>MEGHALAYAMAWSYNRAM</t>
  </si>
  <si>
    <t>MEGHALAYAMENDIPATHAR</t>
  </si>
  <si>
    <t>MEGHALAYAMYLLIEM</t>
  </si>
  <si>
    <t>MEGHALAYANANGWALBIBRA</t>
  </si>
  <si>
    <t>MEGHALAYANEIGRIHMS</t>
  </si>
  <si>
    <t>MEGHALAYANONGPOH</t>
  </si>
  <si>
    <t>MEGHALAYANONGSTOIN</t>
  </si>
  <si>
    <t>MEGHALAYAPHUDMAWRI</t>
  </si>
  <si>
    <t>MEGHALAYAPYNURSLA</t>
  </si>
  <si>
    <t>MEGHALAYARESUBELPARA</t>
  </si>
  <si>
    <t>MEGHALAYARONGARA</t>
  </si>
  <si>
    <t>MEGHALAYARONGRAM</t>
  </si>
  <si>
    <t>MEGHALAYASAMANDA</t>
  </si>
  <si>
    <t>MEGHALAYASELSELLA</t>
  </si>
  <si>
    <t>MEGHALAYASHELLA BHOLAGANJ</t>
  </si>
  <si>
    <t>MEGHALAYASHILLONG</t>
  </si>
  <si>
    <t>MEGHALAYASUMER</t>
  </si>
  <si>
    <t>MEGHALAYATHADLASKEIN</t>
  </si>
  <si>
    <t>MEGHALAYATIKRIKILLA</t>
  </si>
  <si>
    <t>MEGHALAYAUMIAM</t>
  </si>
  <si>
    <t>MEGHALAYAUMLING</t>
  </si>
  <si>
    <t>MEGHALAYAUMSNING</t>
  </si>
  <si>
    <t>MEGHALAYAZIKZAK</t>
  </si>
  <si>
    <t>MIZORAMAIBAWK</t>
  </si>
  <si>
    <t>MIZORAMAIZAWL</t>
  </si>
  <si>
    <t>MIZORAMCHAWNGTE</t>
  </si>
  <si>
    <t>MIZORAMDARLAWN</t>
  </si>
  <si>
    <t>MIZORAMEAST LUNGDAR (PART)</t>
  </si>
  <si>
    <t>MIZORAMHNAHTHIAL</t>
  </si>
  <si>
    <t>MIZORAMKHAWBUNG</t>
  </si>
  <si>
    <t>MIZORAMKHAWZAWL</t>
  </si>
  <si>
    <t>MIZORAMLAWNGTLAI</t>
  </si>
  <si>
    <t>MIZORAMLUNGLEI</t>
  </si>
  <si>
    <t>MIZORAMLUNGSEN</t>
  </si>
  <si>
    <t>MIZORAMNGOPA</t>
  </si>
  <si>
    <t>MIZORAMNORTH THINGDAWL</t>
  </si>
  <si>
    <t>MIZORAMREIEK</t>
  </si>
  <si>
    <t>MIZORAMSAIRANG</t>
  </si>
  <si>
    <t>MIZORAMSERCHHIP</t>
  </si>
  <si>
    <t>MIZORAMTHINGSULTHLIAH</t>
  </si>
  <si>
    <t>MIZORAMTHINGSULTHLIAH (PART)</t>
  </si>
  <si>
    <t>MIZORAMTLANGNUAM</t>
  </si>
  <si>
    <t>MIZORAMTUIPANG</t>
  </si>
  <si>
    <t>MIZORAMWEST BUNGHMUN</t>
  </si>
  <si>
    <t>MIZORAMWEST PHAILENG</t>
  </si>
  <si>
    <t>MIZORAMZEMABAWK</t>
  </si>
  <si>
    <t>NAGALANDDIMAPUR</t>
  </si>
  <si>
    <t>NAGALANDDOYANG H PROJECT</t>
  </si>
  <si>
    <t>NAGALANDKOHIMA</t>
  </si>
  <si>
    <t>NAGALANDKOHIMA H O</t>
  </si>
  <si>
    <t>NAGALANDMELURI</t>
  </si>
  <si>
    <t>NAGALANDMOKOKCHUNG</t>
  </si>
  <si>
    <t>NAGALANDPHEK</t>
  </si>
  <si>
    <t>NAGALANDWOKHA</t>
  </si>
  <si>
    <t>ORISSAAWALWADI PUNE</t>
  </si>
  <si>
    <t>ORISSAGURGAON , HARYANA</t>
  </si>
  <si>
    <t>ORISSANO 1, TANAJI NAGAR,</t>
  </si>
  <si>
    <t>ORISSATHEREPURAM</t>
  </si>
  <si>
    <t>ORISSAAALI</t>
  </si>
  <si>
    <t>ORISSAAGARPADA</t>
  </si>
  <si>
    <t>ORISSAAINTHAPALI</t>
  </si>
  <si>
    <t>ORISSAALBA</t>
  </si>
  <si>
    <t>ORISSAAMABAPAL</t>
  </si>
  <si>
    <t>ORISSAAMALANIGUDA</t>
  </si>
  <si>
    <t>ORISSAAMBABHONA</t>
  </si>
  <si>
    <t>ORISSAAMBLIATHA</t>
  </si>
  <si>
    <t>ORISSAAMNARA</t>
  </si>
  <si>
    <t>ORISSAANAL</t>
  </si>
  <si>
    <t>ORISSAANANDAPUR</t>
  </si>
  <si>
    <t>ORISSAANGUL</t>
  </si>
  <si>
    <t>ORISSAANUGUL</t>
  </si>
  <si>
    <t>ORISSAARAGAL</t>
  </si>
  <si>
    <t>ORISSAARUNODAYA</t>
  </si>
  <si>
    <t>ORISSAASIKA</t>
  </si>
  <si>
    <t>ORISSAASKA</t>
  </si>
  <si>
    <t>ORISSAASURESWAR</t>
  </si>
  <si>
    <t>ORISSAASWASTHAPAL</t>
  </si>
  <si>
    <t>ORISSAATHAGARH</t>
  </si>
  <si>
    <t>ORISSAATHARBANKI</t>
  </si>
  <si>
    <t>ORISSAATHMALLIK</t>
  </si>
  <si>
    <t>ORISSAATTABIRA</t>
  </si>
  <si>
    <t>ORISSAAUSHA</t>
  </si>
  <si>
    <t>ORISSAAVINAB</t>
  </si>
  <si>
    <t>ORISSABADABARAGAM</t>
  </si>
  <si>
    <t>ORISSABADABARCHIKAYAN</t>
  </si>
  <si>
    <t>ORISSABADACHANA</t>
  </si>
  <si>
    <t>ORISSABADADUMBALA</t>
  </si>
  <si>
    <t>ORISSABADAGADA</t>
  </si>
  <si>
    <t>ORISSABADAGAON</t>
  </si>
  <si>
    <t>ORISSABADAKHARIDA</t>
  </si>
  <si>
    <t>ORISSABADAMBA</t>
  </si>
  <si>
    <t>ORISSABADAMPAHAR</t>
  </si>
  <si>
    <t>ORISSABADCHHURUNI</t>
  </si>
  <si>
    <t>ORISSABADDALIMA</t>
  </si>
  <si>
    <t>ORISSABADDAUSEN</t>
  </si>
  <si>
    <t>ORISSABADKARLAKOTE</t>
  </si>
  <si>
    <t>ORISSABAGJHUMPA</t>
  </si>
  <si>
    <t>ORISSABAGUSALA</t>
  </si>
  <si>
    <t>ORISSABAHALDA</t>
  </si>
  <si>
    <t>ORISSABAHMANDA</t>
  </si>
  <si>
    <t>ORISSABAIDYESWAR</t>
  </si>
  <si>
    <t>ORISSABAISINGA</t>
  </si>
  <si>
    <t>ORISSABAJPUR</t>
  </si>
  <si>
    <t>ORISSABAJRAKABARI</t>
  </si>
  <si>
    <t>ORISSABALAMUKULIHAT</t>
  </si>
  <si>
    <t>ORISSABALANGIR</t>
  </si>
  <si>
    <t>ORISSABALESHWAR</t>
  </si>
  <si>
    <t>ORISSABALIANTA</t>
  </si>
  <si>
    <t>ORISSABALIAPAL</t>
  </si>
  <si>
    <t>ORISSABALICHANDRAPUR</t>
  </si>
  <si>
    <t>ORISSABALIGUDA</t>
  </si>
  <si>
    <t>ORISSABALIKUDA</t>
  </si>
  <si>
    <t>ORISSABALIMI</t>
  </si>
  <si>
    <t>ORISSABALIPATNA</t>
  </si>
  <si>
    <t>ORISSABALUGAON</t>
  </si>
  <si>
    <t>ORISSABAMANGADIA</t>
  </si>
  <si>
    <t>ORISSABANAPUR</t>
  </si>
  <si>
    <t>ORISSABANARPAL</t>
  </si>
  <si>
    <t>ORISSABANDHAKATA</t>
  </si>
  <si>
    <t>ORISSABANEI</t>
  </si>
  <si>
    <t>ORISSABANGIRIPOSI</t>
  </si>
  <si>
    <t>ORISSABANGUARY</t>
  </si>
  <si>
    <t>ORISSABANITIA</t>
  </si>
  <si>
    <t>ORISSABANKI</t>
  </si>
  <si>
    <t>ORISSABANKOI</t>
  </si>
  <si>
    <t>ORISSABANRA</t>
  </si>
  <si>
    <t>ORISSABANSADA</t>
  </si>
  <si>
    <t>ORISSABANTALA</t>
  </si>
  <si>
    <t>ORISSABARAIPALI</t>
  </si>
  <si>
    <t>ORISSABARALABALUNKESWAR</t>
  </si>
  <si>
    <t>ORISSABARANG</t>
  </si>
  <si>
    <t>ORISSABARATANIA</t>
  </si>
  <si>
    <t>ORISSABARBIL</t>
  </si>
  <si>
    <t>ORISSABARDEZ CHANDOLIM,</t>
  </si>
  <si>
    <t>ORISSABAREHIPANI</t>
  </si>
  <si>
    <t>ORISSABARGARH</t>
  </si>
  <si>
    <t>ORISSABARI</t>
  </si>
  <si>
    <t>ORISSABARIA</t>
  </si>
  <si>
    <t>ORISSABARIKUL</t>
  </si>
  <si>
    <t>ORISSABARINIPUT</t>
  </si>
  <si>
    <t>ORISSABARIPADA</t>
  </si>
  <si>
    <t>ORISSABARKOT</t>
  </si>
  <si>
    <t>ORISSABARPARA</t>
  </si>
  <si>
    <t>ORISSABARSAHI</t>
  </si>
  <si>
    <t>ORISSABASTA</t>
  </si>
  <si>
    <t>ORISSABASUDEBPUR</t>
  </si>
  <si>
    <t>ORISSABASUDEVPUR</t>
  </si>
  <si>
    <t>ORISSABATALPUR</t>
  </si>
  <si>
    <t>ORISSABATASENA</t>
  </si>
  <si>
    <t>ORISSABATULA</t>
  </si>
  <si>
    <t>ORISSABAUDH</t>
  </si>
  <si>
    <t>ORISSABEGUNIA</t>
  </si>
  <si>
    <t>ORISSABELAGHAR</t>
  </si>
  <si>
    <t>ORISSABELATIKIRI</t>
  </si>
  <si>
    <t>ORISSABELPAHAR</t>
  </si>
  <si>
    <t>ORISSABELPARA</t>
  </si>
  <si>
    <t>ORISSABENAGAON</t>
  </si>
  <si>
    <t>ORISSABERBOI</t>
  </si>
  <si>
    <t>ORISSABERHAMPUR</t>
  </si>
  <si>
    <t>ORISSABERHAMPUR (GM)</t>
  </si>
  <si>
    <t>ORISSABERHAMPUR CITY</t>
  </si>
  <si>
    <t>ORISSABERHAMPUR INDUSTRIAL ESTE</t>
  </si>
  <si>
    <t>ORISSABETANATI</t>
  </si>
  <si>
    <t>ORISSABHADRAK</t>
  </si>
  <si>
    <t>ORISSABHAGIBINDHA</t>
  </si>
  <si>
    <t>ORISSABHAIRAPUR</t>
  </si>
  <si>
    <t>ORISSABHANDARI</t>
  </si>
  <si>
    <t>ORISSABHANJANAGAR</t>
  </si>
  <si>
    <t>ORISSABHASMA</t>
  </si>
  <si>
    <t>ORISSABHATAPATNA</t>
  </si>
  <si>
    <t>ORISSABHATLI</t>
  </si>
  <si>
    <t>ORISSABHEDEN</t>
  </si>
  <si>
    <t>ORISSABHETNOI</t>
  </si>
  <si>
    <t>ORISSABHOGRAI</t>
  </si>
  <si>
    <t>ORISSABHUBAN</t>
  </si>
  <si>
    <t>ORISSABHUBANESWAR</t>
  </si>
  <si>
    <t>ORISSABIDANASI</t>
  </si>
  <si>
    <t>ORISSABIJEPUR</t>
  </si>
  <si>
    <t>ORISSABINJHARPUR</t>
  </si>
  <si>
    <t>ORISSABIRAMAHARAJPUR</t>
  </si>
  <si>
    <t>ORISSABIRAMITRAPUR</t>
  </si>
  <si>
    <t>ORISSABIRINGI</t>
  </si>
  <si>
    <t>ORISSABIRMITRAPUR</t>
  </si>
  <si>
    <t>ORISSABISHAMAKATAK</t>
  </si>
  <si>
    <t>ORISSABISOI</t>
  </si>
  <si>
    <t>ORISSABISRA</t>
  </si>
  <si>
    <t>ORISSABISSAMGIRI</t>
  </si>
  <si>
    <t>ORISSABODEN</t>
  </si>
  <si>
    <t>ORISSABODILI</t>
  </si>
  <si>
    <t>ORISSABOIPARIGUDA</t>
  </si>
  <si>
    <t>ORISSABOLAGAD</t>
  </si>
  <si>
    <t>ORISSABOLANI</t>
  </si>
  <si>
    <t>ORISSABONDAMUNDA</t>
  </si>
  <si>
    <t>ORISSABONTH</t>
  </si>
  <si>
    <t>ORISSABOUDH</t>
  </si>
  <si>
    <t>ORISSABRAHMAGIRI</t>
  </si>
  <si>
    <t>ORISSABRAHMAPUR</t>
  </si>
  <si>
    <t>ORISSABUGUDA</t>
  </si>
  <si>
    <t>ORISSABURLA</t>
  </si>
  <si>
    <t>ORISSACHAMPUA</t>
  </si>
  <si>
    <t>ORISSACHAMPULIPADA</t>
  </si>
  <si>
    <t>ORISSACHANDABALI</t>
  </si>
  <si>
    <t>ORISSACHANDAHANDI</t>
  </si>
  <si>
    <t>ORISSACHANDANPUR</t>
  </si>
  <si>
    <t>ORISSACHANDBALI</t>
  </si>
  <si>
    <t>ORISSACHANDINCHOWK</t>
  </si>
  <si>
    <t>ORISSACHANDIPUR</t>
  </si>
  <si>
    <t>ORISSACHANDUA</t>
  </si>
  <si>
    <t>ORISSACHARAMAL</t>
  </si>
  <si>
    <t>ORISSACHARBAHAL</t>
  </si>
  <si>
    <t>ORISSACHAULIAGANJ</t>
  </si>
  <si>
    <t>ORISSACHELLAGADA</t>
  </si>
  <si>
    <t>ORISSACHENAPADI</t>
  </si>
  <si>
    <t>ORISSACHHATRAPUR</t>
  </si>
  <si>
    <t>ORISSACHHENDIPADA</t>
  </si>
  <si>
    <t>ORISSACHIKATI</t>
  </si>
  <si>
    <t>ORISSACHILIKA</t>
  </si>
  <si>
    <t>ORISSACHITRAKONDA</t>
  </si>
  <si>
    <t>ORISSACHOUDWAR</t>
  </si>
  <si>
    <t>ORISSACOLLECTORATE</t>
  </si>
  <si>
    <t>ORISSACUTTACK</t>
  </si>
  <si>
    <t>ORISSAD.PANGA</t>
  </si>
  <si>
    <t>ORISSADABUGAM</t>
  </si>
  <si>
    <t>ORISSADABUGAN</t>
  </si>
  <si>
    <t>ORISSADAITARI</t>
  </si>
  <si>
    <t>ORISSADALIJODA</t>
  </si>
  <si>
    <t>ORISSADARINGBADI</t>
  </si>
  <si>
    <t>ORISSADARPANIGARH</t>
  </si>
  <si>
    <t>ORISSADASAMANTAPUR</t>
  </si>
  <si>
    <t>ORISSADASAPALLA</t>
  </si>
  <si>
    <t>ORISSADASHIPUR</t>
  </si>
  <si>
    <t>ORISSADASPALLA</t>
  </si>
  <si>
    <t>ORISSADAULATABAD</t>
  </si>
  <si>
    <t>ORISSADEBAGARH</t>
  </si>
  <si>
    <t>ORISSADEDHASURDEULI</t>
  </si>
  <si>
    <t>ORISSADEEPASIKHA</t>
  </si>
  <si>
    <t>ORISSADELANGA</t>
  </si>
  <si>
    <t>ORISSADENGIBHADI</t>
  </si>
  <si>
    <t>ORISSADEOBHOG</t>
  </si>
  <si>
    <t>ORISSADEOPARA</t>
  </si>
  <si>
    <t>ORISSADEULBERA</t>
  </si>
  <si>
    <t>ORISSADHAMA</t>
  </si>
  <si>
    <t>ORISSADHAMANAGAR</t>
  </si>
  <si>
    <t>ORISSADHAMNAGAR</t>
  </si>
  <si>
    <t>ORISSADHARAMGARH</t>
  </si>
  <si>
    <t>ORISSADHARMASALA</t>
  </si>
  <si>
    <t>ORISSADHENKANAL</t>
  </si>
  <si>
    <t>ORISSADHUSURI</t>
  </si>
  <si>
    <t>ORISSADIGAPAHANDI</t>
  </si>
  <si>
    <t>ORISSADIST SAS NAGAR</t>
  </si>
  <si>
    <t>ORISSADLF CITY PHASE V</t>
  </si>
  <si>
    <t>ORISSADOHONA</t>
  </si>
  <si>
    <t>ORISSADOLAKASATI</t>
  </si>
  <si>
    <t>ORISSADOMPARA</t>
  </si>
  <si>
    <t>ORISSAEKALPUR</t>
  </si>
  <si>
    <t>ORISSAERSAMA</t>
  </si>
  <si>
    <t>ORISSAFERRO</t>
  </si>
  <si>
    <t>ORISSAGAISILET</t>
  </si>
  <si>
    <t>ORISSAGALLERI</t>
  </si>
  <si>
    <t>ORISSAGANGAPUR</t>
  </si>
  <si>
    <t>ORISSAGANIA</t>
  </si>
  <si>
    <t>ORISSAGANJAM</t>
  </si>
  <si>
    <t>ORISSAGARABANDHA</t>
  </si>
  <si>
    <t>ORISSAGARHDEULIA</t>
  </si>
  <si>
    <t>ORISSAGARPOSH</t>
  </si>
  <si>
    <t>ORISSAGGF</t>
  </si>
  <si>
    <t>ORISSAGHASIPURA</t>
  </si>
  <si>
    <t>ORISSAGHATGAON</t>
  </si>
  <si>
    <t>ORISSAGHESS</t>
  </si>
  <si>
    <t>ORISSAGOBINDPUR</t>
  </si>
  <si>
    <t>ORISSAGOCHHAPADA</t>
  </si>
  <si>
    <t>ORISSAGOHIRA</t>
  </si>
  <si>
    <t>ORISSAGOLANTHARA</t>
  </si>
  <si>
    <t>ORISSAGOLEBAZAR</t>
  </si>
  <si>
    <t>ORISSAGOP</t>
  </si>
  <si>
    <t>ORISSAGORUMAHISANI</t>
  </si>
  <si>
    <t>ORISSAGOSANINUAGAM</t>
  </si>
  <si>
    <t>ORISSAGOUDRUMA</t>
  </si>
  <si>
    <t>ORISSAGOUDUNIDUBA</t>
  </si>
  <si>
    <t>ORISSAGOUDUNIPADIA</t>
  </si>
  <si>
    <t>ORISSAGOVINDPUR</t>
  </si>
  <si>
    <t>ORISSAGUDVELLA</t>
  </si>
  <si>
    <t>ORISSAGUNDRIBIDA</t>
  </si>
  <si>
    <t>ORISSAGUNUPUR</t>
  </si>
  <si>
    <t>ORISSAGURUNDIA</t>
  </si>
  <si>
    <t>ORISSAHALVA</t>
  </si>
  <si>
    <t>ORISSAHANDAPA</t>
  </si>
  <si>
    <t>ORISSAHARBHANGA</t>
  </si>
  <si>
    <t>ORISSAHARICHANDANPUR</t>
  </si>
  <si>
    <t>ORISSAHARIDAKHANDI</t>
  </si>
  <si>
    <t>ORISSAHEMGIR</t>
  </si>
  <si>
    <t>ORISSAHILLPATNA</t>
  </si>
  <si>
    <t>ORISSAHILPATNA (BERHAMPUR5)</t>
  </si>
  <si>
    <t>ORISSAHINDOL</t>
  </si>
  <si>
    <t>ORISSAHINJILI</t>
  </si>
  <si>
    <t>ORISSAHIRAKUD</t>
  </si>
  <si>
    <t>ORISSAINSTITUTE</t>
  </si>
  <si>
    <t>ORISSAJAGADA</t>
  </si>
  <si>
    <t>ORISSAJAGATPUR</t>
  </si>
  <si>
    <t>ORISSAJAGATSINGHAPUR</t>
  </si>
  <si>
    <t>ORISSAJAGATSINGHPUR</t>
  </si>
  <si>
    <t>ORISSAJAGRUTI</t>
  </si>
  <si>
    <t>ORISSAJAIPUR, RAJASTHAN,</t>
  </si>
  <si>
    <t>ORISSAJAJAPUR</t>
  </si>
  <si>
    <t>ORISSAJAJPUR</t>
  </si>
  <si>
    <t>ORISSAJAJPUR ROAD</t>
  </si>
  <si>
    <t>ORISSAJALESWAR</t>
  </si>
  <si>
    <t>ORISSAJALPUT</t>
  </si>
  <si>
    <t>ORISSAJAMANKIRA</t>
  </si>
  <si>
    <t>ORISSAJANKIA</t>
  </si>
  <si>
    <t>ORISSAJARADA</t>
  </si>
  <si>
    <t>ORISSAJARAPADA</t>
  </si>
  <si>
    <t>ORISSAJARIA</t>
  </si>
  <si>
    <t>ORISSAJASHIPUR</t>
  </si>
  <si>
    <t>ORISSAJATANI</t>
  </si>
  <si>
    <t>ORISSAJAYAPATNA</t>
  </si>
  <si>
    <t>ORISSAJAYASREE</t>
  </si>
  <si>
    <t>ORISSAJEYPUR</t>
  </si>
  <si>
    <t>ORISSAJHARIGAN</t>
  </si>
  <si>
    <t>ORISSAJHARPOKHARIA</t>
  </si>
  <si>
    <t>ORISSAJHARSUGUDA</t>
  </si>
  <si>
    <t>ORISSAJIRTAL</t>
  </si>
  <si>
    <t>ORISSAJODA</t>
  </si>
  <si>
    <t>ORISSAJONK</t>
  </si>
  <si>
    <t>ORISSAJULLUNDI</t>
  </si>
  <si>
    <t>ORISSAJUNAGARH</t>
  </si>
  <si>
    <t>ORISSAJYOTI</t>
  </si>
  <si>
    <t>ORISSAKABERA</t>
  </si>
  <si>
    <t>ORISSAKABISURYANAGAR</t>
  </si>
  <si>
    <t>ORISSAKACHERI</t>
  </si>
  <si>
    <t>ORISSAKAIPARA</t>
  </si>
  <si>
    <t>ORISSAKAKATPUR</t>
  </si>
  <si>
    <t>ORISSAKALIMELA</t>
  </si>
  <si>
    <t>ORISSAKALINGA</t>
  </si>
  <si>
    <t>ORISSAKALUPARAGHAT</t>
  </si>
  <si>
    <t>ORISSAKALYANASINGPUR</t>
  </si>
  <si>
    <t>ORISSAKAMAKSHYANAGAR</t>
  </si>
  <si>
    <t>ORISSAKAMARPOSH</t>
  </si>
  <si>
    <t>ORISSAKANIHA</t>
  </si>
  <si>
    <t>ORISSAKANPUR</t>
  </si>
  <si>
    <t>ORISSAKANTAMAL</t>
  </si>
  <si>
    <t>ORISSAKAPTIPADA</t>
  </si>
  <si>
    <t>ORISSAKARADGADIA</t>
  </si>
  <si>
    <t>ORISSAKARANJIA</t>
  </si>
  <si>
    <t>ORISSAKASHIPUR</t>
  </si>
  <si>
    <t>ORISSAKENABETA</t>
  </si>
  <si>
    <t>ORISSAKENDRAPARA</t>
  </si>
  <si>
    <t>ORISSAKEONJHAR</t>
  </si>
  <si>
    <t>ORISSAKEONJHAT</t>
  </si>
  <si>
    <t>ORISSAKESINGA</t>
  </si>
  <si>
    <t>ORISSAKHAIRA</t>
  </si>
  <si>
    <t>ORISSAKHAJURIPADA</t>
  </si>
  <si>
    <t>ORISSAKHALARDA</t>
  </si>
  <si>
    <t>ORISSAKHALIKOTE</t>
  </si>
  <si>
    <t>ORISSAKHAMAR</t>
  </si>
  <si>
    <t>ORISSAKHAMBARIGAM</t>
  </si>
  <si>
    <t>ORISSAKHANDAPADA</t>
  </si>
  <si>
    <t>ORISSAKHAPRAKHOL</t>
  </si>
  <si>
    <t>ORISSAKHARIAR</t>
  </si>
  <si>
    <t>ORISSAKHORDHA</t>
  </si>
  <si>
    <t>ORISSAKHUMBARI</t>
  </si>
  <si>
    <t>ORISSAKHUNTA</t>
  </si>
  <si>
    <t>ORISSAKHURDA</t>
  </si>
  <si>
    <t>ORISSAKISHANNAGAR</t>
  </si>
  <si>
    <t>ORISSAKISHORENAGAR</t>
  </si>
  <si>
    <t>ORISSAKODALA</t>
  </si>
  <si>
    <t>ORISSAKODINGA</t>
  </si>
  <si>
    <t>ORISSAKOIDA</t>
  </si>
  <si>
    <t>ORISSAKOKASARA</t>
  </si>
  <si>
    <t>ORISSAKOKHADI</t>
  </si>
  <si>
    <t>ORISSAKOLABIRA</t>
  </si>
  <si>
    <t>ORISSAKOLIANA</t>
  </si>
  <si>
    <t>ORISSAKOMANA</t>
  </si>
  <si>
    <t>ORISSAKONAGAM</t>
  </si>
  <si>
    <t>ORISSAKONARK</t>
  </si>
  <si>
    <t>ORISSAKORAI</t>
  </si>
  <si>
    <t>ORISSAKORAPUT</t>
  </si>
  <si>
    <t>ORISSAKOTAGARH</t>
  </si>
  <si>
    <t>ORISSAKRISHNA COLONY BHIWANI</t>
  </si>
  <si>
    <t>ORISSAKRISHNANANDAPUR</t>
  </si>
  <si>
    <t>ORISSAKRUSHNAPUR</t>
  </si>
  <si>
    <t>ORISSAKUDGUNDERPUR</t>
  </si>
  <si>
    <t>ORISSAKUNDURA</t>
  </si>
  <si>
    <t>ORISSAKUTRA</t>
  </si>
  <si>
    <t>ORISSALAHUNIPARA</t>
  </si>
  <si>
    <t>ORISSALAIKERA</t>
  </si>
  <si>
    <t>ORISSALAKHANPUR</t>
  </si>
  <si>
    <t>ORISSALANJIGARH</t>
  </si>
  <si>
    <t>ORISSALATHIKATA</t>
  </si>
  <si>
    <t>ORISSALEPHRIPARA</t>
  </si>
  <si>
    <t>ORISSALETHINGIA</t>
  </si>
  <si>
    <t>ORISSALINEPADA</t>
  </si>
  <si>
    <t>ORISSALINGARAJ</t>
  </si>
  <si>
    <t>ORISSALOIDA</t>
  </si>
  <si>
    <t>ORISSALOISINGA</t>
  </si>
  <si>
    <t>ORISSALUAKERA</t>
  </si>
  <si>
    <t>ORISSAM.V.</t>
  </si>
  <si>
    <t>ORISSAMACHKUND</t>
  </si>
  <si>
    <t>ORISSAMADANPUR</t>
  </si>
  <si>
    <t>ORISSAMADAR</t>
  </si>
  <si>
    <t>ORISSAMADHUPATNA</t>
  </si>
  <si>
    <t>ORISSAMAHADEVPALI</t>
  </si>
  <si>
    <t>ORISSAMAHAKALAPADA</t>
  </si>
  <si>
    <t>ORISSAMAHALLICKPADA</t>
  </si>
  <si>
    <t>ORISSAMAHANGA</t>
  </si>
  <si>
    <t>ORISSAMAHULDIHA</t>
  </si>
  <si>
    <t>ORISSAMAHULPALLI</t>
  </si>
  <si>
    <t>ORISSAMALKANGIRI</t>
  </si>
  <si>
    <t>ORISSAMANAMUNDA</t>
  </si>
  <si>
    <t>ORISSAMANGALPUR</t>
  </si>
  <si>
    <t>ORISSAMATHILI</t>
  </si>
  <si>
    <t>ORISSAMATIKHAL</t>
  </si>
  <si>
    <t>ORISSAMATKAMBEDA</t>
  </si>
  <si>
    <t>ORISSAMAYURBHANJ</t>
  </si>
  <si>
    <t>ORISSAMELCHHAMUNDA</t>
  </si>
  <si>
    <t>ORISSAMOHAMMAD</t>
  </si>
  <si>
    <t>ORISSAMOHANA</t>
  </si>
  <si>
    <t>ORISSAMOTU</t>
  </si>
  <si>
    <t>ORISSAMOTUNGA</t>
  </si>
  <si>
    <t>ORISSAMOUSUDHA</t>
  </si>
  <si>
    <t>ORISSAMUNIGUDA</t>
  </si>
  <si>
    <t>ORISSAMURUDA</t>
  </si>
  <si>
    <t>ORISSANABARANGAPUR</t>
  </si>
  <si>
    <t>ORISSANABEEN</t>
  </si>
  <si>
    <t>ORISSANAIKANIDIHI</t>
  </si>
  <si>
    <t>ORISSANAKTIDEUL</t>
  </si>
  <si>
    <t>ORISSANALAGAJA</t>
  </si>
  <si>
    <t>ORISSANAMOUZA</t>
  </si>
  <si>
    <t>ORISSANANDANKANAN</t>
  </si>
  <si>
    <t>ORISSANANDAPUR</t>
  </si>
  <si>
    <t>ORISSANANDIPADA</t>
  </si>
  <si>
    <t>ORISSANARALA</t>
  </si>
  <si>
    <t>ORISSANARASINGHPUR</t>
  </si>
  <si>
    <t>ORISSANARAYANPATANA</t>
  </si>
  <si>
    <t>ORISSANAUGAONHAT</t>
  </si>
  <si>
    <t>ORISSANAYABAZAR</t>
  </si>
  <si>
    <t>ORISSANAYAGARH</t>
  </si>
  <si>
    <t>ORISSANAYAKOTE</t>
  </si>
  <si>
    <t>ORISSANIALI</t>
  </si>
  <si>
    <t>ORISSANILAGIRI</t>
  </si>
  <si>
    <t>ORISSANIMAPADA</t>
  </si>
  <si>
    <t>ORISSANIMAPARA</t>
  </si>
  <si>
    <t>ORISSANUAGAON</t>
  </si>
  <si>
    <t>ORISSANUAPADA</t>
  </si>
  <si>
    <t>ORISSANUDADIHA</t>
  </si>
  <si>
    <t>ORISSAO M P LINE KORAPUT</t>
  </si>
  <si>
    <t>ORISSAO S E</t>
  </si>
  <si>
    <t>ORISSAODAGAON</t>
  </si>
  <si>
    <t>ORISSAODAVA</t>
  </si>
  <si>
    <t>ORISSAONDRAHAL</t>
  </si>
  <si>
    <t>ORISSAONUKADELI</t>
  </si>
  <si>
    <t>ORISSAORIENT</t>
  </si>
  <si>
    <t>ORISSAORKEL</t>
  </si>
  <si>
    <t>ORISSAOUPADA</t>
  </si>
  <si>
    <t>ORISSAP N COLLEGE</t>
  </si>
  <si>
    <t>ORISSAPADMAPUR</t>
  </si>
  <si>
    <t>ORISSAPADWA</t>
  </si>
  <si>
    <t>ORISSAPAIKAMAL</t>
  </si>
  <si>
    <t>ORISSAPALALAHADA</t>
  </si>
  <si>
    <t>ORISSAPANCHABATI</t>
  </si>
  <si>
    <t>ORISSAPANDAPARA</t>
  </si>
  <si>
    <t>ORISSAPAPARAHANDI</t>
  </si>
  <si>
    <t>ORISSAPARADIP</t>
  </si>
  <si>
    <t>ORISSAPARAJANG</t>
  </si>
  <si>
    <t>ORISSAPARALAKHEMUNDI</t>
  </si>
  <si>
    <t>ORISSAPARLAKHEMUNDI</t>
  </si>
  <si>
    <t>ORISSAPATANA</t>
  </si>
  <si>
    <t>ORISSAPATAPUR</t>
  </si>
  <si>
    <t>ORISSAPATKURA</t>
  </si>
  <si>
    <t>ORISSAPATNAGARH</t>
  </si>
  <si>
    <t>ORISSAPATTAMUNDAI</t>
  </si>
  <si>
    <t>ORISSAPHIRINGIA</t>
  </si>
  <si>
    <t>ORISSAPIPILI</t>
  </si>
  <si>
    <t>ORISSAPOTTANGI</t>
  </si>
  <si>
    <t>ORISSAPPL</t>
  </si>
  <si>
    <t>ORISSAPRASADRAOPETA</t>
  </si>
  <si>
    <t>ORISSAPURI</t>
  </si>
  <si>
    <t>ORISSAPURUNA</t>
  </si>
  <si>
    <t>ORISSAPURUNAPANI</t>
  </si>
  <si>
    <t>ORISSARAIGAD-410218</t>
  </si>
  <si>
    <t>ORISSARAIGHAR</t>
  </si>
  <si>
    <t>ORISSARAIKIA</t>
  </si>
  <si>
    <t>ORISSARAIRANGPUR</t>
  </si>
  <si>
    <t>ORISSARAJABAGICHA</t>
  </si>
  <si>
    <t>ORISSARAJAGANGAPUR</t>
  </si>
  <si>
    <t>ORISSARAJKANIKA</t>
  </si>
  <si>
    <t>ORISSARAJNAGAR</t>
  </si>
  <si>
    <t>ORISSARAMAGIRI</t>
  </si>
  <si>
    <t>ORISSARAMANATHAPURAM DISTRICT,</t>
  </si>
  <si>
    <t>ORISSARAMBHA</t>
  </si>
  <si>
    <t>ORISSARAMNAGAR</t>
  </si>
  <si>
    <t>ORISSARAMPUR</t>
  </si>
  <si>
    <t>ORISSARANAPUR</t>
  </si>
  <si>
    <t>ORISSARARUAN</t>
  </si>
  <si>
    <t>ORISSARASGOVINDPUR</t>
  </si>
  <si>
    <t>ORISSARASOL</t>
  </si>
  <si>
    <t>ORISSARAYAGADA</t>
  </si>
  <si>
    <t>ORISSAREAMAL</t>
  </si>
  <si>
    <t>ORISSAREMUNA</t>
  </si>
  <si>
    <t>ORISSARENGALI</t>
  </si>
  <si>
    <t>ORISSAROURKELA</t>
  </si>
  <si>
    <t>ORISSARUPSA</t>
  </si>
  <si>
    <t>ORISSAS RAMPUR</t>
  </si>
  <si>
    <t>ORISSASADAR</t>
  </si>
  <si>
    <t>ORISSASAINKUL</t>
  </si>
  <si>
    <t>ORISSASAINTALA</t>
  </si>
  <si>
    <t>ORISSASAKTINAGAR</t>
  </si>
  <si>
    <t>ORISSASALAPADA</t>
  </si>
  <si>
    <t>ORISSASALCHUA</t>
  </si>
  <si>
    <t>ORISSASALEPUR</t>
  </si>
  <si>
    <t>ORISSASAMAL</t>
  </si>
  <si>
    <t>ORISSASAMBALPUR</t>
  </si>
  <si>
    <t>ORISSASANGADAMA</t>
  </si>
  <si>
    <t>ORISSASARANGAGARH</t>
  </si>
  <si>
    <t>ORISSASARANKUL</t>
  </si>
  <si>
    <t>ORISSASASAN</t>
  </si>
  <si>
    <t>ORISSASATPATNA</t>
  </si>
  <si>
    <t>ORISSASATYABADI</t>
  </si>
  <si>
    <t>ORISSASCHEME ROAD 1,</t>
  </si>
  <si>
    <t>ORISSASERANGO</t>
  </si>
  <si>
    <t>ORISSASIMILIA</t>
  </si>
  <si>
    <t>ORISSASIMILIGUDA</t>
  </si>
  <si>
    <t>ORISSASINAPALI</t>
  </si>
  <si>
    <t>ORISSASINDHEKELA</t>
  </si>
  <si>
    <t>ORISSASINGLA</t>
  </si>
  <si>
    <t>ORISSASOGURU</t>
  </si>
  <si>
    <t>ORISSASOHELA</t>
  </si>
  <si>
    <t>ORISSASONAPUR</t>
  </si>
  <si>
    <t>ORISSASORO</t>
  </si>
  <si>
    <t>ORISSASOSO</t>
  </si>
  <si>
    <t>ORISSASRI</t>
  </si>
  <si>
    <t>ORISSASRIVIHAR</t>
  </si>
  <si>
    <t>ORISSASUKINDA</t>
  </si>
  <si>
    <t>ORISSASULIAPADA</t>
  </si>
  <si>
    <t>ORISSASUNABEDA</t>
  </si>
  <si>
    <t>ORISSASUNATHARA</t>
  </si>
  <si>
    <t>ORISSASUNDARGARH</t>
  </si>
  <si>
    <t>ORISSASUNGRA</t>
  </si>
  <si>
    <t>ORISSASURADA</t>
  </si>
  <si>
    <t>ORISSATALASARA</t>
  </si>
  <si>
    <t>ORISSATALCHER</t>
  </si>
  <si>
    <t>ORISSATALMUL</t>
  </si>
  <si>
    <t>ORISSATALPADA</t>
  </si>
  <si>
    <t>ORISSATANGI</t>
  </si>
  <si>
    <t>ORISSATARBHA</t>
  </si>
  <si>
    <t>ORISSATATO</t>
  </si>
  <si>
    <t>ORISSATELKOI</t>
  </si>
  <si>
    <t>ORISSATENTULIKHUNTI</t>
  </si>
  <si>
    <t>ORISSATHAKURMUNDA</t>
  </si>
  <si>
    <t>ORISSATHUAMUL</t>
  </si>
  <si>
    <t>ORISSATIGIRIA</t>
  </si>
  <si>
    <t>ORISSATIHIDI</t>
  </si>
  <si>
    <t>ORISSATIKABALI</t>
  </si>
  <si>
    <t>ORISSATIRTOL</t>
  </si>
  <si>
    <t>ORISSATITILAGARH</t>
  </si>
  <si>
    <t>ORISSATITLAGARH</t>
  </si>
  <si>
    <t>ORISSATUKLA</t>
  </si>
  <si>
    <t>ORISSATULOSIPUR</t>
  </si>
  <si>
    <t>ORISSATUMUSINGHA</t>
  </si>
  <si>
    <t>ORISSATUREKELA</t>
  </si>
  <si>
    <t>ORISSATURUMUNGA</t>
  </si>
  <si>
    <t>ORISSATUSHURA</t>
  </si>
  <si>
    <t>ORISSAUDALA</t>
  </si>
  <si>
    <t>ORISSAUMARKOTE</t>
  </si>
  <si>
    <t>ORISSAVEDVYAS</t>
  </si>
  <si>
    <t>ORISSAVIKRAMPUR</t>
  </si>
  <si>
    <t>PONDICHERRYARIYANKUPPAM</t>
  </si>
  <si>
    <t>PONDICHERRYBAHOUR COMMUNE PANCHAYAT</t>
  </si>
  <si>
    <t>PONDICHERRYBOMMAYARPALAYAM</t>
  </si>
  <si>
    <t>PONDICHERRYDHANVANTRI NAGAR</t>
  </si>
  <si>
    <t>PONDICHERRYKARAIKAL</t>
  </si>
  <si>
    <t>PONDICHERRYKOTTUCHERRY COMMUNE PANCHAYAT</t>
  </si>
  <si>
    <t>PONDICHERRYKOTTUCHERY</t>
  </si>
  <si>
    <t>PONDICHERRYKUILAPALAYAM</t>
  </si>
  <si>
    <t>PONDICHERRYLAWSPET</t>
  </si>
  <si>
    <t>PONDICHERRYMAHE</t>
  </si>
  <si>
    <t>PONDICHERRYMANNADIPATTU</t>
  </si>
  <si>
    <t>PONDICHERRYMOUROUNGAPAKKAM</t>
  </si>
  <si>
    <t>PONDICHERRYMUTHIALPET</t>
  </si>
  <si>
    <t>PONDICHERRYNELLITHOPE</t>
  </si>
  <si>
    <t>PONDICHERRYNETTAPAKKAM COMMUNE PANCHAYAT</t>
  </si>
  <si>
    <t>PONDICHERRYPILLAICHAVADY</t>
  </si>
  <si>
    <t>PONDICHERRYPONDICHERRY</t>
  </si>
  <si>
    <t>PONDICHERRYSARAM</t>
  </si>
  <si>
    <t>PONDICHERRYTHIRUNALLAR COMMUNE PANCHAYAT</t>
  </si>
  <si>
    <t>PONDICHERRYTIRUMALAIRAYANPATTINAM</t>
  </si>
  <si>
    <t>PONDICHERRYVANUR</t>
  </si>
  <si>
    <t>PONDICHERRYVENKATA NAGAR</t>
  </si>
  <si>
    <t>PONDICHERRYVILLIANUR COMMUNE PANCHAYAT</t>
  </si>
  <si>
    <t>PONDICHERRYYANAM</t>
  </si>
  <si>
    <t>PUNJABABOHAR</t>
  </si>
  <si>
    <t>PUNJABAJNALA</t>
  </si>
  <si>
    <t>PUNJABAMRITSAR</t>
  </si>
  <si>
    <t>PUNJABANANDPUR SAHIB</t>
  </si>
  <si>
    <t>PUNJABBABA BAKALA</t>
  </si>
  <si>
    <t>PUNJABBALACHAUR</t>
  </si>
  <si>
    <t>PUNJABBARNALA</t>
  </si>
  <si>
    <t>PUNJABBASSI PATHANA</t>
  </si>
  <si>
    <t>PUNJABBATALA</t>
  </si>
  <si>
    <t>PUNJABBATHINDA</t>
  </si>
  <si>
    <t>PUNJABBHAGHA PURANA</t>
  </si>
  <si>
    <t>PUNJABBHULATH</t>
  </si>
  <si>
    <t>PUNJABBUDHLADA</t>
  </si>
  <si>
    <t>PUNJABDASUA</t>
  </si>
  <si>
    <t>PUNJABDERA BABA NANAK</t>
  </si>
  <si>
    <t>PUNJABDERA BASSI</t>
  </si>
  <si>
    <t>PUNJABDHAR KALAN</t>
  </si>
  <si>
    <t>PUNJABDHURI</t>
  </si>
  <si>
    <t>PUNJABDIST PMS</t>
  </si>
  <si>
    <t>PUNJABFARIDKOT</t>
  </si>
  <si>
    <t>PUNJABFATEHGARH SAHIB</t>
  </si>
  <si>
    <t>PUNJABFATEHGARH SAHIB - 147301</t>
  </si>
  <si>
    <t>PUNJABFAZILKA</t>
  </si>
  <si>
    <t>PUNJABFIROZPUR</t>
  </si>
  <si>
    <t>PUNJABGANESH TEMPLE</t>
  </si>
  <si>
    <t>PUNJABGARHSHANKAR</t>
  </si>
  <si>
    <t>PUNJABGIDDARBAHA</t>
  </si>
  <si>
    <t>PUNJABGURDASPUR</t>
  </si>
  <si>
    <t>PUNJABHOSHIARPUR</t>
  </si>
  <si>
    <t>PUNJABJAGRAON</t>
  </si>
  <si>
    <t>PUNJABJAITU</t>
  </si>
  <si>
    <t>PUNJABJALALABAD</t>
  </si>
  <si>
    <t>PUNJABJALANDHAR</t>
  </si>
  <si>
    <t>PUNJABKAPURTHALA</t>
  </si>
  <si>
    <t>PUNJABKHADUR SAHIB</t>
  </si>
  <si>
    <t>PUNJABKHAMANON</t>
  </si>
  <si>
    <t>PUNJABKHANNA</t>
  </si>
  <si>
    <t>PUNJABKHARAR</t>
  </si>
  <si>
    <t>PUNJABLUDHIANA</t>
  </si>
  <si>
    <t>PUNJABMALERKOTLA</t>
  </si>
  <si>
    <t>PUNJABMALOUT</t>
  </si>
  <si>
    <t>PUNJABMANSA</t>
  </si>
  <si>
    <t>PUNJABMOGA</t>
  </si>
  <si>
    <t>PUNJABMOHALI</t>
  </si>
  <si>
    <t>PUNJABMOHALI (PHASE - 9)</t>
  </si>
  <si>
    <t>PUNJABMOONAK</t>
  </si>
  <si>
    <t>PUNJABMUKERIAN</t>
  </si>
  <si>
    <t>PUNJABMUKTSAR</t>
  </si>
  <si>
    <t>PUNJABNABHA</t>
  </si>
  <si>
    <t>PUNJABNAKODAR</t>
  </si>
  <si>
    <t>PUNJABNAWANSHAHR</t>
  </si>
  <si>
    <t>PUNJABNIHAL SINGHWALA</t>
  </si>
  <si>
    <t>PUNJABPATHANKOT</t>
  </si>
  <si>
    <t>PUNJABPATIALA</t>
  </si>
  <si>
    <t>PUNJABPATTI</t>
  </si>
  <si>
    <t>PUNJABPAYAL</t>
  </si>
  <si>
    <t>PUNJABPHAGWARA</t>
  </si>
  <si>
    <t>PUNJABPHILLAUR</t>
  </si>
  <si>
    <t>PUNJABRAIKOT</t>
  </si>
  <si>
    <t>PUNJABRAJPURA</t>
  </si>
  <si>
    <t>PUNJABRAMPURA PHUL</t>
  </si>
  <si>
    <t>PUNJABROAD ƒ??GURGAON</t>
  </si>
  <si>
    <t>PUNJABROPAR</t>
  </si>
  <si>
    <t>PUNJABRUPNAGAR</t>
  </si>
  <si>
    <t>PUNJABS.A.S.NAGAR</t>
  </si>
  <si>
    <t>PUNJABSALTLAKE</t>
  </si>
  <si>
    <t>PUNJABSAMANA</t>
  </si>
  <si>
    <t>PUNJABSAMRALA</t>
  </si>
  <si>
    <t>PUNJABSANGRUR</t>
  </si>
  <si>
    <t>PUNJABSARDULGARH</t>
  </si>
  <si>
    <t>PUNJABSHAHKOT</t>
  </si>
  <si>
    <t>PUNJABSIALBA MAJRI</t>
  </si>
  <si>
    <t>PUNJABSULTANPUR LODHI</t>
  </si>
  <si>
    <t>PUNJABSUNAM</t>
  </si>
  <si>
    <t>PUNJABTALWANDI SABO</t>
  </si>
  <si>
    <t>PUNJABTAPA</t>
  </si>
  <si>
    <t>PUNJABTARN-TARAN</t>
  </si>
  <si>
    <t>PUNJABZIRA</t>
  </si>
  <si>
    <t>PUNJABZIRAKPUR</t>
  </si>
  <si>
    <t>RAJASTHAN24 NORTH PARGA</t>
  </si>
  <si>
    <t>RAJASTHANAHORE</t>
  </si>
  <si>
    <t>RAJASTHANAJMER</t>
  </si>
  <si>
    <t>RAJASTHANAKLERA</t>
  </si>
  <si>
    <t>RAJASTHANALASAN</t>
  </si>
  <si>
    <t>RAJASTHANALWAR</t>
  </si>
  <si>
    <t>RAJASTHANAMBER</t>
  </si>
  <si>
    <t>RAJASTHANAMER</t>
  </si>
  <si>
    <t>RAJASTHANANUPGARH</t>
  </si>
  <si>
    <t>RAJASTHANARNOD</t>
  </si>
  <si>
    <t>RAJASTHANASIND</t>
  </si>
  <si>
    <t>RAJASTHANASPUR</t>
  </si>
  <si>
    <t>RAJASTHANATRU</t>
  </si>
  <si>
    <t>RAJASTHANBABRANA</t>
  </si>
  <si>
    <t>RAJASTHANBAGIDORA</t>
  </si>
  <si>
    <t>RAJASTHANBAGORA</t>
  </si>
  <si>
    <t>RAJASTHANBALI</t>
  </si>
  <si>
    <t>RAJASTHANBANERA</t>
  </si>
  <si>
    <t>RAJASTHANBANSUR</t>
  </si>
  <si>
    <t>RAJASTHANBANSWARA</t>
  </si>
  <si>
    <t>RAJASTHANBARAN</t>
  </si>
  <si>
    <t>RAJASTHANBARI</t>
  </si>
  <si>
    <t>RAJASTHANBARI SADRI</t>
  </si>
  <si>
    <t>RAJASTHANBARMER</t>
  </si>
  <si>
    <t>RAJASTHANBASERI</t>
  </si>
  <si>
    <t>RAJASTHANBASSI</t>
  </si>
  <si>
    <t>RAJASTHANBASWA</t>
  </si>
  <si>
    <t>RAJASTHANBAYTOO</t>
  </si>
  <si>
    <t>RAJASTHANBEHROR</t>
  </si>
  <si>
    <t>RAJASTHANBHADESAR</t>
  </si>
  <si>
    <t>RAJASTHANBHADRA</t>
  </si>
  <si>
    <t>RAJASTHANBHARATPUR</t>
  </si>
  <si>
    <t>RAJASTHANBHILWARA</t>
  </si>
  <si>
    <t>RAJASTHANBHINMAL</t>
  </si>
  <si>
    <t>RAJASTHANBHOPALGARH</t>
  </si>
  <si>
    <t>RAJASTHANBHUWANESWAR</t>
  </si>
  <si>
    <t>RAJASTHANBIKANER</t>
  </si>
  <si>
    <t>RAJASTHANBILARA</t>
  </si>
  <si>
    <t>RAJASTHANBUHANA</t>
  </si>
  <si>
    <t>RAJASTHANBUNDI</t>
  </si>
  <si>
    <t>RAJASTHANCHAKSU</t>
  </si>
  <si>
    <t>RAJASTHANCHHABRA</t>
  </si>
  <si>
    <t>RAJASTHANCHHATARGARH</t>
  </si>
  <si>
    <t>RAJASTHANCHHOTI SADRI</t>
  </si>
  <si>
    <t>RAJASTHANCHIRAWA</t>
  </si>
  <si>
    <t>RAJASTHANCHITTAURGARH</t>
  </si>
  <si>
    <t>RAJASTHANCHITTORGARH</t>
  </si>
  <si>
    <t>RAJASTHANCHOHTAN</t>
  </si>
  <si>
    <t>RAJASTHANCHOMU</t>
  </si>
  <si>
    <t>RAJASTHANCHURU</t>
  </si>
  <si>
    <t>RAJASTHANDAUSA</t>
  </si>
  <si>
    <t>RAJASTHANDAUSA H O</t>
  </si>
  <si>
    <t>RAJASTHANDEEG</t>
  </si>
  <si>
    <t>RAJASTHANDEGANA</t>
  </si>
  <si>
    <t>RAJASTHANDEOGARH</t>
  </si>
  <si>
    <t>RAJASTHANDHAMPUR, BIJNOR</t>
  </si>
  <si>
    <t>RAJASTHANDHAULPUR</t>
  </si>
  <si>
    <t>RAJASTHANDIDWANA</t>
  </si>
  <si>
    <t>RAJASTHANDUDU</t>
  </si>
  <si>
    <t>RAJASTHANDUNGARGARH</t>
  </si>
  <si>
    <t>RAJASTHANDUNGARPUR</t>
  </si>
  <si>
    <t>RAJASTHANDUNGLA</t>
  </si>
  <si>
    <t>RAJASTHANFATEHGARH</t>
  </si>
  <si>
    <t>RAJASTHANFATEHPUR</t>
  </si>
  <si>
    <t>RAJASTHANGANGANAGAR</t>
  </si>
  <si>
    <t>RAJASTHANGANGAPUR</t>
  </si>
  <si>
    <t>RAJASTHANGANGDHAR</t>
  </si>
  <si>
    <t>RAJASTHANGANGRAR</t>
  </si>
  <si>
    <t>RAJASTHANGHARSANA</t>
  </si>
  <si>
    <t>RAJASTHANGHATOL</t>
  </si>
  <si>
    <t>RAJASTHANGUDHA MALANI</t>
  </si>
  <si>
    <t>RAJASTHANHANUMANGARH</t>
  </si>
  <si>
    <t>RAJASTHANHINDAUN</t>
  </si>
  <si>
    <t>RAJASTHANHINDOLI</t>
  </si>
  <si>
    <t>RAJASTHANHURDA</t>
  </si>
  <si>
    <t>RAJASTHANINDRAGARH</t>
  </si>
  <si>
    <t>RAJASTHANJAHAZPUR</t>
  </si>
  <si>
    <t>RAJASTHANJAIPUR</t>
  </si>
  <si>
    <t>RAJASTHANJAISALMER</t>
  </si>
  <si>
    <t>RAJASTHANJALOR</t>
  </si>
  <si>
    <t>RAJASTHANJAMWA RAMGARH</t>
  </si>
  <si>
    <t>RAJASTHANJAYAL</t>
  </si>
  <si>
    <t>RAJASTHANJHALAWAR</t>
  </si>
  <si>
    <t>RAJASTHANJHALRAPATAN</t>
  </si>
  <si>
    <t>RAJASTHANJHUNJHUNUN</t>
  </si>
  <si>
    <t>RAJASTHANJODHPUR</t>
  </si>
  <si>
    <t>RAJASTHANKAPASAN</t>
  </si>
  <si>
    <t>RAJASTHANKARANPUR</t>
  </si>
  <si>
    <t>RAJASTHANKARAULI</t>
  </si>
  <si>
    <t>RAJASTHANKATHUMAR</t>
  </si>
  <si>
    <t>RAJASTHANKESHORAIPATAN</t>
  </si>
  <si>
    <t>RAJASTHANKHAJUWALA</t>
  </si>
  <si>
    <t>RAJASTHANKHETRI</t>
  </si>
  <si>
    <t>RAJASTHANKISHANGARH BAS</t>
  </si>
  <si>
    <t>RAJASTHANKOLAYAT</t>
  </si>
  <si>
    <t>RAJASTHANKOTA</t>
  </si>
  <si>
    <t>RAJASTHANKOTPUTLI</t>
  </si>
  <si>
    <t>RAJASTHANKOTRI</t>
  </si>
  <si>
    <t>RAJASTHANKUSHALGARH</t>
  </si>
  <si>
    <t>RAJASTHANLACHHMANGARH</t>
  </si>
  <si>
    <t>RAJASTHANLADNU</t>
  </si>
  <si>
    <t>RAJASTHANLALSOT</t>
  </si>
  <si>
    <t>RAJASTHANLUNI</t>
  </si>
  <si>
    <t>RAJASTHANLUNKARANSAR</t>
  </si>
  <si>
    <t>RAJASTHANMAHWA</t>
  </si>
  <si>
    <t>RAJASTHANMAKRANA</t>
  </si>
  <si>
    <t>RAJASTHANMALARNA DOONGAR</t>
  </si>
  <si>
    <t>RAJASTHANMALPURA</t>
  </si>
  <si>
    <t>RAJASTHANMANDALGARH</t>
  </si>
  <si>
    <t>RAJASTHANMANGROL</t>
  </si>
  <si>
    <t>RAJASTHANMANOHAR THANA</t>
  </si>
  <si>
    <t>RAJASTHANMERTA</t>
  </si>
  <si>
    <t>RAJASTHANNADBAI</t>
  </si>
  <si>
    <t>RAJASTHANNADOTI</t>
  </si>
  <si>
    <t>RAJASTHANNAGAR</t>
  </si>
  <si>
    <t>RAJASTHANNAGAUR</t>
  </si>
  <si>
    <t>RAJASTHANNAINWA</t>
  </si>
  <si>
    <t>RAJASTHANNASIRABAD</t>
  </si>
  <si>
    <t>RAJASTHANNAWA</t>
  </si>
  <si>
    <t>RAJASTHANNAWALGARH</t>
  </si>
  <si>
    <t>RAJASTHANNEEM-KA-THANA</t>
  </si>
  <si>
    <t>RAJASTHANNIMBAHERA</t>
  </si>
  <si>
    <t>RAJASTHANNOHAR</t>
  </si>
  <si>
    <t>RAJASTHANNOKHA</t>
  </si>
  <si>
    <t>RAJASTHANOSIAN</t>
  </si>
  <si>
    <t>RAJASTHANPACHPADRA</t>
  </si>
  <si>
    <t>RAJASTHANPACHPAHAR</t>
  </si>
  <si>
    <t>RAJASTHANPADAMPUR</t>
  </si>
  <si>
    <t>RAJASTHANPAHARI</t>
  </si>
  <si>
    <t>RAJASTHANPALI</t>
  </si>
  <si>
    <t>RAJASTHANPARBATSAR</t>
  </si>
  <si>
    <t>RAJASTHANPHAGI</t>
  </si>
  <si>
    <t>RAJASTHANPHALODI</t>
  </si>
  <si>
    <t>RAJASTHANPHULERA</t>
  </si>
  <si>
    <t>RAJASTHANPILIBANGA</t>
  </si>
  <si>
    <t>RAJASTHANPIRAWA</t>
  </si>
  <si>
    <t>RAJASTHANPOKARAN</t>
  </si>
  <si>
    <t>RAJASTHANPRATAPGARH</t>
  </si>
  <si>
    <t>RAJASTHANRAIPUR</t>
  </si>
  <si>
    <t>RAJASTHANRAJAKHERA</t>
  </si>
  <si>
    <t>RAJASTHANRAJGARH</t>
  </si>
  <si>
    <t>RAJASTHANRAJSAMAND</t>
  </si>
  <si>
    <t>RAJASTHANRAMGANJ MANDI</t>
  </si>
  <si>
    <t>RAJASTHANRAMSAR</t>
  </si>
  <si>
    <t>RAJASTHANRANIWARA</t>
  </si>
  <si>
    <t>RAJASTHANRATANGARH</t>
  </si>
  <si>
    <t>RAJASTHANRAWATBHATA</t>
  </si>
  <si>
    <t>RAJASTHANRAWATSAR</t>
  </si>
  <si>
    <t>RAJASTHANRUPBAS</t>
  </si>
  <si>
    <t>RAJASTHANSADULSHAHAR</t>
  </si>
  <si>
    <t>RAJASTHANSAGWARA</t>
  </si>
  <si>
    <t>RAJASTHANSAHARA</t>
  </si>
  <si>
    <t>RAJASTHANSANCHORE</t>
  </si>
  <si>
    <t>RAJASTHANSANGANER</t>
  </si>
  <si>
    <t>RAJASTHANSANGARIA</t>
  </si>
  <si>
    <t>RAJASTHANSARDARSHAHAR</t>
  </si>
  <si>
    <t>RAJASTHANSARWAR</t>
  </si>
  <si>
    <t>RAJASTHANSAWAI MADHOPUR</t>
  </si>
  <si>
    <t>RAJASTHANSAYLA</t>
  </si>
  <si>
    <t>RAJASTHANSEPAU</t>
  </si>
  <si>
    <t>RAJASTHANSHAHPURA</t>
  </si>
  <si>
    <t>RAJASTHANSHEO</t>
  </si>
  <si>
    <t>RAJASTHANSHERGARH</t>
  </si>
  <si>
    <t>RAJASTHANSIKAR</t>
  </si>
  <si>
    <t>RAJASTHANSIKRAI</t>
  </si>
  <si>
    <t>RAJASTHANSIMALWARA</t>
  </si>
  <si>
    <t>RAJASTHANSIROHI</t>
  </si>
  <si>
    <t>RAJASTHANSIWANA</t>
  </si>
  <si>
    <t>RAJASTHANSOJAT</t>
  </si>
  <si>
    <t>RAJASTHANSRI MADHOPUR</t>
  </si>
  <si>
    <t>RAJASTHANSUJANGARH</t>
  </si>
  <si>
    <t>RAJASTHANSURATGARH</t>
  </si>
  <si>
    <t>RAJASTHANTARANAGAR</t>
  </si>
  <si>
    <t>RAJASTHANTHANAGAZI</t>
  </si>
  <si>
    <t>RAJASTHANTIBI</t>
  </si>
  <si>
    <t>RAJASTHANTIJARA</t>
  </si>
  <si>
    <t>RAJASTHANTONK</t>
  </si>
  <si>
    <t>RAJASTHANUDAIPUR</t>
  </si>
  <si>
    <t>RAJASTHANUDAIPUR(RJ)</t>
  </si>
  <si>
    <t>RAJASTHANUDAIPURWATI</t>
  </si>
  <si>
    <t>RAJASTHANUNIARA</t>
  </si>
  <si>
    <t>RAJASTHANVIRATNAGAR</t>
  </si>
  <si>
    <t>RAJASTHANWEIR</t>
  </si>
  <si>
    <t>SIKKIMDIKCHU</t>
  </si>
  <si>
    <t>SIKKIMEAST DISTRICT</t>
  </si>
  <si>
    <t>SIKKIMGANGTOK BAZAR</t>
  </si>
  <si>
    <t>SIKKIMKABI</t>
  </si>
  <si>
    <t>SIKKIMMAKHA</t>
  </si>
  <si>
    <t>SIKKIMMELLI</t>
  </si>
  <si>
    <t>SIKKIMNAMCHI</t>
  </si>
  <si>
    <t>SIKKIMNAYABAZAR (SIKKIM)</t>
  </si>
  <si>
    <t>SIKKIMNORTH DISTRICT</t>
  </si>
  <si>
    <t>SIKKIMPAKYONG</t>
  </si>
  <si>
    <t>SIKKIMPELLING</t>
  </si>
  <si>
    <t>SIKKIMPHENSONG</t>
  </si>
  <si>
    <t>SIKKIMPHODONG</t>
  </si>
  <si>
    <t>SIKKIMRAJ BHAVAN</t>
  </si>
  <si>
    <t>SIKKIMRANGLU BAZAR</t>
  </si>
  <si>
    <t>SIKKIMRANGPO</t>
  </si>
  <si>
    <t>SIKKIMRANIPOOL</t>
  </si>
  <si>
    <t>SIKKIMRAVANGLA</t>
  </si>
  <si>
    <t>SIKKIMRHENOCK</t>
  </si>
  <si>
    <t>SIKKIMSINGTAM</t>
  </si>
  <si>
    <t>SIKKIMSOUTH DISTRICT</t>
  </si>
  <si>
    <t>TAMIL NADUAGASTHEESWARAM</t>
  </si>
  <si>
    <t>TAMIL NADUAKSHIPAKKAM</t>
  </si>
  <si>
    <t>TAMIL NADUALANGUDI</t>
  </si>
  <si>
    <t>TAMIL NADUALANGULAM</t>
  </si>
  <si>
    <t>TAMIL NADUALAPAKKAM</t>
  </si>
  <si>
    <t>TAMIL NADUAMBASAMUDRAM</t>
  </si>
  <si>
    <t>TAMIL NADUAMBATTUR</t>
  </si>
  <si>
    <t>TAMIL NADUAMMAPET</t>
  </si>
  <si>
    <t>TAMIL NADUANDHERI EAST MUMBAI MAHARASHTR</t>
  </si>
  <si>
    <t>TAMIL NADUANDIPATTI</t>
  </si>
  <si>
    <t>TAMIL NADUARAKONAM</t>
  </si>
  <si>
    <t>TAMIL NADUARANI</t>
  </si>
  <si>
    <t>TAMIL NADUARANTHANGI</t>
  </si>
  <si>
    <t>TAMIL NADUARAVAKURICHI</t>
  </si>
  <si>
    <t>TAMIL NADUARCOT</t>
  </si>
  <si>
    <t>TAMIL NADUARIYALUR</t>
  </si>
  <si>
    <t>TAMIL NADUARUPPUKKOTTAI</t>
  </si>
  <si>
    <t>TAMIL NADUATTUR</t>
  </si>
  <si>
    <t>TAMIL NADUAVANASHI</t>
  </si>
  <si>
    <t>TAMIL NADUAVUDAYARKOIL</t>
  </si>
  <si>
    <t>TAMIL NADUBHAVANI</t>
  </si>
  <si>
    <t>TAMIL NADUBODINAYAKANUR</t>
  </si>
  <si>
    <t>TAMIL NADUCHENGALPATTU</t>
  </si>
  <si>
    <t>TAMIL NADUCHENGAM</t>
  </si>
  <si>
    <t>TAMIL NADUCHENNAI</t>
  </si>
  <si>
    <t>TAMIL NADUCHENNAI-601203</t>
  </si>
  <si>
    <t>TAMIL NADUCHENNAI-603001</t>
  </si>
  <si>
    <t>TAMIL NADUCHEYYAR</t>
  </si>
  <si>
    <t>TAMIL NADUCHEYYUR</t>
  </si>
  <si>
    <t>TAMIL NADUCHIDAMBARAM</t>
  </si>
  <si>
    <t>TAMIL NADUCHINGLEPET</t>
  </si>
  <si>
    <t>TAMIL NADUCOIMBATORE</t>
  </si>
  <si>
    <t>TAMIL NADUCOMPLEX SD ROAD</t>
  </si>
  <si>
    <t>TAMIL NADUCOONOOR</t>
  </si>
  <si>
    <t>TAMIL NADUCUDDALORE</t>
  </si>
  <si>
    <t>TAMIL NADUDENKANIKOTTAI</t>
  </si>
  <si>
    <t>TAMIL NADUDEVAKOTTAI</t>
  </si>
  <si>
    <t>TAMIL NADUDHARAPURAM</t>
  </si>
  <si>
    <t>TAMIL NADUDHARMAPURI</t>
  </si>
  <si>
    <t>TAMIL NADUDINDIGUL</t>
  </si>
  <si>
    <t>TAMIL NADUEDAPPADI</t>
  </si>
  <si>
    <t>TAMIL NADUERACHAKULAM</t>
  </si>
  <si>
    <t>TAMIL NADUERODE</t>
  </si>
  <si>
    <t>TAMIL NADUETTAYAPURAM</t>
  </si>
  <si>
    <t>TAMIL NADUGANGAVALLI</t>
  </si>
  <si>
    <t>TAMIL NADUGINGEE</t>
  </si>
  <si>
    <t>TAMIL NADUGOBICHETTIPALAYAM</t>
  </si>
  <si>
    <t>TAMIL NADUGUDALUR</t>
  </si>
  <si>
    <t>TAMIL NADUGUDALUR NILGIRIS</t>
  </si>
  <si>
    <t>TAMIL NADUGUDIYATHAM</t>
  </si>
  <si>
    <t>TAMIL NADUGUMMIDIPOONDI</t>
  </si>
  <si>
    <t>TAMIL NADUHARUR</t>
  </si>
  <si>
    <t>TAMIL NADUHOSUR</t>
  </si>
  <si>
    <t>TAMIL NADUILAYANGUDI</t>
  </si>
  <si>
    <t>TAMIL NADUILUPPUR</t>
  </si>
  <si>
    <t>TAMIL NADUK KEERANUR</t>
  </si>
  <si>
    <t>TAMIL NADUKADALADI</t>
  </si>
  <si>
    <t>TAMIL NADUKADATHUR</t>
  </si>
  <si>
    <t>TAMIL NADUKADAVASAL</t>
  </si>
  <si>
    <t>TAMIL NADUKALKULAM</t>
  </si>
  <si>
    <t>TAMIL NADUKALLAKKURICHI</t>
  </si>
  <si>
    <t>TAMIL NADUKALLAKURICHI</t>
  </si>
  <si>
    <t>TAMIL NADUKALPAKKAM</t>
  </si>
  <si>
    <t>TAMIL NADUKAMUTHI</t>
  </si>
  <si>
    <t>TAMIL NADUKANCHEEPURAM</t>
  </si>
  <si>
    <t>TAMIL NADUKANGEYAM</t>
  </si>
  <si>
    <t>TAMIL NADUKARAIKKUDI</t>
  </si>
  <si>
    <t>TAMIL NADUKARIAPATTI</t>
  </si>
  <si>
    <t>TAMIL NADUKARUR</t>
  </si>
  <si>
    <t>TAMIL NADUKATPADI</t>
  </si>
  <si>
    <t>TAMIL NADUKATTUMANNARKOIL</t>
  </si>
  <si>
    <t>TAMIL NADUKILVELUR</t>
  </si>
  <si>
    <t>TAMIL NADUKODAIKANAL</t>
  </si>
  <si>
    <t>TAMIL NADUKODALIKARUPPUR</t>
  </si>
  <si>
    <t>TAMIL NADUKODAMBAKKAM</t>
  </si>
  <si>
    <t>TAMIL NADUKODAVASAL</t>
  </si>
  <si>
    <t>TAMIL NADUKOLAPPALURE CBE</t>
  </si>
  <si>
    <t>TAMIL NADUKOTAGIRI</t>
  </si>
  <si>
    <t>TAMIL NADUKOVILPATTI</t>
  </si>
  <si>
    <t>TAMIL NADUKOVILUR MADURAI</t>
  </si>
  <si>
    <t>TAMIL NADUKRISHNAGIRI</t>
  </si>
  <si>
    <t>TAMIL NADUKRISHNARAYAPURAM</t>
  </si>
  <si>
    <t>TAMIL NADUKUDDAPAKKAM</t>
  </si>
  <si>
    <t>TAMIL NADUKULATHUR</t>
  </si>
  <si>
    <t>TAMIL NADUKULITHALAI</t>
  </si>
  <si>
    <t>TAMIL NADUKUMBAKONAM</t>
  </si>
  <si>
    <t>TAMIL NADUKUNDAH</t>
  </si>
  <si>
    <t>TAMIL NADUKUNNAM</t>
  </si>
  <si>
    <t>TAMIL NADULALGUDI</t>
  </si>
  <si>
    <t>TAMIL NADUMADURAI</t>
  </si>
  <si>
    <t>TAMIL NADUMADURANTHAKAM</t>
  </si>
  <si>
    <t>TAMIL NADUMAILPATTI</t>
  </si>
  <si>
    <t>TAMIL NADUMANACHANALLUR</t>
  </si>
  <si>
    <t>TAMIL NADUMANAMADURAI</t>
  </si>
  <si>
    <t>TAMIL NADUMANAMELKUDI</t>
  </si>
  <si>
    <t>TAMIL NADUMANAPPARAI</t>
  </si>
  <si>
    <t>TAMIL NADUMANNARGUDI</t>
  </si>
  <si>
    <t>TAMIL NADUMAYILADUTHURAI</t>
  </si>
  <si>
    <t>TAMIL NADUMELUR</t>
  </si>
  <si>
    <t>TAMIL NADUMETTUPALAYAM</t>
  </si>
  <si>
    <t>TAMIL NADUMETTUR</t>
  </si>
  <si>
    <t>TAMIL NADUMUDUKULATHUR</t>
  </si>
  <si>
    <t>TAMIL NADUMUSIRI</t>
  </si>
  <si>
    <t>TAMIL NADUNAGAPATTINAM</t>
  </si>
  <si>
    <t>TAMIL NADUNAMAKKAL</t>
  </si>
  <si>
    <t>TAMIL NADUNANGUNERI</t>
  </si>
  <si>
    <t>TAMIL NADUNANNILAM</t>
  </si>
  <si>
    <t>TAMIL NADUNARASINGAPURAM</t>
  </si>
  <si>
    <t>TAMIL NADUNATHAM</t>
  </si>
  <si>
    <t>TAMIL NADUNEEDAMANGALAM</t>
  </si>
  <si>
    <t>TAMIL NADUNEYVELI - 02</t>
  </si>
  <si>
    <t>TAMIL NADUNILAKKOTTAI</t>
  </si>
  <si>
    <t>TAMIL NADUODDANCHATRAM</t>
  </si>
  <si>
    <t>TAMIL NADUOMALUR</t>
  </si>
  <si>
    <t>TAMIL NADUORATHANADU</t>
  </si>
  <si>
    <t>TAMIL NADUOTTAPIDARAM</t>
  </si>
  <si>
    <t>TAMIL NADUPALAKKODU</t>
  </si>
  <si>
    <t>TAMIL NADUPALANI</t>
  </si>
  <si>
    <t>TAMIL NADUPALAYAMKOTTAI</t>
  </si>
  <si>
    <t>TAMIL NADUPALLADAM</t>
  </si>
  <si>
    <t>TAMIL NADUPALLIPATTU</t>
  </si>
  <si>
    <t>TAMIL NADUPANDALUR</t>
  </si>
  <si>
    <t>TAMIL NADUPANRUTI</t>
  </si>
  <si>
    <t>TAMIL NADUPANTHALUR</t>
  </si>
  <si>
    <t>TAMIL NADUPAPANASAM</t>
  </si>
  <si>
    <t>TAMIL NADUPAPPIREDDIPATTI</t>
  </si>
  <si>
    <t>TAMIL NADUPARAMAKUDI</t>
  </si>
  <si>
    <t>TAMIL NADUPARAMATHI-VELUR</t>
  </si>
  <si>
    <t>TAMIL NADUPATTUKKOTTAI</t>
  </si>
  <si>
    <t>TAMIL NADUPENNAGARAM</t>
  </si>
  <si>
    <t>TAMIL NADUPERAIYUR</t>
  </si>
  <si>
    <t>TAMIL NADUPERAMBALUR</t>
  </si>
  <si>
    <t>TAMIL NADUPERAVURANI</t>
  </si>
  <si>
    <t>TAMIL NADUPERIYAKULAM</t>
  </si>
  <si>
    <t>TAMIL NADUPERUNDURAI</t>
  </si>
  <si>
    <t>TAMIL NADUPOCHAMPALLI</t>
  </si>
  <si>
    <t>TAMIL NADUPOLLACHI</t>
  </si>
  <si>
    <t>TAMIL NADUPOLUR</t>
  </si>
  <si>
    <t>TAMIL NADUPONDICHERY</t>
  </si>
  <si>
    <t>TAMIL NADUPONNERI</t>
  </si>
  <si>
    <t>TAMIL NADUPOONAMALLEE</t>
  </si>
  <si>
    <t>TAMIL NADUPUDUKKOTTAI</t>
  </si>
  <si>
    <t>TAMIL NADURADHAPURAM</t>
  </si>
  <si>
    <t>TAMIL NADURAJAPALAYAM</t>
  </si>
  <si>
    <t>TAMIL NADURAMANATHAPURAM</t>
  </si>
  <si>
    <t>TAMIL NADURAMESWARAM</t>
  </si>
  <si>
    <t>TAMIL NADURASIPURAM</t>
  </si>
  <si>
    <t>TAMIL NADUSALEM</t>
  </si>
  <si>
    <t>TAMIL NADUSANKARANKOIL</t>
  </si>
  <si>
    <t>TAMIL NADUSANKARAPURAM</t>
  </si>
  <si>
    <t>TAMIL NADUSANKARI</t>
  </si>
  <si>
    <t>TAMIL NADUSATHANKULAM</t>
  </si>
  <si>
    <t>TAMIL NADUSATHYAMANGALAM</t>
  </si>
  <si>
    <t>TAMIL NADUSATTUR</t>
  </si>
  <si>
    <t>TAMIL NADUSENDURAI</t>
  </si>
  <si>
    <t>TAMIL NADUSHENKOTTAI</t>
  </si>
  <si>
    <t>TAMIL NADUSIRKALI</t>
  </si>
  <si>
    <t>TAMIL NADUSIVAGANGA</t>
  </si>
  <si>
    <t>TAMIL NADUSIVAGIRI</t>
  </si>
  <si>
    <t>TAMIL NADUSIVAKASI</t>
  </si>
  <si>
    <t>TAMIL NADUSRI RAMANASHRAMAN</t>
  </si>
  <si>
    <t>TAMIL NADUSRIPERUMBADUR</t>
  </si>
  <si>
    <t>TAMIL NADUSRIPERUMBUDUR</t>
  </si>
  <si>
    <t>TAMIL NADUSRIRANGAM</t>
  </si>
  <si>
    <t>TAMIL NADUSRIVAIKUNTAM</t>
  </si>
  <si>
    <t>TAMIL NADUSRIVILLIPUTHUR</t>
  </si>
  <si>
    <t>TAMIL NADUTAMBARAM</t>
  </si>
  <si>
    <t>TAMIL NADUTEIZHANDUR</t>
  </si>
  <si>
    <t>TAMIL NADUTENKASI</t>
  </si>
  <si>
    <t>TAMIL NADUTHACHANALLUR</t>
  </si>
  <si>
    <t>TAMIL NADUTHANJAVUR</t>
  </si>
  <si>
    <t>TAMIL NADUTHARANGAMBADI</t>
  </si>
  <si>
    <t>TAMIL NADUTHENI</t>
  </si>
  <si>
    <t>TAMIL NADUTHIRUKKUVALAI</t>
  </si>
  <si>
    <t>TAMIL NADUTHIRUMANGALAM</t>
  </si>
  <si>
    <t>TAMIL NADUTHIRUMAYAM</t>
  </si>
  <si>
    <t>TAMIL NADUTHIRUTHURAIPOONDI</t>
  </si>
  <si>
    <t>TAMIL NADUTHIRUVAIYARU</t>
  </si>
  <si>
    <t>TAMIL NADUTHIRUVALLUR</t>
  </si>
  <si>
    <t>TAMIL NADUTHIRUVANANTHAPURAM</t>
  </si>
  <si>
    <t>TAMIL NADUTHIRUVARUR</t>
  </si>
  <si>
    <t>TAMIL NADUTHIRUVIDAIMARUDUR</t>
  </si>
  <si>
    <t>TAMIL NADUTHOOTHUKKUDI</t>
  </si>
  <si>
    <t>TAMIL NADUTHOOTHUKUDI</t>
  </si>
  <si>
    <t>TAMIL NADUTHOTTIYAM</t>
  </si>
  <si>
    <t>TAMIL NADUTHOVALA</t>
  </si>
  <si>
    <t>TAMIL NADUTHURAIYUR</t>
  </si>
  <si>
    <t>TAMIL NADUTINDIVANAM</t>
  </si>
  <si>
    <t>TAMIL NADUTINDIVANAM-604001</t>
  </si>
  <si>
    <t>TAMIL NADUTIRUCHENDUR</t>
  </si>
  <si>
    <t>TAMIL NADUTIRUCHENGODE</t>
  </si>
  <si>
    <t>TAMIL NADUTIRUCHIRAPPALLI</t>
  </si>
  <si>
    <t>TAMIL NADUTIRUCHULI</t>
  </si>
  <si>
    <t>TAMIL NADUTIRUKALUKUNDRAM</t>
  </si>
  <si>
    <t>TAMIL NADUTIRUKKOYILUR</t>
  </si>
  <si>
    <t>TAMIL NADUTIRUMANI ARNI</t>
  </si>
  <si>
    <t>TAMIL NADUTIRUNELVELI</t>
  </si>
  <si>
    <t>TAMIL NADUTIRUPANDI</t>
  </si>
  <si>
    <t>TAMIL NADUTIRUPATHUR</t>
  </si>
  <si>
    <t>TAMIL NADUTIRUPATTUR</t>
  </si>
  <si>
    <t>TAMIL NADUTIRUPPUR</t>
  </si>
  <si>
    <t>TAMIL NADUTIRUPUR</t>
  </si>
  <si>
    <t>TAMIL NADUTIRUTTANI</t>
  </si>
  <si>
    <t>TAMIL NADUTIRUVADANAI</t>
  </si>
  <si>
    <t>TAMIL NADUTIRUVANNAMALAI</t>
  </si>
  <si>
    <t>TAMIL NADUTITTAKUDI</t>
  </si>
  <si>
    <t>TAMIL NADUUDAYARPALAYAM</t>
  </si>
  <si>
    <t>TAMIL NADUUDHAGAMANDALAM</t>
  </si>
  <si>
    <t>TAMIL NADUUDUMALAIPETTAI</t>
  </si>
  <si>
    <t>TAMIL NADUULUNDURPETTAI</t>
  </si>
  <si>
    <t>TAMIL NADUUSILAMPATTI</t>
  </si>
  <si>
    <t>TAMIL NADUUTHAMAPALAYAM</t>
  </si>
  <si>
    <t>TAMIL NADUUTHANGARAI</t>
  </si>
  <si>
    <t>TAMIL NADUUTHIRAMERUR</t>
  </si>
  <si>
    <t>TAMIL NADUUTHUKKOTTAI</t>
  </si>
  <si>
    <t>TAMIL NADUVADAKKU MANGUDI</t>
  </si>
  <si>
    <t>TAMIL NADUVADIPATTI</t>
  </si>
  <si>
    <t>TAMIL NADUVALANGAIMAN</t>
  </si>
  <si>
    <t>TAMIL NADUVALATHOOR</t>
  </si>
  <si>
    <t>TAMIL NADUVALPARAI</t>
  </si>
  <si>
    <t>TAMIL NADUVANDAVASI</t>
  </si>
  <si>
    <t>TAMIL NADUVANIYAMBADI</t>
  </si>
  <si>
    <t>TAMIL NADUVANUR</t>
  </si>
  <si>
    <t>TAMIL NADUVAZHAPADI</t>
  </si>
  <si>
    <t>TAMIL NADUVEDARANYAM</t>
  </si>
  <si>
    <t>TAMIL NADUVEDASANDUR</t>
  </si>
  <si>
    <t>TAMIL NADUVEERAKERALAMPUTHUR</t>
  </si>
  <si>
    <t>TAMIL NADUVELLODU</t>
  </si>
  <si>
    <t>TAMIL NADUVELLORE</t>
  </si>
  <si>
    <t>TAMIL NADUVELUR S A</t>
  </si>
  <si>
    <t>TAMIL NADUVEMBAKKAM</t>
  </si>
  <si>
    <t>TAMIL NADUVEPPANTHATTAI</t>
  </si>
  <si>
    <t>TAMIL NADUVILATHIKULAM</t>
  </si>
  <si>
    <t>TAMIL NADUVILAVANCODE</t>
  </si>
  <si>
    <t>TAMIL NADUVILLUPURAM</t>
  </si>
  <si>
    <t>TAMIL NADUVILUPPURAM</t>
  </si>
  <si>
    <t>TAMIL NADUVIRUDHACHALAM</t>
  </si>
  <si>
    <t>TAMIL NADUVIRUDHUNAGAR</t>
  </si>
  <si>
    <t>TAMIL NADUWALLAJAH</t>
  </si>
  <si>
    <t>TAMIL NADUYERCAUD</t>
  </si>
  <si>
    <t>TELANGANAACHAMPET</t>
  </si>
  <si>
    <t>TELANGANAADILABAD</t>
  </si>
  <si>
    <t>TELANGANAAIR FORCE STATION</t>
  </si>
  <si>
    <t>TELANGANAALAIR</t>
  </si>
  <si>
    <t>TELANGANAALAMPUR</t>
  </si>
  <si>
    <t>TELANGANAALLADURG</t>
  </si>
  <si>
    <t>TELANGANAAMANGAL</t>
  </si>
  <si>
    <t>TELANGANAAMRABAD</t>
  </si>
  <si>
    <t>TELANGANAANDOLE</t>
  </si>
  <si>
    <t>TELANGANAANUMULA</t>
  </si>
  <si>
    <t>TELANGANAAREPALLE</t>
  </si>
  <si>
    <t>TELANGANAARMOOR BUS STATION</t>
  </si>
  <si>
    <t>TELANGANAARMUR</t>
  </si>
  <si>
    <t>TELANGANAASIFABAD</t>
  </si>
  <si>
    <t>TELANGANAASWAPURAM</t>
  </si>
  <si>
    <t>TELANGANAASWARAOPETA</t>
  </si>
  <si>
    <t>TELANGANABACHANNAPET</t>
  </si>
  <si>
    <t>TELANGANABALANAGAR</t>
  </si>
  <si>
    <t>TELANGANABALKONDA</t>
  </si>
  <si>
    <t>TELANGANABANSWADA</t>
  </si>
  <si>
    <t>TELANGANABASHEERABAD</t>
  </si>
  <si>
    <t>TELANGANABAYYARAM</t>
  </si>
  <si>
    <t>TELANGANABEJJANKI</t>
  </si>
  <si>
    <t>TELANGANABEJJUR</t>
  </si>
  <si>
    <t>TELANGANABELLAMPALLE</t>
  </si>
  <si>
    <t>TELANGANABHADRACHALAM</t>
  </si>
  <si>
    <t>TELANGANABHAINSA</t>
  </si>
  <si>
    <t>TELANGANABHEEMADEVARPALLE</t>
  </si>
  <si>
    <t>TELANGANABHEEMGAL</t>
  </si>
  <si>
    <t>TELANGANABHIKNOOR</t>
  </si>
  <si>
    <t>TELANGANABHONGIR</t>
  </si>
  <si>
    <t>TELANGANABHOOTHPUR</t>
  </si>
  <si>
    <t>TELANGANABHUPALPALLE</t>
  </si>
  <si>
    <t>TELANGANABIBINAGAR</t>
  </si>
  <si>
    <t>TELANGANABICHKUNDA</t>
  </si>
  <si>
    <t>TELANGANABIJINAPALLE</t>
  </si>
  <si>
    <t>TELANGANABIRKOOR</t>
  </si>
  <si>
    <t>TELANGANABOATH</t>
  </si>
  <si>
    <t>TELANGANABODHAN</t>
  </si>
  <si>
    <t>TELANGANABOINPALLE</t>
  </si>
  <si>
    <t>TELANGANABOMRASPET</t>
  </si>
  <si>
    <t>TELANGANABONAKAL</t>
  </si>
  <si>
    <t>TELANGANABURGAMPAHAD</t>
  </si>
  <si>
    <t>TELANGANACHANDARABHAGANAGAR</t>
  </si>
  <si>
    <t>TELANGANACHANDRUGONDA</t>
  </si>
  <si>
    <t>TELANGANACHANDUR</t>
  </si>
  <si>
    <t>TELANGANACHANDURTHI</t>
  </si>
  <si>
    <t>TELANGANACHEGUNTA</t>
  </si>
  <si>
    <t>TELANGANACHENGALPET</t>
  </si>
  <si>
    <t>TELANGANACHENNUR</t>
  </si>
  <si>
    <t>TELANGANACHERIAL</t>
  </si>
  <si>
    <t>TELANGANACHERLA</t>
  </si>
  <si>
    <t>TELANGANACHIGURUMAMIDI</t>
  </si>
  <si>
    <t>TELANGANACHILKUR</t>
  </si>
  <si>
    <t>TELANGANACHINNACHINTAKUNTA</t>
  </si>
  <si>
    <t>TELANGANACHINTHAKANI</t>
  </si>
  <si>
    <t>TELANGANACHINTUR</t>
  </si>
  <si>
    <t>TELANGANACHITYALA</t>
  </si>
  <si>
    <t>TELANGANACHOPPADANDI</t>
  </si>
  <si>
    <t>TELANGANACHOUTUPPAL</t>
  </si>
  <si>
    <t>TELANGANADAMARAGIDDA</t>
  </si>
  <si>
    <t>TELANGANADAMMAPETA</t>
  </si>
  <si>
    <t>TELANGANADANDEPALLE</t>
  </si>
  <si>
    <t>TELANGANADEVARAKONDA</t>
  </si>
  <si>
    <t>TELANGANADEVARKADRA</t>
  </si>
  <si>
    <t>TELANGANADEVARUPPULA</t>
  </si>
  <si>
    <t>TELANGANADHADING</t>
  </si>
  <si>
    <t>TELANGANADHANWADA</t>
  </si>
  <si>
    <t>TELANGANADHARMAPURI</t>
  </si>
  <si>
    <t>TELANGANADHARMASAGAR</t>
  </si>
  <si>
    <t>TELANGANADHARPALLE</t>
  </si>
  <si>
    <t>TELANGANADHARUR</t>
  </si>
  <si>
    <t>TELANGANADICHPALLE</t>
  </si>
  <si>
    <t>TELANGANADILAWARPUR</t>
  </si>
  <si>
    <t>TELANGANADOMA</t>
  </si>
  <si>
    <t>TELANGANADOMAKONDA</t>
  </si>
  <si>
    <t>TELANGANADOREPALLE</t>
  </si>
  <si>
    <t>TELANGANADUBBAK</t>
  </si>
  <si>
    <t>TELANGANADUGGONDI</t>
  </si>
  <si>
    <t>TELANGANADUMMUGUDEM</t>
  </si>
  <si>
    <t>TELANGANAELKATHURTHI</t>
  </si>
  <si>
    <t>TELANGANAENKURU</t>
  </si>
  <si>
    <t>TELANGANAETURNAGARAM</t>
  </si>
  <si>
    <t>TELANGANAFAROOQNAGAR</t>
  </si>
  <si>
    <t>TELANGANAFATORDA MARGAO,</t>
  </si>
  <si>
    <t>TELANGANAGAJWEL</t>
  </si>
  <si>
    <t>TELANGANAGAMBHIRAOPET</t>
  </si>
  <si>
    <t>TELANGANAGANDHARI</t>
  </si>
  <si>
    <t>TELANGANAGANGADHARA</t>
  </si>
  <si>
    <t>TELANGANAGARIDEPALLE</t>
  </si>
  <si>
    <t>TELANGANAGARLA</t>
  </si>
  <si>
    <t>TELANGANAGHANPUR</t>
  </si>
  <si>
    <t>TELANGANAGHATKESAR</t>
  </si>
  <si>
    <t>TELANGANAGHATTU</t>
  </si>
  <si>
    <t>TELANGANAGOLLAPALLE</t>
  </si>
  <si>
    <t>TELANGANAGOPALPETA</t>
  </si>
  <si>
    <t>TELANGANAGOVINDARAOPET</t>
  </si>
  <si>
    <t>TELANGANAGROVE, PUTTAPARTHI</t>
  </si>
  <si>
    <t>TELANGANAGUDIHATHNOOR</t>
  </si>
  <si>
    <t>TELANGANAGURRAMPODE</t>
  </si>
  <si>
    <t>TELANGANAHANAMKONDA</t>
  </si>
  <si>
    <t>TELANGANAHANWADA</t>
  </si>
  <si>
    <t>TELANGANAHASANPARTHY</t>
  </si>
  <si>
    <t>TELANGANAHATHNOORA</t>
  </si>
  <si>
    <t>TELANGANAHAYATHNAGAR</t>
  </si>
  <si>
    <t>TELANGANAHUSNABAD</t>
  </si>
  <si>
    <t>TELANGANAHUZURABAD</t>
  </si>
  <si>
    <t>TELANGANAHUZURNAGAR</t>
  </si>
  <si>
    <t>TELANGANAHYDERABAD</t>
  </si>
  <si>
    <t>TELANGANAHYDERABAD CITY</t>
  </si>
  <si>
    <t>TELANGANAHYDERABAD(AP)</t>
  </si>
  <si>
    <t>TELANGANAHYDERABAD-502319</t>
  </si>
  <si>
    <t>TELANGANAICHODA</t>
  </si>
  <si>
    <t>TELANGANAICRISAT</t>
  </si>
  <si>
    <t>TELANGANAIEEJ</t>
  </si>
  <si>
    <t>TELANGANAINDARAM</t>
  </si>
  <si>
    <t>TELANGANAINDERAVELLY</t>
  </si>
  <si>
    <t>TELANGANAINDUSTRIAL AREA</t>
  </si>
  <si>
    <t>TELANGANAJADCHERLA</t>
  </si>
  <si>
    <t>TELANGANAJAGDEVPUR</t>
  </si>
  <si>
    <t>TELANGANAJAGTIAL</t>
  </si>
  <si>
    <t>TELANGANAJAINOOR</t>
  </si>
  <si>
    <t>TELANGANAJAKRANPALLE</t>
  </si>
  <si>
    <t>TELANGANAJAMMIKUNTA</t>
  </si>
  <si>
    <t>TELANGANAJAMSHEDAPUR</t>
  </si>
  <si>
    <t>TELANGANAJANGAON</t>
  </si>
  <si>
    <t>TELANGANAJANNARAM</t>
  </si>
  <si>
    <t>TELANGANAJHARASANGAM</t>
  </si>
  <si>
    <t>TELANGANAJUKKAL</t>
  </si>
  <si>
    <t>TELANGANAJULAPALLE</t>
  </si>
  <si>
    <t>TELANGANAKADDAM</t>
  </si>
  <si>
    <t>TELANGANAKALLUR</t>
  </si>
  <si>
    <t>TELANGANAKALWAKURTHY</t>
  </si>
  <si>
    <t>TELANGANAKAMALAPUR</t>
  </si>
  <si>
    <t>TELANGANAKAMAREDDY</t>
  </si>
  <si>
    <t>TELANGANAKAMEPALLE</t>
  </si>
  <si>
    <t>TELANGANAKAMMARPALLE</t>
  </si>
  <si>
    <t>TELANGANAKARIMNAGAR</t>
  </si>
  <si>
    <t>TELANGANAKASIPET</t>
  </si>
  <si>
    <t>TELANGANAKATARAM</t>
  </si>
  <si>
    <t>TELANGANAKATHLAPUR</t>
  </si>
  <si>
    <t>TELANGANAKATTANGOOR</t>
  </si>
  <si>
    <t>TELANGANAKESAMUDRAM</t>
  </si>
  <si>
    <t>TELANGANAKESHAMPET</t>
  </si>
  <si>
    <t>TELANGANAKETHE PALLE</t>
  </si>
  <si>
    <t>TELANGANAKHAMMAM</t>
  </si>
  <si>
    <t>TELANGANAKHANAPUR</t>
  </si>
  <si>
    <t>TELANGANAKODAD</t>
  </si>
  <si>
    <t>TELANGANAKODAKANDLA</t>
  </si>
  <si>
    <t>TELANGANAKODANGAL</t>
  </si>
  <si>
    <t>TELANGANAKODIMIAL</t>
  </si>
  <si>
    <t>TELANGANAKOHIR</t>
  </si>
  <si>
    <t>TELANGANAKOILKONDA</t>
  </si>
  <si>
    <t>TELANGANAKOLLAPUR</t>
  </si>
  <si>
    <t>TELANGANAKONARAOPETA</t>
  </si>
  <si>
    <t>TELANGANAKONDAPAK</t>
  </si>
  <si>
    <t>TELANGANAKONDAPUR</t>
  </si>
  <si>
    <t>TELANGANAKONDURG</t>
  </si>
  <si>
    <t>TELANGANAKONIJERLA</t>
  </si>
  <si>
    <t>TELANGANAKORATLA</t>
  </si>
  <si>
    <t>TELANGANAKOSGI</t>
  </si>
  <si>
    <t>TELANGANAKOTAPALLE</t>
  </si>
  <si>
    <t>TELANGANAKOTGIRI</t>
  </si>
  <si>
    <t>TELANGANAKOTHAGUDEM</t>
  </si>
  <si>
    <t>TELANGANAKOTHAKOTA</t>
  </si>
  <si>
    <t>TELANGANAKOTHUR</t>
  </si>
  <si>
    <t>TELANGANAKOWDIPALLE</t>
  </si>
  <si>
    <t>TELANGANAKUKUNOOR</t>
  </si>
  <si>
    <t>TELANGANAKULCHARAM</t>
  </si>
  <si>
    <t>TELANGANAKUNAVARAM</t>
  </si>
  <si>
    <t>TELANGANAKUNTALA</t>
  </si>
  <si>
    <t>TELANGANAKURAVI</t>
  </si>
  <si>
    <t>TELANGANAKUSUMANCHI</t>
  </si>
  <si>
    <t>TELANGANALINGAL</t>
  </si>
  <si>
    <t>TELANGANALINGALAGHANPUR</t>
  </si>
  <si>
    <t>TELANGANALUXETTIPET</t>
  </si>
  <si>
    <t>TELANGANAMADDUR</t>
  </si>
  <si>
    <t>TELANGANAMADGUL</t>
  </si>
  <si>
    <t>TELANGANAMADHIRA</t>
  </si>
  <si>
    <t>TELANGANAMADNOOR</t>
  </si>
  <si>
    <t>TELANGANAMAGANOOR</t>
  </si>
  <si>
    <t>TELANGANAMAHABUBABAD</t>
  </si>
  <si>
    <t>TELANGANAMAHADEVPUR</t>
  </si>
  <si>
    <t>TELANGANAMAHBUBNAGAR</t>
  </si>
  <si>
    <t>TELANGANAMAHESWARAM</t>
  </si>
  <si>
    <t>TELANGANAMAKLOOR</t>
  </si>
  <si>
    <t>TELANGANAMAKTHAL</t>
  </si>
  <si>
    <t>TELANGANAMALLIAL</t>
  </si>
  <si>
    <t>TELANGANAMAMDA</t>
  </si>
  <si>
    <t>TELANGANAMANAKONDUR</t>
  </si>
  <si>
    <t>TELANGANAMANCHAL</t>
  </si>
  <si>
    <t>TELANGANAMANCHERIAL</t>
  </si>
  <si>
    <t>TELANGANAMANDAL,GUNTUR</t>
  </si>
  <si>
    <t>TELANGANAMANOPAD</t>
  </si>
  <si>
    <t>TELANGANAMARRIGUDA</t>
  </si>
  <si>
    <t>TELANGANAMATUNGA MUMBAI</t>
  </si>
  <si>
    <t>TELANGANAMEDAK</t>
  </si>
  <si>
    <t>TELANGANAMEDCHAL</t>
  </si>
  <si>
    <t>TELANGANAMEDIPALLE</t>
  </si>
  <si>
    <t>TELANGANAMELLA CHERUVU</t>
  </si>
  <si>
    <t>TELANGANAMETPALLE</t>
  </si>
  <si>
    <t>TELANGANAMIDJIL</t>
  </si>
  <si>
    <t>TELANGANAMIRDODDI</t>
  </si>
  <si>
    <t>TELANGANAMOGULLAPALLE</t>
  </si>
  <si>
    <t>TELANGANAMOINABAD</t>
  </si>
  <si>
    <t>TELANGANAMORTAD</t>
  </si>
  <si>
    <t>TELANGANAMOTHEY</t>
  </si>
  <si>
    <t>TELANGANAMOTHKUR</t>
  </si>
  <si>
    <t>TELANGANAMUDHOLE</t>
  </si>
  <si>
    <t>TELANGANAMUDIGONDA</t>
  </si>
  <si>
    <t>TELANGANAMULUG</t>
  </si>
  <si>
    <t>TELANGANAMUNAGALA</t>
  </si>
  <si>
    <t>TELANGANAMUNUGODE</t>
  </si>
  <si>
    <t>TELANGANAMUSTABAD</t>
  </si>
  <si>
    <t>TELANGANAMUTHARAM</t>
  </si>
  <si>
    <t>TELANGANANADIGUDEM</t>
  </si>
  <si>
    <t>TELANGANANAGAREDDIPET</t>
  </si>
  <si>
    <t>TELANGANANAGARKURNOOL</t>
  </si>
  <si>
    <t>TELANGANANAKREKAL</t>
  </si>
  <si>
    <t>TELANGANANALGONDA</t>
  </si>
  <si>
    <t>TELANGANANAMPALLE</t>
  </si>
  <si>
    <t>TELANGANANANGNOOR</t>
  </si>
  <si>
    <t>TELANGANANARASINGAPURAM</t>
  </si>
  <si>
    <t>TELANGANANARAYANAPUR</t>
  </si>
  <si>
    <t>TELANGANANARAYANKHED</t>
  </si>
  <si>
    <t>TELANGANANARAYANPET</t>
  </si>
  <si>
    <t>TELANGANANARKETPALLE</t>
  </si>
  <si>
    <t>TELANGANANARNOOR</t>
  </si>
  <si>
    <t>TELANGANANARSAMPET</t>
  </si>
  <si>
    <t>TELANGANANARSAPUR</t>
  </si>
  <si>
    <t>TELANGANANARSIMHULAPET</t>
  </si>
  <si>
    <t>TELANGANANAVIPET</t>
  </si>
  <si>
    <t>TELANGANANAWABPET</t>
  </si>
  <si>
    <t>TELANGANANEKKONDA</t>
  </si>
  <si>
    <t>TELANGANANELAKONDAPALLE</t>
  </si>
  <si>
    <t>TELANGANANELLIKUDUR</t>
  </si>
  <si>
    <t>TELANGANANERADIGONDA</t>
  </si>
  <si>
    <t>TELANGANANEREDCHERLA</t>
  </si>
  <si>
    <t>TELANGANANERELLA</t>
  </si>
  <si>
    <t>TELANGANANIDAMANUR</t>
  </si>
  <si>
    <t>TELANGANANIRMAL</t>
  </si>
  <si>
    <t>TELANGANANIZAMABAD</t>
  </si>
  <si>
    <t>TELANGANANIZAMSAGAR</t>
  </si>
  <si>
    <t>TELANGANANUTHANKAL</t>
  </si>
  <si>
    <t>TELANGANANYALKAL</t>
  </si>
  <si>
    <t>TELANGANAPALWANCHA</t>
  </si>
  <si>
    <t>TELANGANAPANGAL</t>
  </si>
  <si>
    <t>TELANGANAPAPANNAPET</t>
  </si>
  <si>
    <t>TELANGANAPARGI</t>
  </si>
  <si>
    <t>TELANGANAPARKAL</t>
  </si>
  <si>
    <t>TELANGANAPATANCHERU</t>
  </si>
  <si>
    <t>TELANGANAPEBBAIR</t>
  </si>
  <si>
    <t>TELANGANAPEDDA ADISERLA PALLE</t>
  </si>
  <si>
    <t>TELANGANAPEDDAKOTHAPALLE</t>
  </si>
  <si>
    <t>TELANGANAPEDDAPALLE</t>
  </si>
  <si>
    <t>TELANGANAPEDDAVOORA</t>
  </si>
  <si>
    <t>TELANGANAPEDDEMUL</t>
  </si>
  <si>
    <t>TELANGANAPITLAM</t>
  </si>
  <si>
    <t>TELANGANAPOCHAMPALLE</t>
  </si>
  <si>
    <t>TELANGANAPULKAL</t>
  </si>
  <si>
    <t>TELANGANAR E COLLEGE</t>
  </si>
  <si>
    <t>TELANGANARAGHUNATHPALLE</t>
  </si>
  <si>
    <t>TELANGANARAIGARGH</t>
  </si>
  <si>
    <t>TELANGANARAIKAL</t>
  </si>
  <si>
    <t>TELANGANARAIKODE</t>
  </si>
  <si>
    <t>TELANGANARAIPARTHY</t>
  </si>
  <si>
    <t>TELANGANARAJAPET</t>
  </si>
  <si>
    <t>TELANGANARAMACHANDRAPURAM</t>
  </si>
  <si>
    <t>TELANGANARAMADUGU</t>
  </si>
  <si>
    <t>TELANGANARAMAGUNDAM</t>
  </si>
  <si>
    <t>TELANGANARAMANNAPETA</t>
  </si>
  <si>
    <t>TELANGANARAMAYAMPET</t>
  </si>
  <si>
    <t>TELANGANARANGAREDDI</t>
  </si>
  <si>
    <t>TELANGANARANGAREDDY</t>
  </si>
  <si>
    <t>TELANGANAREGODE</t>
  </si>
  <si>
    <t>TELANGANAREGONDA</t>
  </si>
  <si>
    <t>TELANGANASADASIVANAGAR</t>
  </si>
  <si>
    <t>TELANGANASADASIVPET</t>
  </si>
  <si>
    <t>TELANGANASALI GOURARAM</t>
  </si>
  <si>
    <t>TELANGANASANGAREDDY</t>
  </si>
  <si>
    <t>TELANGANASARANGAPUR</t>
  </si>
  <si>
    <t>TELANGANASATHUPALLE</t>
  </si>
  <si>
    <t>TELANGANASECUNDERABAD</t>
  </si>
  <si>
    <t>TELANGANASHANKARAMPET</t>
  </si>
  <si>
    <t>TELANGANASHANKARAPATNAM</t>
  </si>
  <si>
    <t>TELANGANASHAYAMPET</t>
  </si>
  <si>
    <t>TELANGANASHIVAMPET</t>
  </si>
  <si>
    <t>TELANGANASIDDIPET</t>
  </si>
  <si>
    <t>TELANGANASINGARENI</t>
  </si>
  <si>
    <t>TELANGANASIRCILLA</t>
  </si>
  <si>
    <t>TELANGANASIRPUR</t>
  </si>
  <si>
    <t>TELANGANASUBHASHNAGAR</t>
  </si>
  <si>
    <t>TELANGANASULTANABAD</t>
  </si>
  <si>
    <t>TELANGANASURYAPET</t>
  </si>
  <si>
    <t>TELANGANATADWAI</t>
  </si>
  <si>
    <t>TELANGANATALLADA</t>
  </si>
  <si>
    <t>TELANGANATAMSI</t>
  </si>
  <si>
    <t>TELANGANATANDUR</t>
  </si>
  <si>
    <t>TELANGANATANOOR</t>
  </si>
  <si>
    <t>TELANGANATEKULAPALLE</t>
  </si>
  <si>
    <t>TELANGANATHIMMAJIPET</t>
  </si>
  <si>
    <t>TELANGANATHIPPARTHI</t>
  </si>
  <si>
    <t>TELANGANATHIRUMALAYAPALEM</t>
  </si>
  <si>
    <t>TELANGANATHORRUR</t>
  </si>
  <si>
    <t>TELANGANATHUNGATHURTHI</t>
  </si>
  <si>
    <t>TELANGANATIMMAPUR</t>
  </si>
  <si>
    <t>TELANGANATIRUNELVELR</t>
  </si>
  <si>
    <t>TELANGANATUPRAN</t>
  </si>
  <si>
    <t>TELANGANAUDAYPUER</t>
  </si>
  <si>
    <t>TELANGANAUPPUNUNTHALA</t>
  </si>
  <si>
    <t>TELANGANAUTKOOR</t>
  </si>
  <si>
    <t>TELANGANAUTNOOR</t>
  </si>
  <si>
    <t>TELANGANAVALIGONDA</t>
  </si>
  <si>
    <t>TELANGANAVANGOOR</t>
  </si>
  <si>
    <t>TELANGANAVARNI</t>
  </si>
  <si>
    <t>TELANGANAVEENAVANKA</t>
  </si>
  <si>
    <t>TELANGANAVELAIRPADU</t>
  </si>
  <si>
    <t>TELANGANAVELDANDA</t>
  </si>
  <si>
    <t>TELANGANAVELGATOOR</t>
  </si>
  <si>
    <t>TELANGANAVELPUR</t>
  </si>
  <si>
    <t>TELANGANAVEMSOOR</t>
  </si>
  <si>
    <t>TELANGANAVEMULAPALLE</t>
  </si>
  <si>
    <t>TELANGANAVEMULAWADA</t>
  </si>
  <si>
    <t>TELANGANAVENKATAPURAM</t>
  </si>
  <si>
    <t>TELANGANAWADDEPALLE</t>
  </si>
  <si>
    <t>TELANGANAWANKDI</t>
  </si>
  <si>
    <t>TELANGANAWARANGAL</t>
  </si>
  <si>
    <t>TELANGANAWARDHANNA PET</t>
  </si>
  <si>
    <t>TELANGANAWARGAL</t>
  </si>
  <si>
    <t>TELANGANAWYRA</t>
  </si>
  <si>
    <t>TELANGANAYACHARAM</t>
  </si>
  <si>
    <t>TELANGANAYADAGARIGUTTA</t>
  </si>
  <si>
    <t>TELANGANAYADAGIRIGUTTA</t>
  </si>
  <si>
    <t>TELANGANAYEDPALLE</t>
  </si>
  <si>
    <t>TELANGANAYELAL</t>
  </si>
  <si>
    <t>TELANGANAYELDURTHY</t>
  </si>
  <si>
    <t>TELANGANAYELLANDU</t>
  </si>
  <si>
    <t>TELANGANAYELLAREDDIPET</t>
  </si>
  <si>
    <t>TELANGANAYERRUPALEM</t>
  </si>
  <si>
    <t>TELANGANAZAFFERGADH</t>
  </si>
  <si>
    <t>TELANGANAZAHIRABAD</t>
  </si>
  <si>
    <t>TRIPURAABHAYNAGAR</t>
  </si>
  <si>
    <t>TRIPURAAGARTALA</t>
  </si>
  <si>
    <t>TRIPURAANANDAPUR</t>
  </si>
  <si>
    <t>TRIPURABAGAFA</t>
  </si>
  <si>
    <t>TRIPURABISHALGARH</t>
  </si>
  <si>
    <t>TRIPURADAMCHHARA</t>
  </si>
  <si>
    <t>TRIPURADASDA</t>
  </si>
  <si>
    <t>TRIPURADHALAI</t>
  </si>
  <si>
    <t>TRIPURADHALESWAR</t>
  </si>
  <si>
    <t>TRIPURADUKLI</t>
  </si>
  <si>
    <t>TRIPURADUMBURNAGAR</t>
  </si>
  <si>
    <t>TRIPURAGOURNAGAR</t>
  </si>
  <si>
    <t>TRIPURAHEZAMARA</t>
  </si>
  <si>
    <t>TRIPURAHRISHYAMUKH</t>
  </si>
  <si>
    <t>TRIPURAJAMPUII HILLS</t>
  </si>
  <si>
    <t>TRIPURAJATANBARI</t>
  </si>
  <si>
    <t>TRIPURAJIRANIA</t>
  </si>
  <si>
    <t>TRIPURAKADAMTALA</t>
  </si>
  <si>
    <t>TRIPURAKAKRABAN</t>
  </si>
  <si>
    <t>TRIPURAKALYANPUR</t>
  </si>
  <si>
    <t>TRIPURAKATHALIA</t>
  </si>
  <si>
    <t>TRIPURAKHOWAI</t>
  </si>
  <si>
    <t>TRIPURAKUMARGHAT</t>
  </si>
  <si>
    <t>TRIPURAMANU</t>
  </si>
  <si>
    <t>TRIPURAMATARBARI</t>
  </si>
  <si>
    <t>TRIPURAMELAGHAR</t>
  </si>
  <si>
    <t>TRIPURAMOHANPUR</t>
  </si>
  <si>
    <t>TRIPURAMUHURIPUR</t>
  </si>
  <si>
    <t>TRIPURANORTH TRIPURA</t>
  </si>
  <si>
    <t>TRIPURAPANISAGAR</t>
  </si>
  <si>
    <t>TRIPURAPENCHARTHAL</t>
  </si>
  <si>
    <t>TRIPURARADHANAGAR</t>
  </si>
  <si>
    <t>TRIPURARAJNAGAR</t>
  </si>
  <si>
    <t>TRIPURASALEMA</t>
  </si>
  <si>
    <t>TRIPURASANTIRBAZAR</t>
  </si>
  <si>
    <t>TRIPURASATCHAND</t>
  </si>
  <si>
    <t>TRIPURASEKERKOTE</t>
  </si>
  <si>
    <t>TRIPURASOUTH TRIPURA</t>
  </si>
  <si>
    <t>TRIPURASUNAMURA</t>
  </si>
  <si>
    <t>TRIPURAWEST TRIPURA</t>
  </si>
  <si>
    <t>UTTAR PRADESHAGRA</t>
  </si>
  <si>
    <t>UTTAR PRADESHAKBARPUR</t>
  </si>
  <si>
    <t>UTTAR PRADESHALAPUR</t>
  </si>
  <si>
    <t>UTTAR PRADESHALIGANJ</t>
  </si>
  <si>
    <t>UTTAR PRADESHALIGARH</t>
  </si>
  <si>
    <t>UTTAR PRADESHALLAHABAD</t>
  </si>
  <si>
    <t>UTTAR PRADESHALLAPUR</t>
  </si>
  <si>
    <t>UTTAR PRADESHALMORA</t>
  </si>
  <si>
    <t>UTTAR PRADESHAMBEDKAR NAGAR</t>
  </si>
  <si>
    <t>UTTAR PRADESHAMETHI</t>
  </si>
  <si>
    <t>UTTAR PRADESHAMROHA</t>
  </si>
  <si>
    <t>UTTAR PRADESHAONLA</t>
  </si>
  <si>
    <t>UTTAR PRADESHATARRA</t>
  </si>
  <si>
    <t>UTTAR PRADESHATRAULI</t>
  </si>
  <si>
    <t>UTTAR PRADESHAURAIYA</t>
  </si>
  <si>
    <t>UTTAR PRADESHAZAMGARH</t>
  </si>
  <si>
    <t>UTTAR PRADESHBABERU</t>
  </si>
  <si>
    <t>UTTAR PRADESHBADAUN</t>
  </si>
  <si>
    <t>UTTAR PRADESHBADLAPUR</t>
  </si>
  <si>
    <t>UTTAR PRADESHBAGHPAT</t>
  </si>
  <si>
    <t>UTTAR PRADESHBAH</t>
  </si>
  <si>
    <t>UTTAR PRADESHBAHERI</t>
  </si>
  <si>
    <t>UTTAR PRADESHBAHRAICH</t>
  </si>
  <si>
    <t>UTTAR PRADESHBAIRIA</t>
  </si>
  <si>
    <t>UTTAR PRADESHBAKSHI</t>
  </si>
  <si>
    <t>UTTAR PRADESHBALLIA</t>
  </si>
  <si>
    <t>UTTAR PRADESHBALRAMPUR</t>
  </si>
  <si>
    <t>UTTAR PRADESHBANDA</t>
  </si>
  <si>
    <t>UTTAR PRADESHBANEL</t>
  </si>
  <si>
    <t>UTTAR PRADESHBANSDIH</t>
  </si>
  <si>
    <t>UTTAR PRADESHBANSGAON</t>
  </si>
  <si>
    <t>UTTAR PRADESHBANSI</t>
  </si>
  <si>
    <t>UTTAR PRADESHBARA</t>
  </si>
  <si>
    <t>UTTAR PRADESHBARABANKI</t>
  </si>
  <si>
    <t>UTTAR PRADESHBARAUT</t>
  </si>
  <si>
    <t>UTTAR PRADESHBAREILLY</t>
  </si>
  <si>
    <t>UTTAR PRADESHBARHAJ</t>
  </si>
  <si>
    <t>UTTAR PRADESHBASTI</t>
  </si>
  <si>
    <t>UTTAR PRADESHBASTI SADAR</t>
  </si>
  <si>
    <t>UTTAR PRADESHBEHAT</t>
  </si>
  <si>
    <t>UTTAR PRADESHBELTHARA</t>
  </si>
  <si>
    <t>UTTAR PRADESHBHADOHI</t>
  </si>
  <si>
    <t>UTTAR PRADESHBHANPUR</t>
  </si>
  <si>
    <t>UTTAR PRADESHBHARTHANA</t>
  </si>
  <si>
    <t>UTTAR PRADESHBHATPAR</t>
  </si>
  <si>
    <t>UTTAR PRADESHBHINGA</t>
  </si>
  <si>
    <t>UTTAR PRADESHBHOGAON</t>
  </si>
  <si>
    <t>UTTAR PRADESHBHOGNIPUR</t>
  </si>
  <si>
    <t>UTTAR PRADESHBIDHUNA</t>
  </si>
  <si>
    <t>UTTAR PRADESHBIJNOR</t>
  </si>
  <si>
    <t>UTTAR PRADESHBIKAPUR</t>
  </si>
  <si>
    <t>UTTAR PRADESHBILARI</t>
  </si>
  <si>
    <t>UTTAR PRADESHBILASPUR</t>
  </si>
  <si>
    <t>UTTAR PRADESHBILGRAM</t>
  </si>
  <si>
    <t>UTTAR PRADESHBILHAUR</t>
  </si>
  <si>
    <t>UTTAR PRADESHBILSI</t>
  </si>
  <si>
    <t>UTTAR PRADESHBINDKI</t>
  </si>
  <si>
    <t>UTTAR PRADESHBISALPUR</t>
  </si>
  <si>
    <t>UTTAR PRADESHBISAULI</t>
  </si>
  <si>
    <t>UTTAR PRADESHBISWAN</t>
  </si>
  <si>
    <t>UTTAR PRADESHBUDAUN</t>
  </si>
  <si>
    <t>UTTAR PRADESHBUDHANA</t>
  </si>
  <si>
    <t>UTTAR PRADESHBULANDSHAHAR</t>
  </si>
  <si>
    <t>UTTAR PRADESHBURHANPUR</t>
  </si>
  <si>
    <t>UTTAR PRADESHCAMPIERGANJ</t>
  </si>
  <si>
    <t>UTTAR PRADESHCHAIL</t>
  </si>
  <si>
    <t>UTTAR PRADESHCHAKARNAGAR</t>
  </si>
  <si>
    <t>UTTAR PRADESHCHAKIA</t>
  </si>
  <si>
    <t>UTTAR PRADESHCHANDAULI</t>
  </si>
  <si>
    <t>UTTAR PRADESHCHANDAUSI</t>
  </si>
  <si>
    <t>UTTAR PRADESHCHANDPUR</t>
  </si>
  <si>
    <t>UTTAR PRADESHCHARKHARI</t>
  </si>
  <si>
    <t>UTTAR PRADESHCHAURI</t>
  </si>
  <si>
    <t>UTTAR PRADESHCHHATA</t>
  </si>
  <si>
    <t>UTTAR PRADESHCHUNAR</t>
  </si>
  <si>
    <t>UTTAR PRADESHCOLONELGANJ</t>
  </si>
  <si>
    <t>UTTAR PRADESHDADRI</t>
  </si>
  <si>
    <t>UTTAR PRADESHDALMAU</t>
  </si>
  <si>
    <t>UTTAR PRADESHDATAGANJ</t>
  </si>
  <si>
    <t>UTTAR PRADESHDEOBAND</t>
  </si>
  <si>
    <t>UTTAR PRADESHDEORIA</t>
  </si>
  <si>
    <t>UTTAR PRADESHDERAPUR</t>
  </si>
  <si>
    <t>UTTAR PRADESHDHAMPUR</t>
  </si>
  <si>
    <t>UTTAR PRADESHDHANAURA</t>
  </si>
  <si>
    <t>UTTAR PRADESHDHANGHATA</t>
  </si>
  <si>
    <t>UTTAR PRADESHDHAURAHARA</t>
  </si>
  <si>
    <t>UTTAR PRADESHDOMARIYAGANJ</t>
  </si>
  <si>
    <t>UTTAR PRADESHDUDHI</t>
  </si>
  <si>
    <t>UTTAR PRADESHETAH</t>
  </si>
  <si>
    <t>UTTAR PRADESHETAWAH</t>
  </si>
  <si>
    <t>UTTAR PRADESHETMADPUR</t>
  </si>
  <si>
    <t>UTTAR PRADESHFAIZABAD</t>
  </si>
  <si>
    <t>UTTAR PRADESHFARIDPUR</t>
  </si>
  <si>
    <t>UTTAR PRADESHFARRUKHABAD</t>
  </si>
  <si>
    <t>UTTAR PRADESHFATEHABAD</t>
  </si>
  <si>
    <t>UTTAR PRADESHFATEHPUR</t>
  </si>
  <si>
    <t>UTTAR PRADESHFIROZABAD</t>
  </si>
  <si>
    <t>UTTAR PRADESHGANJ AJMER</t>
  </si>
  <si>
    <t>UTTAR PRADESHGARAUTHA</t>
  </si>
  <si>
    <t>UTTAR PRADESHGARHMUKTESHWAR</t>
  </si>
  <si>
    <t>UTTAR PRADESHGAURIGANJ</t>
  </si>
  <si>
    <t>UTTAR PRADESHGAUTAM BUDDHA NAGAR</t>
  </si>
  <si>
    <t>UTTAR PRADESHGHANGHATA</t>
  </si>
  <si>
    <t>UTTAR PRADESHGHATAMPUR</t>
  </si>
  <si>
    <t>UTTAR PRADESHGHAZIABAD</t>
  </si>
  <si>
    <t>UTTAR PRADESHGHAZIPUR</t>
  </si>
  <si>
    <t>UTTAR PRADESHGHORAWAL</t>
  </si>
  <si>
    <t>UTTAR PRADESHGHOSHI</t>
  </si>
  <si>
    <t>UTTAR PRADESHGHOSI</t>
  </si>
  <si>
    <t>UTTAR PRADESHGOLA</t>
  </si>
  <si>
    <t>UTTAR PRADESHGONDA</t>
  </si>
  <si>
    <t>UTTAR PRADESHGORAKHPUR</t>
  </si>
  <si>
    <t>UTTAR PRADESHGUNNAUR</t>
  </si>
  <si>
    <t>UTTAR PRADESHGYANPUR</t>
  </si>
  <si>
    <t>UTTAR PRADESHHAIDERGARH</t>
  </si>
  <si>
    <t>UTTAR PRADESHHAMIRPUR</t>
  </si>
  <si>
    <t>UTTAR PRADESHHANDIA</t>
  </si>
  <si>
    <t>UTTAR PRADESHHAPUR</t>
  </si>
  <si>
    <t>UTTAR PRADESHHARDOI</t>
  </si>
  <si>
    <t>UTTAR PRADESHHARRAIYA</t>
  </si>
  <si>
    <t>UTTAR PRADESHHASANGANJ</t>
  </si>
  <si>
    <t>UTTAR PRADESHHASANPUR</t>
  </si>
  <si>
    <t>UTTAR PRADESHHATA</t>
  </si>
  <si>
    <t>UTTAR PRADESHIGLAS</t>
  </si>
  <si>
    <t>UTTAR PRADESHIKAUNA</t>
  </si>
  <si>
    <t>UTTAR PRADESHITWA</t>
  </si>
  <si>
    <t>UTTAR PRADESHJAKHANIAN</t>
  </si>
  <si>
    <t>UTTAR PRADESHJALALABAD</t>
  </si>
  <si>
    <t>UTTAR PRADESHJALALPUR</t>
  </si>
  <si>
    <t>UTTAR PRADESHJALAUN</t>
  </si>
  <si>
    <t>UTTAR PRADESHJALESAR</t>
  </si>
  <si>
    <t>UTTAR PRADESHJANSATH</t>
  </si>
  <si>
    <t>UTTAR PRADESHJASWANTNAGAR</t>
  </si>
  <si>
    <t>UTTAR PRADESHJAUNPUR</t>
  </si>
  <si>
    <t>UTTAR PRADESHJEWAR</t>
  </si>
  <si>
    <t>UTTAR PRADESHJHANSI</t>
  </si>
  <si>
    <t>UTTAR PRADESHKADIPUR</t>
  </si>
  <si>
    <t>UTTAR PRADESHKAIRANA</t>
  </si>
  <si>
    <t>UTTAR PRADESHKAISERGANJ</t>
  </si>
  <si>
    <t>UTTAR PRADESHKALPI</t>
  </si>
  <si>
    <t>UTTAR PRADESHKANNAUJ</t>
  </si>
  <si>
    <t>UTTAR PRADESHKANPUR</t>
  </si>
  <si>
    <t>UTTAR PRADESHKARCHHANA</t>
  </si>
  <si>
    <t>UTTAR PRADESHKARHAL</t>
  </si>
  <si>
    <t>UTTAR PRADESHKARWI</t>
  </si>
  <si>
    <t>UTTAR PRADESHKASGANJ</t>
  </si>
  <si>
    <t>UTTAR PRADESHKERAKAT</t>
  </si>
  <si>
    <t>UTTAR PRADESHKHAGA</t>
  </si>
  <si>
    <t>UTTAR PRADESHKHAIR</t>
  </si>
  <si>
    <t>UTTAR PRADESHKHAJNI</t>
  </si>
  <si>
    <t>UTTAR PRADESHKHALILABAD</t>
  </si>
  <si>
    <t>UTTAR PRADESHKHARAGPUR</t>
  </si>
  <si>
    <t>UTTAR PRADESHKHEKADA</t>
  </si>
  <si>
    <t>UTTAR PRADESHKHERAGARH</t>
  </si>
  <si>
    <t>UTTAR PRADESHKHURJA</t>
  </si>
  <si>
    <t>UTTAR PRADESHKIRAOLI</t>
  </si>
  <si>
    <t>UTTAR PRADESHKOIL</t>
  </si>
  <si>
    <t>UTTAR PRADESHKONCH</t>
  </si>
  <si>
    <t>UTTAR PRADESHKORAON</t>
  </si>
  <si>
    <t>UTTAR PRADESHKULPAHAR</t>
  </si>
  <si>
    <t>UTTAR PRADESHKUNDA</t>
  </si>
  <si>
    <t>UTTAR PRADESHKUSHINAGAR</t>
  </si>
  <si>
    <t>UTTAR PRADESHLAHARPUR</t>
  </si>
  <si>
    <t>UTTAR PRADESHLAKHIMPUR</t>
  </si>
  <si>
    <t>UTTAR PRADESHLALGANJ</t>
  </si>
  <si>
    <t>UTTAR PRADESHLALITPUR</t>
  </si>
  <si>
    <t>UTTAR PRADESHLAMBHUA</t>
  </si>
  <si>
    <t>UTTAR PRADESHLUCKNOW</t>
  </si>
  <si>
    <t>UTTAR PRADESHMACHHLISHAHR</t>
  </si>
  <si>
    <t>UTTAR PRADESHMADHOGARH</t>
  </si>
  <si>
    <t>UTTAR PRADESHMADHUBAN</t>
  </si>
  <si>
    <t>UTTAR PRADESHMAHAMAYA NAGAR</t>
  </si>
  <si>
    <t>UTTAR PRADESHMAHARAJGANJ</t>
  </si>
  <si>
    <t>UTTAR PRADESHMAHASI</t>
  </si>
  <si>
    <t>UTTAR PRADESHMAHMUDABAD</t>
  </si>
  <si>
    <t>UTTAR PRADESHMAHOBA</t>
  </si>
  <si>
    <t>UTTAR PRADESHMAHRONI</t>
  </si>
  <si>
    <t>UTTAR PRADESHMAINPURI</t>
  </si>
  <si>
    <t>UTTAR PRADESHMALIHABAD</t>
  </si>
  <si>
    <t>UTTAR PRADESHMANJHANPUR</t>
  </si>
  <si>
    <t>UTTAR PRADESHMANKAPUR</t>
  </si>
  <si>
    <t>UTTAR PRADESHMARIAHU</t>
  </si>
  <si>
    <t>UTTAR PRADESHMARIHAN</t>
  </si>
  <si>
    <t>UTTAR PRADESHMAT</t>
  </si>
  <si>
    <t>UTTAR PRADESHMATHURA</t>
  </si>
  <si>
    <t>UTTAR PRADESHMAU</t>
  </si>
  <si>
    <t>UTTAR PRADESHMAUDAHA</t>
  </si>
  <si>
    <t>UTTAR PRADESHMAUNATH</t>
  </si>
  <si>
    <t>UTTAR PRADESHMAURANIPUR</t>
  </si>
  <si>
    <t>UTTAR PRADESHMAWANA</t>
  </si>
  <si>
    <t>UTTAR PRADESHMEERGANJ</t>
  </si>
  <si>
    <t>UTTAR PRADESHMEERUT</t>
  </si>
  <si>
    <t>UTTAR PRADESHMEHDAWAL</t>
  </si>
  <si>
    <t>UTTAR PRADESHMEHNAGAR</t>
  </si>
  <si>
    <t>UTTAR PRADESHMEJA</t>
  </si>
  <si>
    <t>UTTAR PRADESHMILKIPUR</t>
  </si>
  <si>
    <t>UTTAR PRADESHMIRZAPUR</t>
  </si>
  <si>
    <t>UTTAR PRADESHMISRIKH</t>
  </si>
  <si>
    <t>UTTAR PRADESHMODINAGAR</t>
  </si>
  <si>
    <t>UTTAR PRADESHMOHAMMADABAD</t>
  </si>
  <si>
    <t>UTTAR PRADESHMOHAMMDI</t>
  </si>
  <si>
    <t>UTTAR PRADESHMOHANLALGANJ</t>
  </si>
  <si>
    <t>UTTAR PRADESHMORADABAD</t>
  </si>
  <si>
    <t>UTTAR PRADESHMOTH</t>
  </si>
  <si>
    <t>UTTAR PRADESHMUHAMMADABAD</t>
  </si>
  <si>
    <t>UTTAR PRADESHMUSAFIRKHANA</t>
  </si>
  <si>
    <t>UTTAR PRADESHMUZAFARNAGAR</t>
  </si>
  <si>
    <t>UTTAR PRADESHMUZAFFARNAGAR</t>
  </si>
  <si>
    <t>UTTAR PRADESHNAGINA</t>
  </si>
  <si>
    <t>UTTAR PRADESHNAJIBABAD</t>
  </si>
  <si>
    <t>UTTAR PRADESHNAKUR</t>
  </si>
  <si>
    <t>UTTAR PRADESHNANPARA</t>
  </si>
  <si>
    <t>UTTAR PRADESHNARAINI</t>
  </si>
  <si>
    <t>UTTAR PRADESHNAUGARH</t>
  </si>
  <si>
    <t>UTTAR PRADESHNAUTANWA</t>
  </si>
  <si>
    <t>UTTAR PRADESHNAWABGANJ</t>
  </si>
  <si>
    <t>UTTAR PRADESHNICHLAUL</t>
  </si>
  <si>
    <t>UTTAR PRADESHNIGHASAN</t>
  </si>
  <si>
    <t>UTTAR PRADESHNIZAMABAD</t>
  </si>
  <si>
    <t>UTTAR PRADESHNOIDA</t>
  </si>
  <si>
    <t>UTTAR PRADESHORAI</t>
  </si>
  <si>
    <t>UTTAR PRADESHPADRAUNA</t>
  </si>
  <si>
    <t>UTTAR PRADESHPARVATINAGAR</t>
  </si>
  <si>
    <t>UTTAR PRADESHPATIYALI</t>
  </si>
  <si>
    <t>UTTAR PRADESHPATTI</t>
  </si>
  <si>
    <t>UTTAR PRADESHPAYAGPUR</t>
  </si>
  <si>
    <t>UTTAR PRADESHPENINSULA VILLAGE</t>
  </si>
  <si>
    <t>UTTAR PRADESHPHARENDA</t>
  </si>
  <si>
    <t>UTTAR PRADESHPHOOLPUR</t>
  </si>
  <si>
    <t>UTTAR PRADESHPHULPUR</t>
  </si>
  <si>
    <t>UTTAR PRADESHPILIBHIT</t>
  </si>
  <si>
    <t>UTTAR PRADESHPINDRA</t>
  </si>
  <si>
    <t>UTTAR PRADESHPOWAYAN</t>
  </si>
  <si>
    <t>UTTAR PRADESHPRATAPGARH</t>
  </si>
  <si>
    <t>UTTAR PRADESHPRATAPGARH CITY</t>
  </si>
  <si>
    <t>UTTAR PRADESHPURANPUR</t>
  </si>
  <si>
    <t>UTTAR PRADESHPURWA</t>
  </si>
  <si>
    <t>UTTAR PRADESHRAE BARELI</t>
  </si>
  <si>
    <t>UTTAR PRADESHRAMNAGAR</t>
  </si>
  <si>
    <t>UTTAR PRADESHRAMPUR</t>
  </si>
  <si>
    <t>UTTAR PRADESHRAMSANEHIGHAT</t>
  </si>
  <si>
    <t>UTTAR PRADESHRANIGAJ</t>
  </si>
  <si>
    <t>UTTAR PRADESHRASRA</t>
  </si>
  <si>
    <t>UTTAR PRADESHRASULABAD</t>
  </si>
  <si>
    <t>UTTAR PRADESHRATH</t>
  </si>
  <si>
    <t>UTTAR PRADESHROBERTSGANJ</t>
  </si>
  <si>
    <t>UTTAR PRADESHRUDAULI</t>
  </si>
  <si>
    <t>UTTAR PRADESHRUDRAPUR</t>
  </si>
  <si>
    <t>UTTAR PRADESHSADABAD</t>
  </si>
  <si>
    <t>UTTAR PRADESHSADAR</t>
  </si>
  <si>
    <t>UTTAR PRADESHSAGRI</t>
  </si>
  <si>
    <t>UTTAR PRADESHSAHANPUR</t>
  </si>
  <si>
    <t>UTTAR PRADESHSAHARANPUR</t>
  </si>
  <si>
    <t>UTTAR PRADESHSAHASWAN</t>
  </si>
  <si>
    <t>UTTAR PRADESHSAIDPUR</t>
  </si>
  <si>
    <t>UTTAR PRADESHSAIFAI</t>
  </si>
  <si>
    <t>UTTAR PRADESHSAKALDIHA</t>
  </si>
  <si>
    <t>UTTAR PRADESHSALEMPUR</t>
  </si>
  <si>
    <t>UTTAR PRADESHSALON</t>
  </si>
  <si>
    <t>UTTAR PRADESHSAMBHAL</t>
  </si>
  <si>
    <t>UTTAR PRADESHSANDILA</t>
  </si>
  <si>
    <t>UTTAR PRADESHSANT KABIR NAGAR</t>
  </si>
  <si>
    <t>UTTAR PRADESHSARDHANA</t>
  </si>
  <si>
    <t>UTTAR PRADESHSASNI</t>
  </si>
  <si>
    <t>UTTAR PRADESHSAWAYAJPUR</t>
  </si>
  <si>
    <t>UTTAR PRADESHSHAHABAD</t>
  </si>
  <si>
    <t>UTTAR PRADESHSHAHGANJ</t>
  </si>
  <si>
    <t>UTTAR PRADESHSHAHJAHANPUR</t>
  </si>
  <si>
    <t>UTTAR PRADESHSHAJNWA</t>
  </si>
  <si>
    <t>UTTAR PRADESHSHAMLI</t>
  </si>
  <si>
    <t>UTTAR PRADESHSHIKOHABAD</t>
  </si>
  <si>
    <t>UTTAR PRADESHSHOHRATGARH</t>
  </si>
  <si>
    <t>UTTAR PRADESHSIDDHARTHNAGAR</t>
  </si>
  <si>
    <t>UTTAR PRADESHSIDHAULI</t>
  </si>
  <si>
    <t>UTTAR PRADESHSIKANDERPUR</t>
  </si>
  <si>
    <t>UTTAR PRADESHSIKANDRA</t>
  </si>
  <si>
    <t>UTTAR PRADESHSIKANDRABAD</t>
  </si>
  <si>
    <t>UTTAR PRADESHSILIGIRI</t>
  </si>
  <si>
    <t>UTTAR PRADESHSIRATHU</t>
  </si>
  <si>
    <t>UTTAR PRADESHSIRAULI</t>
  </si>
  <si>
    <t>UTTAR PRADESHSITAPUR</t>
  </si>
  <si>
    <t>UTTAR PRADESHSOHAWAL</t>
  </si>
  <si>
    <t>UTTAR PRADESHSONBHADRA</t>
  </si>
  <si>
    <t>UTTAR PRADESHSONEBHADRA</t>
  </si>
  <si>
    <t>UTTAR PRADESHSORAON</t>
  </si>
  <si>
    <t>UTTAR PRADESHSUAR</t>
  </si>
  <si>
    <t>UTTAR PRADESHSULTANPUR</t>
  </si>
  <si>
    <t>UTTAR PRADESHTALBEHAT</t>
  </si>
  <si>
    <t>UTTAR PRADESHTANDA</t>
  </si>
  <si>
    <t>UTTAR PRADESHTARABGANJ</t>
  </si>
  <si>
    <t>UTTAR PRADESHTHAKURDWARA</t>
  </si>
  <si>
    <t>UTTAR PRADESHTILHAR</t>
  </si>
  <si>
    <t>UTTAR PRADESHTILOI</t>
  </si>
  <si>
    <t>UTTAR PRADESHTULSIPUR</t>
  </si>
  <si>
    <t>UTTAR PRADESHTUNDLA</t>
  </si>
  <si>
    <t>UTTAR PRADESHUNCHAHAR</t>
  </si>
  <si>
    <t>UTTAR PRADESHUNNAO</t>
  </si>
  <si>
    <t>UTTAR PRADESHUTRAULA</t>
  </si>
  <si>
    <t>UTTAR PRADESHVARANASI</t>
  </si>
  <si>
    <t>UTTAR PRADESHZAMANIA</t>
  </si>
  <si>
    <t>UTTARAKHANDALMORA COURTS</t>
  </si>
  <si>
    <t>UTTARAKHANDBAGESHWAR</t>
  </si>
  <si>
    <t>UTTARAKHANDBHATWARI</t>
  </si>
  <si>
    <t>UTTARAKHANDBHIKIA SAIN</t>
  </si>
  <si>
    <t>UTTARAKHANDCHAKRATA</t>
  </si>
  <si>
    <t>UTTARAKHANDCHAMOLI</t>
  </si>
  <si>
    <t>UTTARAKHANDCHAMPAWAT</t>
  </si>
  <si>
    <t>UTTARAKHANDDEHRADUN</t>
  </si>
  <si>
    <t>UTTARAKHANDDEVPRAYAG</t>
  </si>
  <si>
    <t>UTTARAKHANDDHARCHULA</t>
  </si>
  <si>
    <t>UTTARAKHANDDHARI</t>
  </si>
  <si>
    <t>UTTARAKHANDDHUMAKOT</t>
  </si>
  <si>
    <t>UTTARAKHANDDIDIHAT</t>
  </si>
  <si>
    <t>UTTARAKHANDDUNDA</t>
  </si>
  <si>
    <t>UTTARAKHANDGADARPUR</t>
  </si>
  <si>
    <t>UTTARAKHANDGAIR SAIN</t>
  </si>
  <si>
    <t>UTTARAKHANDGANGOLIHAT</t>
  </si>
  <si>
    <t>UTTARAKHANDGARUR</t>
  </si>
  <si>
    <t>UTTARAKHANDGHANSALI</t>
  </si>
  <si>
    <t>UTTARAKHANDHALDWANI</t>
  </si>
  <si>
    <t>UTTARAKHANDHARDWAR</t>
  </si>
  <si>
    <t>UTTARAKHANDHARIDWAR</t>
  </si>
  <si>
    <t>UTTARAKHANDJAKHNIDHAR</t>
  </si>
  <si>
    <t>UTTARAKHANDJOSHIMATH</t>
  </si>
  <si>
    <t>UTTARAKHANDKANDA</t>
  </si>
  <si>
    <t>UTTARAKHANDKAPKOT</t>
  </si>
  <si>
    <t>UTTARAKHANDKARNAPRAYAG</t>
  </si>
  <si>
    <t>UTTARAKHANDKASHIPUR</t>
  </si>
  <si>
    <t>UTTARAKHANDKHATIMA</t>
  </si>
  <si>
    <t>UTTARAKHANDKICHHA</t>
  </si>
  <si>
    <t>UTTARAKHANDKOSYA KUTAULI</t>
  </si>
  <si>
    <t>UTTARAKHANDKOTDWARA</t>
  </si>
  <si>
    <t>UTTARAKHANDLAKSAR</t>
  </si>
  <si>
    <t>UTTARAKHANDLANSDOWNE</t>
  </si>
  <si>
    <t>UTTARAKHANDLOHAGHAT</t>
  </si>
  <si>
    <t>UTTARAKHANDMUNSIARI</t>
  </si>
  <si>
    <t>UTTARAKHANDNAINITAL</t>
  </si>
  <si>
    <t>UTTARAKHANDNARENDRA NAGAR</t>
  </si>
  <si>
    <t>UTTARAKHANDPAURI GARHWAL</t>
  </si>
  <si>
    <t>UTTARAKHANDPITHORAGARH</t>
  </si>
  <si>
    <t>UTTARAKHANDPOKHARI</t>
  </si>
  <si>
    <t>UTTARAKHANDPURAULA</t>
  </si>
  <si>
    <t>UTTARAKHANDRAJGARHI</t>
  </si>
  <si>
    <t>UTTARAKHANDRANIKHET</t>
  </si>
  <si>
    <t>UTTARAKHANDRISHIKESH</t>
  </si>
  <si>
    <t>UTTARAKHANDROORKEE</t>
  </si>
  <si>
    <t>UTTARAKHANDRUDARPUR</t>
  </si>
  <si>
    <t>UTTARAKHANDRUDRAPRAYAG</t>
  </si>
  <si>
    <t>UTTARAKHANDSITARGANJ</t>
  </si>
  <si>
    <t>UTTARAKHANDSOMESHWAR</t>
  </si>
  <si>
    <t>UTTARAKHANDSRIANGAR</t>
  </si>
  <si>
    <t>UTTARAKHANDTANAKPUR</t>
  </si>
  <si>
    <t>UTTARAKHANDTARNAKA,SECUNDERABAD</t>
  </si>
  <si>
    <t>UTTARAKHANDTEHRI</t>
  </si>
  <si>
    <t>UTTARAKHANDTHALISAIN</t>
  </si>
  <si>
    <t>UTTARAKHANDTHARALI</t>
  </si>
  <si>
    <t>UTTARAKHANDUKHIMATH</t>
  </si>
  <si>
    <t>UTTARAKHANDUTTARKASHI</t>
  </si>
  <si>
    <t>UTTARAKHANDVIKASNAGAR</t>
  </si>
  <si>
    <t>UTTARANCHALDELHLI</t>
  </si>
  <si>
    <t>UTTARANCHALROORKEE</t>
  </si>
  <si>
    <t>WEST BENGALALIPORE</t>
  </si>
  <si>
    <t>WEST BENGALALIPURDUAR</t>
  </si>
  <si>
    <t>WEST BENGALAMDANGA</t>
  </si>
  <si>
    <t>WEST BENGALAMTA</t>
  </si>
  <si>
    <t>WEST BENGALANDAL</t>
  </si>
  <si>
    <t>WEST BENGALARAMBAG</t>
  </si>
  <si>
    <t>WEST BENGALARGOAL</t>
  </si>
  <si>
    <t>WEST BENGALARSHA</t>
  </si>
  <si>
    <t>WEST BENGALASANSOL</t>
  </si>
  <si>
    <t>WEST BENGALAUSGRAM</t>
  </si>
  <si>
    <t>WEST BENGALBADURIA</t>
  </si>
  <si>
    <t>WEST BENGALBAGDA</t>
  </si>
  <si>
    <t>WEST BENGALBAGMUNDI</t>
  </si>
  <si>
    <t>WEST BENGALBAGNAN</t>
  </si>
  <si>
    <t>WEST BENGALBALAGARH</t>
  </si>
  <si>
    <t>WEST BENGALBALARAMPUR</t>
  </si>
  <si>
    <t>WEST BENGALBALIGHAI</t>
  </si>
  <si>
    <t>WEST BENGALBALLICHAK</t>
  </si>
  <si>
    <t>WEST BENGALBALLY JAGACHHA</t>
  </si>
  <si>
    <t>WEST BENGALBALURGHAT H O</t>
  </si>
  <si>
    <t>WEST BENGALBAMANGOLA</t>
  </si>
  <si>
    <t>WEST BENGALBANKURA</t>
  </si>
  <si>
    <t>WEST BENGALBANSIHARI</t>
  </si>
  <si>
    <t>WEST BENGALBARABANI</t>
  </si>
  <si>
    <t>WEST BENGALBARABAZAR</t>
  </si>
  <si>
    <t>WEST BENGALBARACKPORE</t>
  </si>
  <si>
    <t>WEST BENGALBARASAT</t>
  </si>
  <si>
    <t>WEST BENGALBARDDHAMAN</t>
  </si>
  <si>
    <t>WEST BENGALBARJORA</t>
  </si>
  <si>
    <t>WEST BENGALBARRACKPUR</t>
  </si>
  <si>
    <t>WEST BENGALBARUA</t>
  </si>
  <si>
    <t>WEST BENGALBARUIPUR</t>
  </si>
  <si>
    <t>WEST BENGALBASANTI</t>
  </si>
  <si>
    <t>WEST BENGALBASIRHAT</t>
  </si>
  <si>
    <t>WEST BENGALBASWA</t>
  </si>
  <si>
    <t>WEST BENGALBELDANGA</t>
  </si>
  <si>
    <t>WEST BENGALBELGHARIA</t>
  </si>
  <si>
    <t>WEST BENGALBERHAMPORE</t>
  </si>
  <si>
    <t>WEST BENGALBHAGAWANGOLA</t>
  </si>
  <si>
    <t>WEST BENGALBHAGAWANPUR</t>
  </si>
  <si>
    <t>WEST BENGALBHANGAR</t>
  </si>
  <si>
    <t>WEST BENGALBHARATPUR</t>
  </si>
  <si>
    <t>WEST BENGALBHATAR</t>
  </si>
  <si>
    <t>WEST BENGALBINPUR</t>
  </si>
  <si>
    <t>WEST BENGALBIRBHUM</t>
  </si>
  <si>
    <t>WEST BENGALBISHNUPUR</t>
  </si>
  <si>
    <t>WEST BENGALBOLPUR SRINIKETAN</t>
  </si>
  <si>
    <t>WEST BENGALBONGAON</t>
  </si>
  <si>
    <t>WEST BENGALBUDGE BUDGE</t>
  </si>
  <si>
    <t>WEST BENGALBUDGE BUDGE - I</t>
  </si>
  <si>
    <t>WEST BENGALBURDWAN</t>
  </si>
  <si>
    <t>WEST BENGALBURWAN</t>
  </si>
  <si>
    <t>WEST BENGALCANNING</t>
  </si>
  <si>
    <t>WEST BENGALCHAIGHARIA</t>
  </si>
  <si>
    <t>WEST BENGALCHAKDAH</t>
  </si>
  <si>
    <t>WEST BENGALCHANCHAL</t>
  </si>
  <si>
    <t>WEST BENGALCHANDANNAGAR</t>
  </si>
  <si>
    <t>WEST BENGALCHANDITALA</t>
  </si>
  <si>
    <t>WEST BENGALCHANDRAKONA</t>
  </si>
  <si>
    <t>WEST BENGALCHAPRA</t>
  </si>
  <si>
    <t>WEST BENGALCHHATNA</t>
  </si>
  <si>
    <t>WEST BENGALCHINA</t>
  </si>
  <si>
    <t>WEST BENGALCHINSURAH - MAGRA</t>
  </si>
  <si>
    <t>WEST BENGALCONTAI</t>
  </si>
  <si>
    <t>WEST BENGALCOOCH BEHAR</t>
  </si>
  <si>
    <t>WEST BENGALDAKSHIN DINAJPUR</t>
  </si>
  <si>
    <t>WEST BENGALDANTAN</t>
  </si>
  <si>
    <t>WEST BENGALDARJEELING</t>
  </si>
  <si>
    <t>WEST BENGALDARJEELING PULBAZAR</t>
  </si>
  <si>
    <t>WEST BENGALDARJILING</t>
  </si>
  <si>
    <t>WEST BENGALDASPUR</t>
  </si>
  <si>
    <t>WEST BENGALDEBRA</t>
  </si>
  <si>
    <t>WEST BENGALDEGANGA</t>
  </si>
  <si>
    <t>WEST BENGALDHANIAKHALI</t>
  </si>
  <si>
    <t>WEST BENGALDHUPGURI</t>
  </si>
  <si>
    <t>WEST BENGALDIAMOND HARBOUR</t>
  </si>
  <si>
    <t>WEST BENGALDINHATA</t>
  </si>
  <si>
    <t>WEST BENGALDOMJUR</t>
  </si>
  <si>
    <t>WEST BENGALDOMKAL</t>
  </si>
  <si>
    <t>WEST BENGALDUBRAJPUR</t>
  </si>
  <si>
    <t>WEST BENGALDURGAPUR</t>
  </si>
  <si>
    <t>WEST BENGALDURGAPUR MC</t>
  </si>
  <si>
    <t>WEST BENGALEAST MIDNAPORE</t>
  </si>
  <si>
    <t>WEST BENGALEGRA</t>
  </si>
  <si>
    <t>WEST BENGALENGLISH BAZAR</t>
  </si>
  <si>
    <t>WEST BENGALFALAKATA</t>
  </si>
  <si>
    <t>WEST BENGALFALTA</t>
  </si>
  <si>
    <t>WEST BENGALFARAKKA</t>
  </si>
  <si>
    <t>WEST BENGALFARIDPUR DURGAPUR</t>
  </si>
  <si>
    <t>WEST BENGALGAIGHATA</t>
  </si>
  <si>
    <t>WEST BENGALGALSI</t>
  </si>
  <si>
    <t>WEST BENGALGANGAJALGHATI</t>
  </si>
  <si>
    <t>WEST BENGALGANGARAMPUR</t>
  </si>
  <si>
    <t>WEST BENGALGARBETA</t>
  </si>
  <si>
    <t>WEST BENGALGAZOLE</t>
  </si>
  <si>
    <t>WEST BENGALGHATAL</t>
  </si>
  <si>
    <t>WEST BENGALGOALPOKHAR</t>
  </si>
  <si>
    <t>WEST BENGALGOGHAT</t>
  </si>
  <si>
    <t>WEST BENGALGOPIBALLAVPUR</t>
  </si>
  <si>
    <t>WEST BENGALGOSABA</t>
  </si>
  <si>
    <t>WEST BENGALHABIBPUR</t>
  </si>
  <si>
    <t>WEST BENGALHABRA</t>
  </si>
  <si>
    <t>WEST BENGALHALDIA</t>
  </si>
  <si>
    <t>WEST BENGALHALDIBARI</t>
  </si>
  <si>
    <t>WEST BENGALHANSKHALI</t>
  </si>
  <si>
    <t>WEST BENGALHARIHARPARA</t>
  </si>
  <si>
    <t>WEST BENGALHARINGHAT</t>
  </si>
  <si>
    <t>WEST BENGALHARINGHATA</t>
  </si>
  <si>
    <t>WEST BENGALHARIPAL</t>
  </si>
  <si>
    <t>WEST BENGALHARIRAMPUR</t>
  </si>
  <si>
    <t>WEST BENGALHARISCHANDRAPUR</t>
  </si>
  <si>
    <t>WEST BENGALHAROA</t>
  </si>
  <si>
    <t>WEST BENGALHASNABAD</t>
  </si>
  <si>
    <t>WEST BENGALHD AMSTERDAM,</t>
  </si>
  <si>
    <t>WEST BENGALHEMTABAD</t>
  </si>
  <si>
    <t>WEST BENGALHILLI</t>
  </si>
  <si>
    <t>WEST BENGALHINGALGANJ</t>
  </si>
  <si>
    <t>WEST BENGALHOOGHLY</t>
  </si>
  <si>
    <t>WEST BENGALHOOGHLY - 712136</t>
  </si>
  <si>
    <t>WEST BENGALHOWRAH</t>
  </si>
  <si>
    <t>WEST BENGALHURA</t>
  </si>
  <si>
    <t>WEST BENGALILLAMBAZAR</t>
  </si>
  <si>
    <t>WEST BENGALINDPUR</t>
  </si>
  <si>
    <t>WEST BENGALINDUS</t>
  </si>
  <si>
    <t>WEST BENGALISLAMPUR</t>
  </si>
  <si>
    <t>WEST BENGALITAHAR</t>
  </si>
  <si>
    <t>WEST BENGALJAGATBALLAVPUR</t>
  </si>
  <si>
    <t>WEST BENGALJAIPUR</t>
  </si>
  <si>
    <t>WEST BENGALJALANGI</t>
  </si>
  <si>
    <t>WEST BENGALJALPAIGURI</t>
  </si>
  <si>
    <t>WEST BENGALJAMALPUR</t>
  </si>
  <si>
    <t>WEST BENGALJAMBONI</t>
  </si>
  <si>
    <t>WEST BENGALJAMURIA</t>
  </si>
  <si>
    <t>WEST BENGALJANGIPARA</t>
  </si>
  <si>
    <t>WEST BENGALJAYNAGAR</t>
  </si>
  <si>
    <t>WEST BENGALJAYPUR</t>
  </si>
  <si>
    <t>WEST BENGALJHALDA</t>
  </si>
  <si>
    <t>WEST BENGALJHARGRAM</t>
  </si>
  <si>
    <t>WEST BENGALJOREBUNGLOW SUKIAPOKHRI</t>
  </si>
  <si>
    <t>WEST BENGALKAKDWIP</t>
  </si>
  <si>
    <t>WEST BENGALKALCHINI</t>
  </si>
  <si>
    <t>WEST BENGALKALIACHAK</t>
  </si>
  <si>
    <t>WEST BENGALKALIAGANJ</t>
  </si>
  <si>
    <t>WEST BENGALKALIGANJ</t>
  </si>
  <si>
    <t>WEST BENGALKALIMPONG</t>
  </si>
  <si>
    <t>WEST BENGALKALNA</t>
  </si>
  <si>
    <t>WEST BENGALKANDI</t>
  </si>
  <si>
    <t>WEST BENGALKANKSA</t>
  </si>
  <si>
    <t>WEST BENGALKARANDIGHI</t>
  </si>
  <si>
    <t>WEST BENGALKARIMPUR</t>
  </si>
  <si>
    <t>WEST BENGALKASHIPUR</t>
  </si>
  <si>
    <t>WEST BENGALKATWA</t>
  </si>
  <si>
    <t>WEST BENGALKESHIARY</t>
  </si>
  <si>
    <t>WEST BENGALKESHIRARY</t>
  </si>
  <si>
    <t>WEST BENGALKESHPUR</t>
  </si>
  <si>
    <t>WEST BENGALKETUGRAM</t>
  </si>
  <si>
    <t>WEST BENGALKHANAKUL</t>
  </si>
  <si>
    <t>WEST BENGALKHANDAGHOSH</t>
  </si>
  <si>
    <t>WEST BENGALKHARAGPUR</t>
  </si>
  <si>
    <t>WEST BENGALKHARIBARI</t>
  </si>
  <si>
    <t>WEST BENGALKHATRA</t>
  </si>
  <si>
    <t>WEST BENGALKHEJURI</t>
  </si>
  <si>
    <t>WEST BENGALKHOYRASOL</t>
  </si>
  <si>
    <t>WEST BENGALKOCH BIHAR</t>
  </si>
  <si>
    <t>WEST BENGALKOLKATA</t>
  </si>
  <si>
    <t>WEST BENGALKOLKATA-700081</t>
  </si>
  <si>
    <t>WEST BENGALKOLKATTA</t>
  </si>
  <si>
    <t>WEST BENGALKOTULPUR</t>
  </si>
  <si>
    <t>WEST BENGALKRISHNAGANJ</t>
  </si>
  <si>
    <t>WEST BENGALKRISHNAGAR</t>
  </si>
  <si>
    <t>WEST BENGALKRISHNAGAR - II</t>
  </si>
  <si>
    <t>WEST BENGALKULPI</t>
  </si>
  <si>
    <t>WEST BENGALKULTALI</t>
  </si>
  <si>
    <t>WEST BENGALKULTI</t>
  </si>
  <si>
    <t>WEST BENGALKUMARGANJ</t>
  </si>
  <si>
    <t>WEST BENGALKUMARGRAM</t>
  </si>
  <si>
    <t>WEST BENGALKURSEONG</t>
  </si>
  <si>
    <t>WEST BENGALKUSHMUNDI</t>
  </si>
  <si>
    <t>WEST BENGALLABPUR</t>
  </si>
  <si>
    <t>WEST BENGALLALGOLA</t>
  </si>
  <si>
    <t>WEST BENGALMADARAT</t>
  </si>
  <si>
    <t>WEST BENGALMADARIHAT</t>
  </si>
  <si>
    <t>WEST BENGALMAGRAHAT</t>
  </si>
  <si>
    <t>WEST BENGALMAHISADAL</t>
  </si>
  <si>
    <t>WEST BENGALMAL</t>
  </si>
  <si>
    <t>WEST BENGALMALDA</t>
  </si>
  <si>
    <t>WEST BENGALMALDAH</t>
  </si>
  <si>
    <t>WEST BENGALMANBAZAR</t>
  </si>
  <si>
    <t>WEST BENGALMANDIRBAZAR</t>
  </si>
  <si>
    <t>WEST BENGALMANGOLKOTE</t>
  </si>
  <si>
    <t>WEST BENGALMANIKCHAK</t>
  </si>
  <si>
    <t>WEST BENGALMANTESWAR</t>
  </si>
  <si>
    <t>WEST BENGALMATHABHANGA</t>
  </si>
  <si>
    <t>WEST BENGALMATHURAPUR</t>
  </si>
  <si>
    <t>WEST BENGALMATIALI</t>
  </si>
  <si>
    <t>WEST BENGALMATIGARA</t>
  </si>
  <si>
    <t>WEST BENGALMAYNAGURI</t>
  </si>
  <si>
    <t>WEST BENGALMAYURESWAR</t>
  </si>
  <si>
    <t>WEST BENGALMEDAK,</t>
  </si>
  <si>
    <t>WEST BENGALMEDINIPUR</t>
  </si>
  <si>
    <t>WEST BENGALMEJHIA</t>
  </si>
  <si>
    <t>WEST BENGALMEKLIGANJ</t>
  </si>
  <si>
    <t>WEST BENGALMEMARI</t>
  </si>
  <si>
    <t>WEST BENGALMIDNAPORE</t>
  </si>
  <si>
    <t>WEST BENGALMIDNAPUR</t>
  </si>
  <si>
    <t>WEST BENGALMIRIK</t>
  </si>
  <si>
    <t>WEST BENGALMOHAMMAD BAZAR</t>
  </si>
  <si>
    <t>WEST BENGALMORDABAD</t>
  </si>
  <si>
    <t>WEST BENGALMOSAT</t>
  </si>
  <si>
    <t>WEST BENGALMOYNA</t>
  </si>
  <si>
    <t>WEST BENGALMUNJER</t>
  </si>
  <si>
    <t>WEST BENGALMURARAI</t>
  </si>
  <si>
    <t>WEST BENGALMURSHIDABAD</t>
  </si>
  <si>
    <t>WEST BENGALMURSHIDABAD JIAGANJ</t>
  </si>
  <si>
    <t>WEST BENGALNABADWIP</t>
  </si>
  <si>
    <t>WEST BENGALNABAGRAM</t>
  </si>
  <si>
    <t>WEST BENGALNADIA</t>
  </si>
  <si>
    <t>WEST BENGALNAGRAKATA</t>
  </si>
  <si>
    <t>WEST BENGALNAIHATI</t>
  </si>
  <si>
    <t>WEST BENGALNAKASHIPARA</t>
  </si>
  <si>
    <t>WEST BENGALNALHATI</t>
  </si>
  <si>
    <t>WEST BENGALNAMKHANA</t>
  </si>
  <si>
    <t>WEST BENGALNANDA KUMAR</t>
  </si>
  <si>
    <t>WEST BENGALNANDIGRAM</t>
  </si>
  <si>
    <t>WEST BENGALNANOOR</t>
  </si>
  <si>
    <t>WEST BENGALNARAYANGARH</t>
  </si>
  <si>
    <t>WEST BENGALNAWDA</t>
  </si>
  <si>
    <t>WEST BENGALNAXALBARI</t>
  </si>
  <si>
    <t>WEST BENGALNETURIA</t>
  </si>
  <si>
    <t>WEST BENGALNORTH 24 PARGANAS</t>
  </si>
  <si>
    <t>WEST BENGALNORTH TWENTY FOUR PARGANAS</t>
  </si>
  <si>
    <t>WEST BENGALONDA</t>
  </si>
  <si>
    <t>WEST BENGALONDAL</t>
  </si>
  <si>
    <t>WEST BENGALPANCHLA</t>
  </si>
  <si>
    <t>WEST BENGALPANDABESWAR</t>
  </si>
  <si>
    <t>WEST BENGALPANDUA</t>
  </si>
  <si>
    <t>WEST BENGALPANSKURA</t>
  </si>
  <si>
    <t>WEST BENGALPARA</t>
  </si>
  <si>
    <t>WEST BENGALPATHARPRATIMA</t>
  </si>
  <si>
    <t>WEST BENGALPATRASAYER</t>
  </si>
  <si>
    <t>WEST BENGALPHANSIDEWA</t>
  </si>
  <si>
    <t>WEST BENGALPINGLA</t>
  </si>
  <si>
    <t>WEST BENGALPOTASHPUR</t>
  </si>
  <si>
    <t>WEST BENGALPUNCHA</t>
  </si>
  <si>
    <t>WEST BENGALPURBASTHALI</t>
  </si>
  <si>
    <t>WEST BENGALPURSURA</t>
  </si>
  <si>
    <t>WEST BENGALPURULIA</t>
  </si>
  <si>
    <t>WEST BENGALPURULIYA</t>
  </si>
  <si>
    <t>WEST BENGALRAGHUNATHGANJ</t>
  </si>
  <si>
    <t>WEST BENGALRAGHUNATHPUR</t>
  </si>
  <si>
    <t>WEST BENGALRAIGANJ</t>
  </si>
  <si>
    <t>WEST BENGALRAINA</t>
  </si>
  <si>
    <t>WEST BENGALRAIPUR</t>
  </si>
  <si>
    <t>WEST BENGALRAJARHAT</t>
  </si>
  <si>
    <t>WEST BENGALRAJGANJ</t>
  </si>
  <si>
    <t>WEST BENGALRAJIBPUR</t>
  </si>
  <si>
    <t>WEST BENGALRAJNAGAR</t>
  </si>
  <si>
    <t>WEST BENGALRAJPUR</t>
  </si>
  <si>
    <t>WEST BENGALRAMNAGAR</t>
  </si>
  <si>
    <t>WEST BENGALRAMPURHAT</t>
  </si>
  <si>
    <t>WEST BENGALRANAGHAT</t>
  </si>
  <si>
    <t>WEST BENGALRANGLI RANGLIOT</t>
  </si>
  <si>
    <t>WEST BENGALRANIBUNDH</t>
  </si>
  <si>
    <t>WEST BENGALRANIGANJ</t>
  </si>
  <si>
    <t>WEST BENGALRANINAGAR</t>
  </si>
  <si>
    <t>WEST BENGALRATUA</t>
  </si>
  <si>
    <t>WEST BENGALSABANG</t>
  </si>
  <si>
    <t>WEST BENGALSAGAR</t>
  </si>
  <si>
    <t>WEST BENGALSAGARDIGHI</t>
  </si>
  <si>
    <t>WEST BENGALSAHID MATANGINI</t>
  </si>
  <si>
    <t>WEST BENGALSAINTHIA</t>
  </si>
  <si>
    <t>WEST BENGALSALANPUR</t>
  </si>
  <si>
    <t>WEST BENGALSALBANI</t>
  </si>
  <si>
    <t>WEST BENGALSALTLAKE</t>
  </si>
  <si>
    <t>WEST BENGALSALTORA</t>
  </si>
  <si>
    <t>WEST BENGALSAMSERGANJ</t>
  </si>
  <si>
    <t>WEST BENGALSANDESHKHALI</t>
  </si>
  <si>
    <t>WEST BENGALSANKRAIL</t>
  </si>
  <si>
    <t>WEST BENGALSANTIPUR</t>
  </si>
  <si>
    <t>WEST BENGALSANTURI</t>
  </si>
  <si>
    <t>WEST BENGALSECTOR 86, FARIDABAD</t>
  </si>
  <si>
    <t>WEST BENGALSEDARAPET</t>
  </si>
  <si>
    <t>WEST BENGALSERAMPORE</t>
  </si>
  <si>
    <t>WEST BENGALSERAMPUR UTTARPARA</t>
  </si>
  <si>
    <t>WEST BENGALSHIV MANDIR ROAD</t>
  </si>
  <si>
    <t>WEST BENGALSHYAMPUR</t>
  </si>
  <si>
    <t>WEST BENGALSIDE ROAD</t>
  </si>
  <si>
    <t>WEST BENGALSILIGURI</t>
  </si>
  <si>
    <t>WEST BENGALSIMLAPAL</t>
  </si>
  <si>
    <t>WEST BENGALSINGHBHOM BIHAR</t>
  </si>
  <si>
    <t>WEST BENGALSINGUR</t>
  </si>
  <si>
    <t>WEST BENGALSITALKUCHI</t>
  </si>
  <si>
    <t>WEST BENGALSONARPUR</t>
  </si>
  <si>
    <t>WEST BENGALSOUTH 24 PARAGANAS</t>
  </si>
  <si>
    <t>WEST BENGALSOUTH TWENTY FOUR PARGANAS</t>
  </si>
  <si>
    <t>WEST BENGALSUKCHAR</t>
  </si>
  <si>
    <t>WEST BENGALSURI</t>
  </si>
  <si>
    <t>WEST BENGALSUTAHATA</t>
  </si>
  <si>
    <t>WEST BENGALSUTI</t>
  </si>
  <si>
    <t>WEST BENGALSWARUPNAGAR</t>
  </si>
  <si>
    <t>WEST BENGALTALDANGRA</t>
  </si>
  <si>
    <t>WEST BENGALTAMLUK</t>
  </si>
  <si>
    <t>WEST BENGALTAPAN</t>
  </si>
  <si>
    <t>WEST BENGALTEHATTA</t>
  </si>
  <si>
    <t>WEST BENGALTELINIPARA</t>
  </si>
  <si>
    <t>WEST BENGALTERRITORIES, HONG KONG</t>
  </si>
  <si>
    <t>WEST BENGALTUFANGANJ</t>
  </si>
  <si>
    <t>WEST BENGALUDAYNARAYANPUR</t>
  </si>
  <si>
    <t>WEST BENGALULUBERIA</t>
  </si>
  <si>
    <t>WEST BENGALVISHNUPUR</t>
  </si>
  <si>
    <t>Land Drainage Service-Incl. blasting and tunnelling</t>
  </si>
  <si>
    <t>Railway Construction and alteration-Tunnelling, incl. Blasting (when carried as a separateContract)</t>
  </si>
  <si>
    <t>Roofing and Flooring Makers and/or Layers (not slaters or tiler) Hands in shop or yard -Wood working machinists</t>
  </si>
  <si>
    <t>Barge, Boat, Launch and Yatch only Builders -All other employees</t>
  </si>
  <si>
    <t>Carvers in Stone, Masons and Monumental Masons where carried on as a separate trade -All Others</t>
  </si>
  <si>
    <t>Coach, Carriage, Bus Body and Wagon Builders and Wheelwrights -All other employees</t>
  </si>
  <si>
    <t>Docks  -Construction (excl. blasting )</t>
  </si>
  <si>
    <t>Lapidaries and precious stone cutters-Incl. Lead poisoning</t>
  </si>
  <si>
    <t>Mechanics:-Work connection with wells exceeding 6 meters in depth but excl. Sinking</t>
  </si>
  <si>
    <t>Paper Waxing (where carried on as a separate Trade)</t>
  </si>
  <si>
    <t>Parquet Floor Cutting - All other employees</t>
  </si>
  <si>
    <t>Parquet Floor Laying  -</t>
  </si>
  <si>
    <t>Rag and Waste Dealers, Rag Pickers and Marine Store Dealers -Breaking up, dismantling and demolition</t>
  </si>
  <si>
    <t>Sign Writers -Not glass-Incl. Erection</t>
  </si>
  <si>
    <t>Slaters and Tilers (Roofs) where carried on as a separate trade-Work on roof; not exceeding 9 meters in height</t>
  </si>
  <si>
    <t>Tar Spraying Roads</t>
  </si>
  <si>
    <t>Tilers (not roofing) and Mosaic and Tressellated Pavers Floor and, excl. clay getting</t>
  </si>
  <si>
    <t>Tramway upkeep and running</t>
  </si>
  <si>
    <t>Engineers - Lifts-Shaft sinking</t>
  </si>
  <si>
    <t>Galvanising -Gas mantle (incandescent) makers</t>
  </si>
  <si>
    <t>Gramophone Record Makers</t>
  </si>
  <si>
    <t>Mechanics:- Ship furnishing</t>
  </si>
  <si>
    <t>Metal Workers -Stereotypes</t>
  </si>
  <si>
    <t>Metal Workers -Tin Refiners</t>
  </si>
  <si>
    <t>Metal Workers -Typefounders</t>
  </si>
  <si>
    <t>Nut and Bolt Makers (Iron and Steel) -Where machinery is used</t>
  </si>
  <si>
    <t>Nut and Bolt Makers (Iron and Steel) -Where no mechanically driven machinery is used</t>
  </si>
  <si>
    <t>Rivet Makers -All other employees</t>
  </si>
  <si>
    <t>Sail Makers only, excl. Riggers</t>
  </si>
  <si>
    <t>Ship Builders, Iron, Steel and Concrete-Where war ship, passenger, cargo and other vessels not incl. in (a) or (b) are repaired only</t>
  </si>
  <si>
    <t>Ship Chandlers and  Ship Stores-Fixing and rigging</t>
  </si>
  <si>
    <t>Shipsmiths (jobbing) where carried on as a separate trade</t>
  </si>
  <si>
    <t>Shipwrights (jobbing) where  carried on as a separate trade</t>
  </si>
  <si>
    <t>Telephone Operators</t>
  </si>
  <si>
    <t>Telephone Operators -</t>
  </si>
  <si>
    <t>Transmiths -Ship work</t>
  </si>
  <si>
    <t>Typwriting Machine Makers, Dealers and Repairers and Typewriting Suppliers -All other employees</t>
  </si>
  <si>
    <t>Small Arm Factories-Testing and cartridge loading</t>
  </si>
  <si>
    <t>Explosives Manufacturers -Nitroglycerine based Explosives</t>
  </si>
  <si>
    <t>Explosives Manufacturers -Non- Nitroglycerine based Explosives</t>
  </si>
  <si>
    <t>Explosives Manufacturers -Slurry Explosives</t>
  </si>
  <si>
    <t>Gas Mfgrs -Coal - All Employees incl. Fitters, meter readers, collectors, inspectors but all excl. gasometer erection painting and repairing demolishers</t>
  </si>
  <si>
    <t>Aircraft Manufacture of -a) Pilots and employees who may at any time fly</t>
  </si>
  <si>
    <t>Asbestos Cement Manufacturers -If no Application work is done</t>
  </si>
  <si>
    <t>Athletic, Fishing, Gymnastic, Cricket and Golf Goods Manufacturers -All others employees</t>
  </si>
  <si>
    <t>Bamboo and Bentwood Furniture Makers -All other employees</t>
  </si>
  <si>
    <t>Basket Makers -All other employees</t>
  </si>
  <si>
    <t>Basket Makers -Osier and willow cutting</t>
  </si>
  <si>
    <t>Bedding and Mattress Manufacturers -Belting  Manufacturers</t>
  </si>
  <si>
    <t>Billiard Makers and Billiard Saloons</t>
  </si>
  <si>
    <t>Billiard Tables Makers -All other employees</t>
  </si>
  <si>
    <t>Billiard Tables Makers -Woodworking machinists</t>
  </si>
  <si>
    <t>Bitumen Lined Paper Manufacturers -Bitumen refineries</t>
  </si>
  <si>
    <t>Bobbin and Shuttle Makers, Wooden -All other employees</t>
  </si>
  <si>
    <t>Bone mills - Excl. Anthrax</t>
  </si>
  <si>
    <t>Brush Manufacturers -All other employees (excl. Anthrax)</t>
  </si>
  <si>
    <t>Brush Manufacturers -All other employees (incl. Anthrax)</t>
  </si>
  <si>
    <t>Button, Buckle, Hook and Eye Manufacturers -Metal</t>
  </si>
  <si>
    <t>Button, Buckle, Hook and Eye Manufacturers -Other than Metal</t>
  </si>
  <si>
    <t>Cabinet Makers -All other employees</t>
  </si>
  <si>
    <t>Canneries -All other employees</t>
  </si>
  <si>
    <t>Canvas and webbing equipments manufacturers -Where carried on as a separate trade</t>
  </si>
  <si>
    <t>Carbon Papers, Typewriter Ribbons, Inks and Stamp Pad Mfgrs. -Woodworking machinist</t>
  </si>
  <si>
    <t>Carpet and Rug Mfgtrs. Sorters -Excl. Anthrax</t>
  </si>
  <si>
    <t>Celluloid and Celluloid goods makers -</t>
  </si>
  <si>
    <t>Cement Hollow Block Mfgrs.-Where no machinery is used</t>
  </si>
  <si>
    <t>Chair Makers -Woodworking machinists</t>
  </si>
  <si>
    <t>Chair Makers-All other employees</t>
  </si>
  <si>
    <t>Christmas Cracker Makers -</t>
  </si>
  <si>
    <t>Cocoa Fibre Works, Mat and Matting Makers</t>
  </si>
  <si>
    <t>Coffee Curing works   Where carried on as a separate trade -Employees engaged outside the factory</t>
  </si>
  <si>
    <t>Coffee Curing works   Where carried on as a separate trade -Woodworking machinists</t>
  </si>
  <si>
    <t>Condiment  Mfgrs. -Employees engaged with machinery</t>
  </si>
  <si>
    <t>Confectioners-Employees not engaged with machinery</t>
  </si>
  <si>
    <t>Coopers &amp; Vat Makers -All other employees</t>
  </si>
  <si>
    <t>Coopers &amp; Vat Makers -Woodworking machinists</t>
  </si>
  <si>
    <t>Copper T Manufacture</t>
  </si>
  <si>
    <t>Cordial (Fruit) and Canned Fruit Mfgrs. -All other employeesIf no aerated waters are manufactured</t>
  </si>
  <si>
    <t>Disinfectant Mfgrs. -Excl. Dyewood Grinders</t>
  </si>
  <si>
    <t>Dye Grinding and Mixing Works -(Not Dyewood grinding but only dye substances powdered and subsequently mixed)</t>
  </si>
  <si>
    <t>Enamellers and Japanners - Where carried on as separate trade-All other materials</t>
  </si>
  <si>
    <t>Enamellers and Japanners - Where carried on as separate trade-Metal only</t>
  </si>
  <si>
    <t>Feathers Manufacturers, Dressers, Purifiers and Merchants</t>
  </si>
  <si>
    <t>Fire Work Mfgrs. -Where any mechanically driven machinery is used</t>
  </si>
  <si>
    <t>Fish Dehydrating  -</t>
  </si>
  <si>
    <t>Flag, Banner and Bunting Makers -Excl. erection, decoration tents and mosques</t>
  </si>
  <si>
    <t>Flag, Banner and Bunting Makers -Incl. Erection</t>
  </si>
  <si>
    <t>Floorcloth Linoleum Mfgrs.</t>
  </si>
  <si>
    <t>Glass Mfgrs -Stained- Domestic articles such as glasses and decanters</t>
  </si>
  <si>
    <t>Glass Mfgrs -Stained- Excl. erection and lead poisoning</t>
  </si>
  <si>
    <t>Gold and Silver Thread Lametta &amp; Lace Mfgrs.</t>
  </si>
  <si>
    <t>Grain -Elevator Employees</t>
  </si>
  <si>
    <t>Hackle Makers</t>
  </si>
  <si>
    <t>Heald and Reed Makers -All other employees</t>
  </si>
  <si>
    <t>Heald and Reed Makers -Wood working machinists</t>
  </si>
  <si>
    <t>Horse Hair Mfgrs -Excl. Anthrax</t>
  </si>
  <si>
    <t>Horse Hair Mfgrs -Incl. Anthrax</t>
  </si>
  <si>
    <t>Hospitals- Asylums, Nursing, Mission or training Homes, Reformatories, Public, Benevolent and Charitable, I institutions, inebriate and similar homes - Wood-working machinists</t>
  </si>
  <si>
    <t>Hurricane Lantern Mfgrs -</t>
  </si>
  <si>
    <t>India Rubber/ Rubber Factories-Stamp makers</t>
  </si>
  <si>
    <t>Indigo Mfgrs.</t>
  </si>
  <si>
    <t>Intra-uterine contraceptives devices Mfgrs.</t>
  </si>
  <si>
    <t>Ivory, Bone and Tortoiseshell goods Makers, and Pearl cutters -Where the materials handled are not solely ivory and/or tortoiseshell and/or pearl</t>
  </si>
  <si>
    <t>Ivory, Bone and Tortoiseshell goods Makers, and Pearl cutters -Where the materials handled are solely ivory and/or tortoiseshell and/or pearl</t>
  </si>
  <si>
    <t>Jacquard Harness makers-</t>
  </si>
  <si>
    <t>Jam and provision preservers and packers -</t>
  </si>
  <si>
    <t>Jute Presses-All employees in Kutcha baling presses</t>
  </si>
  <si>
    <t>Jute Presses-All employees in pucca baling presses</t>
  </si>
  <si>
    <t>Lead pencil Makers (see Regulation No. 13)</t>
  </si>
  <si>
    <t>Maker of - Aeroplane small parts (Metal)</t>
  </si>
  <si>
    <t>Maker of - Cotton Gin Machinery parts</t>
  </si>
  <si>
    <t>Maker of - Flexible Metallic Tubing</t>
  </si>
  <si>
    <t>Maker of - Gas Fittings</t>
  </si>
  <si>
    <t>Maker of - German Silver, Solder, and Spelter Goods</t>
  </si>
  <si>
    <t>Maker of - Hinges</t>
  </si>
  <si>
    <t>Maker of - Water fitting (excl. Meters)</t>
  </si>
  <si>
    <t>Maltsters</t>
  </si>
  <si>
    <t>Margarine Mfgrs.-</t>
  </si>
  <si>
    <t>Match Mfgrs-</t>
  </si>
  <si>
    <t>Metal Workers -Pewterers</t>
  </si>
  <si>
    <t>Nail Makers -Where  machinery  is used</t>
  </si>
  <si>
    <t>Nail Makers -Where no mechanically is used</t>
  </si>
  <si>
    <t>Oakum Mfgrs.</t>
  </si>
  <si>
    <t>Paint Colour and Enamal Mfgrs.- Where no red or white lead manufactured</t>
  </si>
  <si>
    <t>Paper Mfgrs.-   Hand made only</t>
  </si>
  <si>
    <t>Paper Patern Makers</t>
  </si>
  <si>
    <t>Parquet Floor Cutting - Wood work machinists</t>
  </si>
  <si>
    <t>Patent Card Makers</t>
  </si>
  <si>
    <t>Patent Fuel and Firelighter Mfgrs.</t>
  </si>
  <si>
    <t>Photo Block and Process Block Mfgrs.</t>
  </si>
  <si>
    <t>Picture &amp; Picture Frame Makers, Dealers and Gilders All other employees</t>
  </si>
  <si>
    <t>Picture &amp; Picture Frame Makers, Dealers and Gilders Wood work machinists</t>
  </si>
  <si>
    <t>Picture Frame Moulding Makers - All other employees</t>
  </si>
  <si>
    <t>Picture Frame Moulding Makers -Wood working machinists</t>
  </si>
  <si>
    <t>Potato Dehydrating -Where no mechanically driven machinery is used</t>
  </si>
  <si>
    <t>Potteries and Pottery Decorators a) Excl. Manufacture of Flooring, Roofing and Terakotta Tiles; Excl. Clay getting and Mining also excl. Lead Poisoning</t>
  </si>
  <si>
    <t>Potteries and Pottery Decorators b) Incl. Lead poisoning - above rate plus</t>
  </si>
  <si>
    <t>Rayon Mills -</t>
  </si>
  <si>
    <t>Resin mfgrs.</t>
  </si>
  <si>
    <t>Rope (Excl. Wire Rope) Cord and Twine -Where no mechanically driven machinery is used</t>
  </si>
  <si>
    <t>Sack Makers ( Sewing only when carried on as a separate trade)-</t>
  </si>
  <si>
    <t>Safety Razor Blades Mfgrs.</t>
  </si>
  <si>
    <t>Sauce Mfgrs.</t>
  </si>
  <si>
    <t>Sausage &amp; Sausage skin Mfgrs.</t>
  </si>
  <si>
    <t>Screw Mfgrs.</t>
  </si>
  <si>
    <t>Sheet Lead Rollers and Lead Pipe Makers-Excl. Lead poisoning</t>
  </si>
  <si>
    <t>Sheet Lead Rollers and Lead Pipe Makers-Incl. Lead poisoning</t>
  </si>
  <si>
    <t>Shellac Mfgrs. -</t>
  </si>
  <si>
    <t>Short Mfgrs.</t>
  </si>
  <si>
    <t>Silk Artificial -All Processes</t>
  </si>
  <si>
    <t>Silk Artificial -Doubling</t>
  </si>
  <si>
    <t>Small Arm Factories-Excl. testing and cartridge loading</t>
  </si>
  <si>
    <t>Small Wear Mfgrs. ( Braid, Laces other Leather, Tassels &amp; Cords)</t>
  </si>
  <si>
    <t>Spring and Axle makers</t>
  </si>
  <si>
    <t>T.V. Picture Tube Mfgrs</t>
  </si>
  <si>
    <t>Tobacco, Cigar and Cigarette and Bidi Mfgrs. and Dealers- Manufacturing -Where any mechanically driven machinery is used</t>
  </si>
  <si>
    <t>Toy Makers -Mfg. of all classes of toys excl. celluloid toys and excl. the use of machinery</t>
  </si>
  <si>
    <t>Toy Makers -Mfg. of all classes of toys incl. celluloid toys</t>
  </si>
  <si>
    <t>Tyre Vulcanisers when carried as a separate trade</t>
  </si>
  <si>
    <t>Umbrella Mfgrs. -Where any mechanically driven machinery is used</t>
  </si>
  <si>
    <t>Umbrella Mfgrs. -Where hand power is used</t>
  </si>
  <si>
    <t>Undertaker -Wood working machinists</t>
  </si>
  <si>
    <t>Varnish Japan &amp; Laquer Mfgrs.-</t>
  </si>
  <si>
    <t>Whiting and Pipeclay Mfgrs.-Excl. Mining Quarry</t>
  </si>
  <si>
    <t>Wire Drawers and Wire Ropes Mfgrs -Gold and Silver Wire Drawers</t>
  </si>
  <si>
    <t>Wood Ware Mfgrs. and Turners -All other employees</t>
  </si>
  <si>
    <t>Wool Scourers and Carbonizers  -Where any wool-combing is done -Excl. Anthrax</t>
  </si>
  <si>
    <t>Wool Scourers and Carbonizers  -Where any wool-combing is done -Incl. Anthrax</t>
  </si>
  <si>
    <t>Wool Scourers and Carbonizers  -Where no wool-combing is done -Excl. Anthrax</t>
  </si>
  <si>
    <t>Wool Scourers and Carbonizers  -Where no wool-combing is done -Incl. Anthrax</t>
  </si>
  <si>
    <t>Wool Sorter and/or Wool Waste merchants -Excl. Anthrax</t>
  </si>
  <si>
    <t>Wool Sorter and/or Wool Waste merchants -Incl. Anthrax</t>
  </si>
  <si>
    <t>Woolen and Worsted -Flock, Mungo and Shoddy</t>
  </si>
  <si>
    <t>Writing Slate Mfgrs.</t>
  </si>
  <si>
    <t>Yeast Mfgrs.-</t>
  </si>
  <si>
    <t>Collieries - Fatal Only (Fiery)-Pits</t>
  </si>
  <si>
    <t>Collieries - Whole Risk (Fiery)- Inclines &amp; Levels  (Minimum premium Rs. 800)</t>
  </si>
  <si>
    <t>Collieries - Whole Risk (Fiery)-Pits</t>
  </si>
  <si>
    <t>Excavation, Earth Removal and Filling and Reclamation (not for Sewers and Roads)-Incl. use of explosives blasting, Tunnelling and quarrying</t>
  </si>
  <si>
    <t>Mica Cutters</t>
  </si>
  <si>
    <t>Mines -Chromite</t>
  </si>
  <si>
    <t>Mines -Graphite</t>
  </si>
  <si>
    <t>Mines -Lead</t>
  </si>
  <si>
    <t>Mines -Mica</t>
  </si>
  <si>
    <t>Mines -Ochre</t>
  </si>
  <si>
    <t>Mines -Salt</t>
  </si>
  <si>
    <t>Mines -Silver</t>
  </si>
  <si>
    <t>Mines -Tin</t>
  </si>
  <si>
    <t>Mines -Wolfram</t>
  </si>
  <si>
    <t>Tin Ore Getting from open Workings and Machine Crushing</t>
  </si>
  <si>
    <t>Tin Ore Getting from open Workings where no Machinery is used</t>
  </si>
  <si>
    <t>Bookbinder (with or without machinery)</t>
  </si>
  <si>
    <t>Elephants - catching, training keeping or working To be submitted special rating</t>
  </si>
  <si>
    <t>Ferry &amp; Launch Owners (excl. Towing) -Otherwise than Mechanically Propelled</t>
  </si>
  <si>
    <t>Ferry &amp; Launch Owners (excl. towing)-Mechanically propelled and under 50 tons net tonnage</t>
  </si>
  <si>
    <t>Glaziers -Other risks</t>
  </si>
  <si>
    <t>Linen Finishers</t>
  </si>
  <si>
    <t>Mechanics:- Well sinking (other than artesian and tube wells q.v.)</t>
  </si>
  <si>
    <t>Refuse Heaps -Getting material from</t>
  </si>
  <si>
    <t>Remound depots</t>
  </si>
  <si>
    <t>Sign Writers -Not glass-Excl. Erection</t>
  </si>
  <si>
    <t>Sinking:- Pit or Mine opening up or driving levels or slants</t>
  </si>
  <si>
    <t>Slaughtermen</t>
  </si>
  <si>
    <t>Stampers and piercers-Where carried on as a separate trade</t>
  </si>
  <si>
    <t>Tanners, Carriers and Fellomongers</t>
  </si>
  <si>
    <t>Taxidermists - Excl. Anthrax</t>
  </si>
  <si>
    <t>Taxidermists - Incl. Anthrax</t>
  </si>
  <si>
    <t>Thatchers of Buildings</t>
  </si>
  <si>
    <t>Timber Raftmen</t>
  </si>
  <si>
    <t>Tin Dredgers</t>
  </si>
  <si>
    <t>Transmiths -Excl. Ship work</t>
  </si>
  <si>
    <t>Tube Drawers</t>
  </si>
  <si>
    <t>Tug Owners - Where carried on as a separate trade</t>
  </si>
  <si>
    <t>Undertaker -Outside and stable</t>
  </si>
  <si>
    <t>Upholsterers</t>
  </si>
  <si>
    <t>Cinchona Estates -Employees on Factory Register</t>
  </si>
  <si>
    <t>Cinchona Estates-All other employees</t>
  </si>
  <si>
    <t>Coffee Estate -Domestic Servants whose names appear on the Factory or garden register who are paid wholly by estate</t>
  </si>
  <si>
    <t>Hiking Clubs -Sherpas employed for carrying loads in the mountains:Wages exceeding 300/- P.M. per capita</t>
  </si>
  <si>
    <t>LGP Bottling Plant</t>
  </si>
  <si>
    <t>Motor Cycle and Cycle Patrols (Automobile Association or Clubs)Motor Race Drivers per car per race</t>
  </si>
  <si>
    <t>Palm Trees - Tapping or Picking</t>
  </si>
  <si>
    <t>Rubber Plantations - All other employees</t>
  </si>
  <si>
    <t>Auctioneers -Porters and assistants excl. risk connection with horses and livestock</t>
  </si>
  <si>
    <t>Auctioneers-Porters and assistants for  horses and livestock</t>
  </si>
  <si>
    <t>Blacksmiths and Farriers</t>
  </si>
  <si>
    <t>Boot &amp; Shoe Dealers, Makers and Repairers (Retail)</t>
  </si>
  <si>
    <t>Canvassers</t>
  </si>
  <si>
    <t>Cinematograph Film Producers - To be submitted for special rating</t>
  </si>
  <si>
    <t>Crews of Country Craft plying between coastal Ports</t>
  </si>
  <si>
    <t>Dairies  -Delivery by hand, handcraft, Cycle or tricycle</t>
  </si>
  <si>
    <t>Domestic Servants -Syce (Horse)</t>
  </si>
  <si>
    <t>Gliding Association - Non flying employees</t>
  </si>
  <si>
    <t>Golf Clubs -(see Regulation No 8)Caddies only, per member on total membership (Note: This rate is to be charged on the maximum per Capita Membership during the period of Insurance )</t>
  </si>
  <si>
    <t>Golf Clubs -(see Regulation No 8)Individual players, against caddies risk on any links per players per Capita</t>
  </si>
  <si>
    <t>Golf Clubs -(see Regulation No 8)Visitors liability in respect of caddies, per visitor per Capita                                 (Minimum premium Rs. 10/-)</t>
  </si>
  <si>
    <t>Hiking Clubs -Sherpas employed for carrying loads in the mountains:Wages upto 300/- P.M. - per capita</t>
  </si>
  <si>
    <t>Horse Breeders Trainers and Jokeys</t>
  </si>
  <si>
    <t>Insurance Companies  -</t>
  </si>
  <si>
    <t>Laundries -Incl. receiving office employees-Where no machinery is used</t>
  </si>
  <si>
    <t>Lighthouse Keepers-</t>
  </si>
  <si>
    <t>Meat Market -Assistants, incl. cutting up</t>
  </si>
  <si>
    <t>Messengers (Office) and Bill Collectors - Using Cycles</t>
  </si>
  <si>
    <t>Motor Cycle and Cycle Patrols (Automobile Association or Clubs) All Employees</t>
  </si>
  <si>
    <t>Motor Tractors Owners -(Land cultivation only)</t>
  </si>
  <si>
    <t>Nurse -Attending on lunatics</t>
  </si>
  <si>
    <t>Nurse -Not attending on lunatics</t>
  </si>
  <si>
    <t>Omnibus and Motor Bus Proprietors</t>
  </si>
  <si>
    <t>Oyster Cultivators</t>
  </si>
  <si>
    <t>Paper Mache Decorators - Inside work only</t>
  </si>
  <si>
    <t>Photographers and Photographic Appliances Dealers - Operators and assistants engaged partly or wholly outside</t>
  </si>
  <si>
    <t>Pile Drivers -Where carried on as a separate trade</t>
  </si>
  <si>
    <t>Pit Prop cutting where carried on as a separate Trade</t>
  </si>
  <si>
    <t>Polo Clubs -All other employees</t>
  </si>
  <si>
    <t>Polo Clubs -Stable hands and employees engaged in ridding</t>
  </si>
  <si>
    <t>Racecourse Employees-All other employees</t>
  </si>
  <si>
    <t>Racecourse Employees-Grooms, Jockeys and Stable hands</t>
  </si>
  <si>
    <t>Railway Station Refreshment Rooms' Private Contractor Controlling -Waiters who serve meals in refreshment rooms and to passengers in trains, i.e. chota hazri and tea who will occasionally travel short distance by train.</t>
  </si>
  <si>
    <t>Railway Station Refreshment Rooms' Private Contractor Controlling -Employees who travel regularly by train i.e. ice and dining car attendants</t>
  </si>
  <si>
    <t>Rifle Clubs  -All other employees incl. makers, instructors and care takers</t>
  </si>
  <si>
    <t>Rubber Plantations - Domestic servants whose name appears on the factory or garden register and who are paid wholly by eatate</t>
  </si>
  <si>
    <t>Theater Artists Bandsmen and Permanent Staff</t>
  </si>
  <si>
    <t>Veterinary Colleges -All other employees</t>
  </si>
  <si>
    <t>Veterinary Surgeons and Attendants and Grooms in employ of Veterinary Surgeons -</t>
  </si>
  <si>
    <t>Wireless Schools - Tuition and demonstration</t>
  </si>
  <si>
    <t>Wireless Schools -Tuition and Demonstration</t>
  </si>
  <si>
    <t>Dairies  -Shop Risks</t>
  </si>
  <si>
    <t>Forwarding and Shipping Agent's Receiving Offices, Depots and Godowns -Delivery by hand, handcraft, Cycle or tricycle</t>
  </si>
  <si>
    <t>Furriers -Wholesale dealers - Excl. handling of raw skins</t>
  </si>
  <si>
    <t>Furriers -Wholesale dealers - Incl. handling of raw skins</t>
  </si>
  <si>
    <t>Hide and Skin Merchants and Dealers -Excl. Anthrax</t>
  </si>
  <si>
    <t>Hide and Skin Merchants and Dealers -Incl. Anthrax</t>
  </si>
  <si>
    <t>Jewelers, Goldsmith and Silversmith -Retail only</t>
  </si>
  <si>
    <t>Jute Godowns and Warehouses -Handling Jute, loose  and in pucca or kucha bales</t>
  </si>
  <si>
    <t>Meat Market -Salesman only</t>
  </si>
  <si>
    <t>Photographers and Photographic Appliances Dealers - Shop and studio</t>
  </si>
  <si>
    <t>Picture &amp; Picture Frame Makers, Dealers and Gilders Retail Shop risk</t>
  </si>
  <si>
    <t>Salt Merchants and Dealers -All other  Employees</t>
  </si>
  <si>
    <t>Salt Merchants and Dealers -Hands in Warehouse receiving and delivering from or to vessels. and/or no Dock, Quayside or wharf and lightermen (excl. Stevedores)</t>
  </si>
  <si>
    <t>Shop Risk - Class A -Bakers</t>
  </si>
  <si>
    <t>Shop Risk - Class A -Barometer, Hydrometer, Thermometer and Mathematical Instruments</t>
  </si>
  <si>
    <t>Shop Risk - Class A -Book</t>
  </si>
  <si>
    <t>Shop Risk - Class A -Chemists</t>
  </si>
  <si>
    <t>Shop Risk - Class A -China and glass</t>
  </si>
  <si>
    <t>Shop Risk - Class A -Confectioners</t>
  </si>
  <si>
    <t>Shop Risk - Class A -Cutlery</t>
  </si>
  <si>
    <t>Shop Risk - Class A -Diaries</t>
  </si>
  <si>
    <t>Shop Risk - Class A -Drapers</t>
  </si>
  <si>
    <t>Shop Risk - Class A -Dress Maskers</t>
  </si>
  <si>
    <t>Shop Risk - Class A -Fancy goods</t>
  </si>
  <si>
    <t>Shop Risk - Class A -Floorist and seedsmen</t>
  </si>
  <si>
    <t>Shop Risk - Class A -Furriers</t>
  </si>
  <si>
    <t>Shop Risk - Class A -Haberdashers</t>
  </si>
  <si>
    <t>Shop Risk - Class A -Hatters</t>
  </si>
  <si>
    <t>Shop Risk - Class A -Hoosiers</t>
  </si>
  <si>
    <t>Shop Risk - Class A -Leather Goods</t>
  </si>
  <si>
    <t>Shop Risk - Class A -Milliners</t>
  </si>
  <si>
    <t>Shop Risk - Class A -Musical instruments (Salesmen only)</t>
  </si>
  <si>
    <t>Shop Risk - Class A -Naturalists not taxidermists</t>
  </si>
  <si>
    <t>Shop Risk - Class A -Nautical instruments and appliances</t>
  </si>
  <si>
    <t>Shop Risk - Class A -Newsagents</t>
  </si>
  <si>
    <t>Shop Risk - Class A -Opticians</t>
  </si>
  <si>
    <t>Shop Risk - Class A -Photographers</t>
  </si>
  <si>
    <t>Shop Risk - Class A -Photographic appliances</t>
  </si>
  <si>
    <t>Shop Risk - Class A -Photographic Records</t>
  </si>
  <si>
    <t>Shop Risk - Class A -Stationers</t>
  </si>
  <si>
    <t>Shop Risk - Class A -Tobacconists</t>
  </si>
  <si>
    <t>Shop Risk  -Class A -Toys</t>
  </si>
  <si>
    <t>Shop Risk - Class A -Wall papers</t>
  </si>
  <si>
    <t>Shop Risk - Class A -Watch Makers</t>
  </si>
  <si>
    <t>Shop Risk - Class B -Fruiterers</t>
  </si>
  <si>
    <t>Shop Risk - Class B -Ironmongers excl. Mechanics</t>
  </si>
  <si>
    <t>Shop Risk - Class B -Italian warehouse men</t>
  </si>
  <si>
    <t>Shop Risk - Class B -Oil and colour</t>
  </si>
  <si>
    <t>Shop Risk - Class B -Sticks and umbrellas, incl. Finishing mounting and Repairing</t>
  </si>
  <si>
    <t>Shop Risk - Class C -Chandlers (not ship chandlers)</t>
  </si>
  <si>
    <t>Shop Risk - Class C -Cheesemongers</t>
  </si>
  <si>
    <t>Shop Risk - Class C -Cooked Meat or cooked fish</t>
  </si>
  <si>
    <t>Shop Risk - Class C -Corn Chandlers, Dealers and Merchants retail only --Using  machinery but excl. delivery</t>
  </si>
  <si>
    <t>Shop Risk - Class C -Corn Chandlers, Dealers and Merchants retail only -Using no machinery driven by mechanical power and excl. Delivery</t>
  </si>
  <si>
    <t>Shop Risk - Class C -Grocery and provisions  -Off licence where no bottling by machinery is done-All other employees</t>
  </si>
  <si>
    <t>Shop Risk - Class C -Hair Dressers</t>
  </si>
  <si>
    <t>Shop Risk - Class C -Pawnbrokers</t>
  </si>
  <si>
    <t>Shop Risk - Class C -Perambulators</t>
  </si>
  <si>
    <t>Shop Risk - Class C -Picture and Picture Frame Dealers excl. Machinery</t>
  </si>
  <si>
    <t>Shop Risk - Class C -Sewing and Washing machines</t>
  </si>
  <si>
    <t>Shop Risk - Class C -Wine, spirit and beer dealers</t>
  </si>
  <si>
    <t>Shop Risk - Class D -Groceries Provisions- Off licence where  bottling by machinery is done  -All other employees</t>
  </si>
  <si>
    <t>Shop Risk - Class D -Gunsmiths</t>
  </si>
  <si>
    <t>Shop Risk - Class D -Wine Spirit and Beer dealers-Off licence only where bottling by machinery is done -All other employees</t>
  </si>
  <si>
    <t>Shop Risk - Class E -Butchers</t>
  </si>
  <si>
    <t>Shop Risk - Class E -Fishmongers</t>
  </si>
  <si>
    <t>Shop Risk - Class E -Furniture removers (see Classification No 175)</t>
  </si>
  <si>
    <t>Shop Risk - Class E -Groceries and Provisions - (Full licence)-All employees engaged partially or wholly in serving drink</t>
  </si>
  <si>
    <t>Shop Risk - Class E -Groceries and Provisions - (Full licence)-All other employees where  bottling by machinery is done excl. delivery by hand or otherwise</t>
  </si>
  <si>
    <t>Shop Risk - Class E -Groceries and Provisions - (Full licence)-All other employees where  no bottling by machinery is done excl. delivery by hand or otherwise</t>
  </si>
  <si>
    <t>Shop Risk - Class E -Publicans</t>
  </si>
  <si>
    <t>Shop Risk - Class E -Wine Spirit &amp; Beer dealers-Full-Licence-All employees</t>
  </si>
  <si>
    <t>Tobacco, Cigar and Cigarette and Bidi Mfgrs. and Dealers- Godown</t>
  </si>
  <si>
    <t>Tobacco, Cigar and Cigarette and Bidi Mfgrs. and Dealers- Retailed shop risk</t>
  </si>
  <si>
    <t>Undertaker -Shop</t>
  </si>
  <si>
    <t>Warehouse (Godwons) Group I -Art, Bric-a-Brac, Curio</t>
  </si>
  <si>
    <t>Warehouse (Godwons) Group I -Biscuit</t>
  </si>
  <si>
    <t>Warehouse (Godwons) Group I -Bonded Warhouses - Incl. hand bottling</t>
  </si>
  <si>
    <t>Warehouse (Godwons) Group I -China Glass and earthware</t>
  </si>
  <si>
    <t>Warehouse (Godwons) Group I -Colour, Dyes and Chemicals</t>
  </si>
  <si>
    <t>Warehouse (Godwons) Group I -Drug</t>
  </si>
  <si>
    <t>Warehouse (Godwons) Group I -Drysalters</t>
  </si>
  <si>
    <t>Warehouse (Godwons) Group I -Flax</t>
  </si>
  <si>
    <t>Warehouse (Godwons) Group I -Linen</t>
  </si>
  <si>
    <t>Warehouse (Godwons) Group I -Oil and Italian Goods</t>
  </si>
  <si>
    <t>Warehouse (Godwons) Group I -Publishers and Booksellers</t>
  </si>
  <si>
    <t>Warehouse (Godwons) Group I -Sack and Bag</t>
  </si>
  <si>
    <t>Warehouse (Godwons) Group I -Shellac</t>
  </si>
  <si>
    <t>Warehouse (Godwons) Group I -Smallware (Braid, laces not leather, tussles and cords)</t>
  </si>
  <si>
    <t>Warehouse (Godwons) Group I -Soft goods (textile) not Packers &amp; Makers up as separate trade and not Forwarding and Shipping Agents -Where no packing is done by mechanical power</t>
  </si>
  <si>
    <t>Warehouse (Godwons) Group I -Sugar</t>
  </si>
  <si>
    <t>Warehouse (Godwons) Group II -Bone incl. Anthrax</t>
  </si>
  <si>
    <t>Warehouse (Godwons) Group II -Carpet, rug and linoleum</t>
  </si>
  <si>
    <t>Warehouse (Godwons) Group II -Furniture</t>
  </si>
  <si>
    <t>Warehouse (Godwons) Group II -Hardware and Ironmongery</t>
  </si>
  <si>
    <t>Warehouse (Godwons) Group II -Leather and Leather Goods</t>
  </si>
  <si>
    <t>Warehouse (Godwons) Group II -Molasses - Incl. filling by hand</t>
  </si>
  <si>
    <t>Warehouse (Godwons) Group II -Paper</t>
  </si>
  <si>
    <t>Warehouse (Godwons) Group II -Wool incl. Anthrax</t>
  </si>
  <si>
    <t>Warehouse (Godwons) Group III -Branded Warehouses (on machine bottling wages only)</t>
  </si>
  <si>
    <t>Worker Detais Count</t>
  </si>
  <si>
    <t>Display No. of Lines</t>
  </si>
  <si>
    <t>Risk Address Line 1</t>
  </si>
  <si>
    <t>Risk Pincode</t>
  </si>
  <si>
    <t>Final % Count.</t>
  </si>
  <si>
    <t>Office Location Code</t>
  </si>
  <si>
    <t>product_code_sequence</t>
  </si>
  <si>
    <t>PUP DL</t>
  </si>
  <si>
    <t>IFERROR(IF(AND(user_type="Producer",total_disc&lt;VLOOKUP(CONCATENATE(channel,cl_zone,location_type,Quote!D111),'Trade Category Master'!$AC$2:$AP$21,14,0)),1,0),0)</t>
  </si>
  <si>
    <t>Excluding Medical expenses</t>
  </si>
  <si>
    <t>Including Medical expenses upto INR 25,000 per person</t>
  </si>
  <si>
    <t>Including Medical expenses upto INR 50,000 per person</t>
  </si>
  <si>
    <t>Including Medical expenses upto INR 75,000 per person</t>
  </si>
  <si>
    <t>Including Medical expenses upto INR 1,00,000 per person</t>
  </si>
  <si>
    <t>Occupational Disease Coverage subject to:
     a. Occupational disease coverage is limited to Employees Compensation Act 1923 only and does not apply to any other Law,  
     b. No cover for disease other than Occupational Diseases listed in Part A, Schedule III of Employees Compensation Act, 1923</t>
  </si>
  <si>
    <t>Medical expenses on actual basis
Warranted that the medical expense coverage under the policy will be valid for a period not exceeding 2 years from the date of accident</t>
  </si>
  <si>
    <t>Actual Medex</t>
  </si>
  <si>
    <t>Loading Parameters</t>
  </si>
  <si>
    <t>Premium Display</t>
  </si>
  <si>
    <t>Premium Display Master</t>
  </si>
  <si>
    <t>Show Premium</t>
  </si>
  <si>
    <t>Hide Premium</t>
  </si>
  <si>
    <t>Refer to UW?</t>
  </si>
  <si>
    <t>Add Comments</t>
  </si>
  <si>
    <t>Refer to UW</t>
  </si>
  <si>
    <t>CL Zone UW</t>
  </si>
  <si>
    <t>location_group_1_uw</t>
  </si>
  <si>
    <t>cont_1_uw</t>
  </si>
  <si>
    <t>cl_zone_2_uw</t>
  </si>
  <si>
    <t>location_group_2_uw</t>
  </si>
  <si>
    <t>cont_2_uw</t>
  </si>
  <si>
    <t>cl_zone_3_uw</t>
  </si>
  <si>
    <t>location_group_3_uw</t>
  </si>
  <si>
    <t>cont_3_uw</t>
  </si>
  <si>
    <t>claim_ratio_uw</t>
  </si>
  <si>
    <t>calim_loading_uw</t>
  </si>
  <si>
    <t>medex_loading_uw</t>
  </si>
  <si>
    <t>medex_location_uw</t>
  </si>
  <si>
    <t>od_loading_uw</t>
  </si>
  <si>
    <t>total_disc_uw</t>
  </si>
  <si>
    <t>total_loading_uw</t>
  </si>
  <si>
    <t>final_load_disc_uw</t>
  </si>
  <si>
    <t>net_premium_uw</t>
  </si>
  <si>
    <t>statutory_premium_uw</t>
  </si>
  <si>
    <t>medex_premium_uw</t>
  </si>
  <si>
    <t>od_premium_uw</t>
  </si>
  <si>
    <t>Trade Category Name</t>
  </si>
  <si>
    <t>Communication State Code</t>
  </si>
  <si>
    <t>1827-Plastic Goods Mfgrs.-PUP</t>
  </si>
  <si>
    <t>Channel Name</t>
  </si>
  <si>
    <t>GC Channel</t>
  </si>
  <si>
    <t>IPDS Channel</t>
  </si>
  <si>
    <t>India Post Payment Bank</t>
  </si>
  <si>
    <t>Banca</t>
  </si>
  <si>
    <t>Broker</t>
  </si>
  <si>
    <t>E-Franchisee</t>
  </si>
  <si>
    <t>Agency</t>
  </si>
  <si>
    <t>CRSG</t>
  </si>
  <si>
    <t>Alternate Channel</t>
  </si>
  <si>
    <t>GBG</t>
  </si>
  <si>
    <t>D2C</t>
  </si>
  <si>
    <t>Alternate - Travel</t>
  </si>
  <si>
    <t>Direct Marketing</t>
  </si>
  <si>
    <t>Branch</t>
  </si>
  <si>
    <t>PLPC</t>
  </si>
  <si>
    <t>E-Business</t>
  </si>
  <si>
    <t>Composite Channel</t>
  </si>
  <si>
    <t>Direct Corporate</t>
  </si>
  <si>
    <t>Life Source Distribution</t>
  </si>
  <si>
    <t>Alternate - Other</t>
  </si>
  <si>
    <t>Alternate - PL</t>
  </si>
  <si>
    <t>TechnoMarketing Group</t>
  </si>
  <si>
    <t>Geo Exp</t>
  </si>
  <si>
    <t>CSC</t>
  </si>
  <si>
    <t>Bancassurance</t>
  </si>
  <si>
    <t>OEM</t>
  </si>
  <si>
    <t>Axis</t>
  </si>
  <si>
    <t>Other-Direct</t>
  </si>
  <si>
    <t>Affinity</t>
  </si>
  <si>
    <t>KPG- Financial Institution- B1</t>
  </si>
  <si>
    <t>KPG- Bank of Baroda</t>
  </si>
  <si>
    <t>KPG-Canara Bank</t>
  </si>
  <si>
    <t>KPG- Financial Institution- B2</t>
  </si>
  <si>
    <t>KPG- Financial Institution- B3</t>
  </si>
  <si>
    <t>KPG -Co-operative Banks</t>
  </si>
  <si>
    <t>KPG -Financial Institution- B4</t>
  </si>
  <si>
    <t>T-Agency</t>
  </si>
  <si>
    <t>Axis Bank</t>
  </si>
  <si>
    <t>Direct</t>
  </si>
  <si>
    <t>P-Agency</t>
  </si>
  <si>
    <t>OEM-Pvt car</t>
  </si>
  <si>
    <t>OEM-TW</t>
  </si>
  <si>
    <t>OEM- CV</t>
  </si>
  <si>
    <t>KPG-Indusind bank</t>
  </si>
  <si>
    <t>KPG B1</t>
  </si>
  <si>
    <t>KPG B2</t>
  </si>
  <si>
    <t>Bank of Baroda</t>
  </si>
  <si>
    <t>KPG-Coop Banks</t>
  </si>
  <si>
    <t>Canara Bank</t>
  </si>
  <si>
    <t>Federal Bank</t>
  </si>
  <si>
    <t>IndusInd</t>
  </si>
  <si>
    <t>KPG B4</t>
  </si>
  <si>
    <t>AU Small Finance Bank</t>
  </si>
  <si>
    <t>&gt; 1,00,000</t>
  </si>
  <si>
    <t>IF(medex_actuals="Yes",Master!AS2,IF(AND(medex_option="&gt; 1,00,000",medex_per_person_limit&gt;0,OR(medex_aggregate_limit=0,medex_aggregate_limit="")),CONCATENATE("Including Medical expenses upto INR"," ",medex_per_person_limit,"","per person"),IF(AND(medex_option="&gt; 1,00,000",medex_aggregate_limit&gt;0,OR(medex_per_person_limit=0,medex_per_person_limit="")),CONCATENATE("Including Aggegrate Medical expenses upto INR"," ",medex_aggregate_limit),IF(AND(medex_option="&gt; 1,00,000",medex_aggregate_limit&gt;0,medex_per_person_limit&gt;0),CONCATENATE("Including Medical expenses upto INR"," ",medex_per_person_limit," ","per person and aggregate expenses upto INR"," ",medex_aggregate_limit," ","for the policy period"),VLOOKUP(medex_option,Master!$AS$4:$AU$9,3,0))))),""),"")</t>
  </si>
  <si>
    <t>Medex Actuals</t>
  </si>
  <si>
    <t>Medex Option</t>
  </si>
  <si>
    <t>Medex Per Person Limit</t>
  </si>
  <si>
    <t>Scenario</t>
  </si>
  <si>
    <t>Medex Aggregate Limit</t>
  </si>
  <si>
    <t>Result</t>
  </si>
  <si>
    <t>From Table</t>
  </si>
  <si>
    <t>Final Result for Clause 5</t>
  </si>
  <si>
    <t>IndiaPostPaymentBank</t>
  </si>
  <si>
    <t>AlternateChannel</t>
  </si>
  <si>
    <t>Alternate-Travel</t>
  </si>
  <si>
    <t>DirectMarketing</t>
  </si>
  <si>
    <t>CompositeChannel</t>
  </si>
  <si>
    <t>DirectCorporate</t>
  </si>
  <si>
    <t>LifeSourceDistribution</t>
  </si>
  <si>
    <t>Alternate-Other</t>
  </si>
  <si>
    <t>Alternate-PL</t>
  </si>
  <si>
    <t>TechnoMarketingGroup</t>
  </si>
  <si>
    <t>GeoExp</t>
  </si>
  <si>
    <t>KPG-FinancialInstitution-B1</t>
  </si>
  <si>
    <t>KPG-BankofBaroda</t>
  </si>
  <si>
    <t>KPG-CanaraBank</t>
  </si>
  <si>
    <t>KPG-FinancialInstitution-B2</t>
  </si>
  <si>
    <t>KPG-FinancialInstitution-B3</t>
  </si>
  <si>
    <t>KPG-Co-operativeBanks</t>
  </si>
  <si>
    <t>KPG-FinancialInstitution-B4</t>
  </si>
  <si>
    <t>AxisBank</t>
  </si>
  <si>
    <t>OEM-Pvtcar</t>
  </si>
  <si>
    <t>OEM-CV</t>
  </si>
  <si>
    <t>KPG-Indusindbank</t>
  </si>
  <si>
    <t>KPGB1</t>
  </si>
  <si>
    <t>KPGB2</t>
  </si>
  <si>
    <t>BankofBaroda</t>
  </si>
  <si>
    <t>KPG-CoopBanks</t>
  </si>
  <si>
    <t>CanaraBank</t>
  </si>
  <si>
    <t>FederalBank</t>
  </si>
  <si>
    <t>KPGB4</t>
  </si>
  <si>
    <t>AUSmallFinanceBank</t>
  </si>
  <si>
    <t>Rate</t>
  </si>
  <si>
    <t>Producer Type</t>
  </si>
  <si>
    <t>Agent Corporate Logic</t>
  </si>
  <si>
    <t>MSME No. Validation</t>
  </si>
  <si>
    <t>Quote State Code</t>
  </si>
  <si>
    <t>GST Breakup</t>
  </si>
  <si>
    <t>CGST</t>
  </si>
  <si>
    <t>SGST</t>
  </si>
  <si>
    <t>IGST</t>
  </si>
  <si>
    <t>GST</t>
  </si>
  <si>
    <t>No. of Locations</t>
  </si>
  <si>
    <t>No. of Location</t>
  </si>
  <si>
    <t>SATNA</t>
  </si>
  <si>
    <t>MADHYA PRADESHSATNA</t>
  </si>
  <si>
    <t>REWA</t>
  </si>
  <si>
    <t>MADHYA PRADESHREWA</t>
  </si>
  <si>
    <t>KATNI</t>
  </si>
  <si>
    <t>MADHYA PRADESHKATNI</t>
  </si>
  <si>
    <t>MADHYA PRADESHSIDHI</t>
  </si>
  <si>
    <t>CHITRAKOOT</t>
  </si>
  <si>
    <t>MADHYA PRADESHCHITRAKOOT</t>
  </si>
  <si>
    <t>MAIHER</t>
  </si>
  <si>
    <t>MADHYA PRADESHMAIHER</t>
  </si>
  <si>
    <t>Loading/Discount</t>
  </si>
  <si>
    <t>Channel</t>
  </si>
  <si>
    <t>Producer Min</t>
  </si>
  <si>
    <t>Producer Max</t>
  </si>
  <si>
    <t>UW Min</t>
  </si>
  <si>
    <t>UW Max</t>
  </si>
  <si>
    <t>Lookup for Producer</t>
  </si>
  <si>
    <t>Lookup for UW</t>
  </si>
  <si>
    <t>trade_category_code_tmpl</t>
  </si>
  <si>
    <t>length_increase_tmpl</t>
  </si>
  <si>
    <t>Producer Min Dis</t>
  </si>
  <si>
    <t>Producer Max Load</t>
  </si>
  <si>
    <t>UW Min Dis</t>
  </si>
  <si>
    <t>UW Max Load</t>
  </si>
  <si>
    <t>UW TAG'S</t>
  </si>
  <si>
    <t>DADRA &amp; NAGAR HAVELI</t>
  </si>
  <si>
    <t>DADRA &amp; NAGAR HAVELIDADRA &amp; NAGAR HAVELI</t>
  </si>
  <si>
    <t>Loading &amp; Discount %</t>
  </si>
  <si>
    <t>Final Load/Disc</t>
  </si>
  <si>
    <t>Actual Premium</t>
  </si>
  <si>
    <t>After Load/Disc Premium</t>
  </si>
  <si>
    <t>BISRAMPUR</t>
  </si>
  <si>
    <t>HARIHARGANJ</t>
  </si>
  <si>
    <t>JHARKHANDBISRAMPUR</t>
  </si>
  <si>
    <t>JHARKHANDHARIHARGANJ</t>
  </si>
  <si>
    <t>Semi Urban</t>
  </si>
  <si>
    <t>1827-Plastic Goods Mfgrs.</t>
  </si>
  <si>
    <t>1020-Auctioneers -Others clerks</t>
  </si>
  <si>
    <t>1065-Brick and Tile Makers -Where any  machinery is used; excl. clay or blaes getting below 6 metres</t>
  </si>
  <si>
    <t>1071-Builders -All employees engaged in shop or yard or in construction/ demolition of buildings and other civil construction like dams, bridges etc. incl. excavation-Excl. blasting and tunneling</t>
  </si>
  <si>
    <t>1109-Chemical Works -Incl. acid, Alizarine, alkali, alum, ammonia, aniline, arsenic bichromate of potash, borax, sheep dip and soda works</t>
  </si>
  <si>
    <t>1118-Clerical Staff-Engaged in trade on mercantile employment (Duties strictly limited to indoor clerical work)</t>
  </si>
  <si>
    <t>1143-Commercial Travellers -Employees using Motor Cycles/Scooters</t>
  </si>
  <si>
    <t>1072-Builders -All employees engaged in shop or yard or in construction/ demolition of buildings and other civil construction like dams, bridges etc. incl. excavation-Incl. blasting and tunneling</t>
  </si>
  <si>
    <t>1106-Cement Works -Excl. Quarry or Mining Risk (Quarry and Mining Risks to be rated Separately)</t>
  </si>
  <si>
    <t>1122-Coach, Carriage, Bus Body and Wagon Builders and Wheelwrights -Excl. Railway Coach and Railway Wagon Building and Repairing Woodworking machinists</t>
  </si>
  <si>
    <t>1166-Crane Drivers -</t>
  </si>
  <si>
    <t>1181-Docks  -Employees engaged in blasting</t>
  </si>
  <si>
    <t>1353-Land Drainage Service-Incl. blasting and tunnelling</t>
  </si>
  <si>
    <t>1451-Painters and Decorators where carried on as separate trade, not Builders - Excl. churches, chapals, cinemas, theaters, music halls, public halls, gtasometers towers, bridges, viaducts or blast furnaces, the painting, scraping or scaling of ships of any work in connection with the roofs of railway stations or railway platform awnings</t>
  </si>
  <si>
    <t>1512-Railway Construction and alteration-Tunnelling, incl. Blasting (when carried as a separateContract)</t>
  </si>
  <si>
    <t>1532-Roofing and Flooring Makers and/or Layers (not slaters or tiler) Hands in shop or yard -Wood working machinists</t>
  </si>
  <si>
    <t>1550-Sewer and Road Contractor - Open trench work only where no blasting and tunnelling is done and where the depth in no part exceeds 3 meters</t>
  </si>
  <si>
    <t>1652-Slaters and Tilers (Roofs) where carried on as a separate trade-Exceeding 9 meters in height</t>
  </si>
  <si>
    <t>1674-Stone and dressing and stone breaking Yards -All employees Whose duties take them at any time to quarry where blasting is done</t>
  </si>
  <si>
    <t>1719-Tunnelling incl. Blasting (when carried on as a separate trade)</t>
  </si>
  <si>
    <t>1772-Waterworks and Pumping Stations -Construction, alteration maintenance or repair work incl. use of explosives</t>
  </si>
  <si>
    <t>1014-Artificial Stone Makers -All others</t>
  </si>
  <si>
    <t>1015-Artificial Stone Makers -Hands engaged on Buildings (rate as builder)</t>
  </si>
  <si>
    <t>1032-Barge, Boat, Launch and Yatch only Builders -All other employees</t>
  </si>
  <si>
    <t>1066-Brick and Tile Makers -Where no machinery is used; excl. clay or blaes getting below 6 metres</t>
  </si>
  <si>
    <t>1067-Brick and Tile Makers-All employees engaged in clay or blaes-getting below 6 metres excl. pit or mine</t>
  </si>
  <si>
    <t>1073-Builders, Material and Stone, Slate and Pottery Dealers -All other employees</t>
  </si>
  <si>
    <t>1074-Builders, Material and Stone, Slate and Pottery Dealers -Employees engaged in loading and unloading vessels</t>
  </si>
  <si>
    <t>1075-Builders-Steeple, Tower and chimney shaft builders or repairers</t>
  </si>
  <si>
    <t>1100-Carvers in Stone, Masons and Monumental Masons where carried on as a separate trade -All Others</t>
  </si>
  <si>
    <t>1101-Carvers in Stone, Masons and Monumental Masons where carried on as a separate trade -Employees on board vessels off-shore Plat forms and/or Rigs engaged solely upon catering duties</t>
  </si>
  <si>
    <t>1102-Carvers in Stone, Masons and Monumental Masons where carried on as a separate trade -On Buildings -Rate as Builders</t>
  </si>
  <si>
    <t>1121-Coach, Carriage, Bus Body and Wagon Builders and Wheelwrights -All other employees</t>
  </si>
  <si>
    <t>1178-Docks  - Dock Pier and Wharf construction maintenance and/or repairs</t>
  </si>
  <si>
    <t>1180-Docks  -Construction (excl. blasting )</t>
  </si>
  <si>
    <t>1352-Land Drainage Service-Excl. blasting and tunnelling</t>
  </si>
  <si>
    <t>1355-Lapidaries and precious stone cutters-Incl. Lead poisoning</t>
  </si>
  <si>
    <t>1397-Mechanics:-Work connection with wells exceeding 6 meters in depth but excl. Sinking</t>
  </si>
  <si>
    <t>1452-Painters and Decorators where carried on as separate trade, not Builders -All risks incl. ship painters, scrapers and scalers</t>
  </si>
  <si>
    <t>1459-Paper Waxing (where carried on as a separate Trade)</t>
  </si>
  <si>
    <t>1461-Parquet Floor Cutting - All other employees</t>
  </si>
  <si>
    <t>1463-Parquet Floor Laying  -</t>
  </si>
  <si>
    <t>1483-Plasterers and Plaster and Fibrous Plaster Modellers and Moulders where carried on as separate Trade-All Risks</t>
  </si>
  <si>
    <t>1508-Rag and Waste Dealers, Rag Pickers and Marine Store Dealers -Breaking up, dismantling and demolition</t>
  </si>
  <si>
    <t>1510-Railway Construction and alteration-Excl. blasting and tunnelling</t>
  </si>
  <si>
    <t>1511-Railway Construction and alteration-Incl. blasting and tunnelling</t>
  </si>
  <si>
    <t>1518-Railway up-keep and Running -Excl. Construction: Other  Railways</t>
  </si>
  <si>
    <t>1531-Roofing and Flooring Makers and/or Layers (not slaters or tiler) Hands in shop or yard - All other employees</t>
  </si>
  <si>
    <t>1551-Sewer and Road Contractors-All risks where and /or blasting and tunnelling is done</t>
  </si>
  <si>
    <t>1552-Sewer and Road Contractors-Open trench work only where no blasting and tunnelling is done and where the depth in any part exceeds 3 meters</t>
  </si>
  <si>
    <t>1643-Sign Writers -Not glass-Incl. Erection</t>
  </si>
  <si>
    <t>1653-Slaters and Tilers (Roofs) where carried on as a separate trade-Work on roof; not exceeding 9 meters in height</t>
  </si>
  <si>
    <t>1675-Stone and dressing and stone breaking Yards -All other employees</t>
  </si>
  <si>
    <t>1682-Tar Spraying Roads</t>
  </si>
  <si>
    <t>1695-Tilers (not roofing) and Mosaic and Tressellated Pavers Floor and, excl. clay getting</t>
  </si>
  <si>
    <t>1713-Tramway Construction-Incl. all  incidental work on through-fares or elesewhere</t>
  </si>
  <si>
    <t>1714-Tramway upkeep and running</t>
  </si>
  <si>
    <t>1771-Waterworks and Pumping Stations -Construction, alteration maintenance or repair work excl. Use of explosives</t>
  </si>
  <si>
    <t>1774-Waterworks and Pumping Stations -Tunnelling incl. blasting (when carried out as a separate contract)</t>
  </si>
  <si>
    <t>1195-Electric Cables, Makers and suppliers of incl. Cablelaying, installation and Erection work-All work away from shop or yard</t>
  </si>
  <si>
    <t>1205-Electrical Engineers (manufacturers) Makers of fittings and appartus incl. wireless, telephone and telegraph T.V. and Radio cum Recorder Manufacturers and Computer Companies manufacturing: - Work away from Shop and yard</t>
  </si>
  <si>
    <t>1206-Electrical Engineers (not manufacturers) Installation and repair of plant, fittings and Appartus incl. wireless, telephone and telegraph:- Work on ships and underground in mines and quarries</t>
  </si>
  <si>
    <t>1062-Brass Founders, Workers and Finishers -All other employees</t>
  </si>
  <si>
    <t>1063-Brass Founders, Workers and Finishers -Foundry hands</t>
  </si>
  <si>
    <t>1194-Electric Cables, Makers and suppliers of incl. Cablelaying, installation and Erection work - Shop or yard risk only incl. Carrying</t>
  </si>
  <si>
    <t>1207-Electrical Engineers (not manufacturers) Installation and repair of plant, fittings and Appartus incl. wireless, telephone and telegraph:-Work in generating stations, cinemas, factories, theaters, music halls, public halls and similar buildings and roofs of railway station over 9 metres height or where any unit is handled exceeding 12.7 Kilogram in weight</t>
  </si>
  <si>
    <t>1209-Electricity -Light and/ or Power Supply-All employees inside and out.</t>
  </si>
  <si>
    <t>1218-Engineers - Cranes -All work away from Shop or yard</t>
  </si>
  <si>
    <t>1224-Engineers - Lifts- Shop or yard  risk only</t>
  </si>
  <si>
    <t>1266-Galvanising -Where carried on as separate trade</t>
  </si>
  <si>
    <t>1373-Machinery and Metal -Second-hand Machinery and scrap Metal Dealers incl. dismantling breaking up and demolition</t>
  </si>
  <si>
    <t>1527-Riggers</t>
  </si>
  <si>
    <t>1557-Ship Breakers  -</t>
  </si>
  <si>
    <t>1559-Ship Builders, Iron, Steel and Concrete-Where barges hoppers, dredgers, tugs, yatches, passengers and cargo vessels pilot boats not exceeding 1000 tons gross measurement are built</t>
  </si>
  <si>
    <t>1567-Ship Painters Exclusively engaged in Painting Vessels-Without the use of stagings or slings</t>
  </si>
  <si>
    <t>1669-Steel or Iron Founders -Where the heaviest casting does not exceed 1 ton</t>
  </si>
  <si>
    <t>1671-Steel or Iron Rolling Mills -</t>
  </si>
  <si>
    <t>1776-Welders at a height not exceeding 60 feet</t>
  </si>
  <si>
    <t>1784-Wire Drawers and Wire Ropes Mfgrs -Steel and Iron  Wire Drawers  and wire Ropes Mfgrs.</t>
  </si>
  <si>
    <t>1052-Blast Furnaces (iron production)</t>
  </si>
  <si>
    <t>1055-Boiler Makers and Repairers -Boiler scalers</t>
  </si>
  <si>
    <t>1056-Boiler Makers and Repairers -Incl. Erection</t>
  </si>
  <si>
    <t>1174-Die Cutters and/or Sinkers Incl. Engraving</t>
  </si>
  <si>
    <t>1198-Electric Refrigerators and Air Conditioners Assembling, Installation Maintenance and Repairs -(a) Domestic purposes :-(i) Service men using motor cycles</t>
  </si>
  <si>
    <t>1199-Electric Refrigerators and Air Conditioners Assembling, Installation Maintenance and Repairs -(a) Domestic purposes :-(ii) All other employees</t>
  </si>
  <si>
    <t>1200-Electric Refrigerators and Air Conditioners Assembling, Installation Maintenance and Repairs -(b) Commercial purposes</t>
  </si>
  <si>
    <t>1204-Electrical Engineers (manufacturers) Makers of fittings and appartus incl. wireless, telephone and telegraph T.V. and Radio cum Recorder Manufacturers and Computer Companies manufacturing: - Shop and yard risk only -a) Where any unit is handled exceeding 12.7 Kilograms in weight when completed for use</t>
  </si>
  <si>
    <t>1203-Electrical Engineers (manufacturers) Makers of fittings and appartus incl. wireless, telephone and telegraph T.V. and Radio cum Recorder Manufacturers and Computer Companies manufacturing: - Shop and yard risk only - b) Where no unit is handled exceeding 12.7 Kilograms in weight when completed for use</t>
  </si>
  <si>
    <t>1201-Electrical Engineers (manufacturers) Makers of fittings and appartus incl. wireless, telephone and telegraph T.V. and Radio cum Recorder Manufacturers and Computer Companies manufacturing: - Batteries Accumulator and storage batteries makers and erectors</t>
  </si>
  <si>
    <t>1202-Electrical Engineers (manufacturers) Makers of fittings and appartus incl. wireless, telephone and telegraph T.V. and Radio cum Recorder Manufacturers' and Computer Companies manufacturing: - Dry Battery and portable electric and torch makers, button cell Mfgrs.</t>
  </si>
  <si>
    <t>1208-Electrical Engineers (not manufacturers) Installation and repair of plant, fittings and Appartus incl. wireless, telephone and telegraph:-Work other buildings and roofs of railway station over 9 metres height or where any unit is handled exceeding 12.7 Kilogram in weight</t>
  </si>
  <si>
    <t>1216-Engineers - Colliery and Mining Machinery - Fixing, repairing, excl. sinking add chimney shaft erecting</t>
  </si>
  <si>
    <t>1217-Engineers - Colliery and Mining Machinery -Shop or Yard risk only, incl. Carting</t>
  </si>
  <si>
    <t>1219-Engineers - Cranes -Shop or yard risk only</t>
  </si>
  <si>
    <t>1220-Engineers - Gasometers and Tanks  -  Shop or yard risk only, incl. Carting</t>
  </si>
  <si>
    <t>1221-Engineers - Gasometers and Tanks  - All work away from Shop or yard</t>
  </si>
  <si>
    <t>1222-Engineers - Hydraulic Machinery excl. Lift and Crane making and erecting Erecting away from Shop or yard</t>
  </si>
  <si>
    <t>1223-Engineers - Hydraulic Machinery excl. Lift and Crane making and erecting- Shop or yard risk only</t>
  </si>
  <si>
    <t>1225-Engineers - Lifts- Work away from Shop or yard  excl. shaft sinking</t>
  </si>
  <si>
    <t>1226-Engineers - Lifts-Shaft sinking</t>
  </si>
  <si>
    <t>1227-Engineers -Bridge building -(i)  Brick, stone, timber and concrete upto 6 metres in height from road or water level at low tide</t>
  </si>
  <si>
    <t>1228-Engineers -Bridge building -(ii)  Brick, stone, timber and concrete over 6 metres       in height from road or water level at low tide</t>
  </si>
  <si>
    <t>1229-Engineers -Bridge building -(iii) Column and Girder(a)  Shop or yard risk</t>
  </si>
  <si>
    <t>1230-Engineers -Bridge building -(iii) Column and Girder(b)  Erection away from shop or yard</t>
  </si>
  <si>
    <t>1252-Forge Masters</t>
  </si>
  <si>
    <t>1265-Galvanising -Gas mantle (incandescent) makers</t>
  </si>
  <si>
    <t>1293-Gramophone Record Makers</t>
  </si>
  <si>
    <t>1305-Heat treatment shops (excl. Forging)</t>
  </si>
  <si>
    <t>1372-Machinery and Metal -Second-hand Machinery and scrap Metal Dealers excl. dismantling breaking up and demolition</t>
  </si>
  <si>
    <t>1394-Mechanics:- Ship furnishing</t>
  </si>
  <si>
    <t>1396-Mechanics:-Excl. well sinking and any work in any connection with wells exceeding 6 meters</t>
  </si>
  <si>
    <t>1400-Metal Workers -Bell Founders</t>
  </si>
  <si>
    <t>1402-Metal Workers -Metal Spinners</t>
  </si>
  <si>
    <t>1404-Metal Workers -Stereotypes</t>
  </si>
  <si>
    <t>1405-Metal Workers -Tin Refiners</t>
  </si>
  <si>
    <t>1406-Metal Workers -Typefounders</t>
  </si>
  <si>
    <t>1407-Metal Workers -Workers in Zinc, not smelting or rolling -Where any work away from the shop or yard is done</t>
  </si>
  <si>
    <t>1428-Motor Garages, Showrooms and Assemblers of Motor Vehicles -All other employees incl. salesman drivers all mechanics</t>
  </si>
  <si>
    <t>1436-Nut and Bolt Makers (Iron and Steel) -Where machinery is used</t>
  </si>
  <si>
    <t>1437-Nut and Bolt Makers (Iron and Steel) -Where no mechanically driven machinery is used</t>
  </si>
  <si>
    <t>1443-Oil Well Proprietors and Mineral Oil Refiners -All other employees</t>
  </si>
  <si>
    <t>1444-Oil Well Proprietors and Mineral Oil Refiners -Employees engaged in drilling and pumping erection, repair and demolition of riggs telegraph or telephone lines or overhead electric cable</t>
  </si>
  <si>
    <t>1509-Railway Coach and Wagon Works</t>
  </si>
  <si>
    <t>1528-Rivet Makers -All other employees</t>
  </si>
  <si>
    <t>1539-Sail Makers only, excl. Riggers</t>
  </si>
  <si>
    <t>1561-Ship Builders, Iron, Steel and Concrete-Where torpedo boats destroyers, steam trawlers and shallow draught river gunboats not exceeding 500 tons displacement and similar vessels as in class (a ) over 1000 tons but not exceeding 2000 tons gross measurement are built</t>
  </si>
  <si>
    <t>1562-Ship Builders, Iron, Steel and Concrete-Where torpedo boats destroyers, steam trawlers and shallow draught river gunboats not exceeding 500 tons displacement and similar vessels as in class (a ) over 1000 tons but not exceeding 2000 tons gross measurement are repaired only</t>
  </si>
  <si>
    <t>1558-Ship Builders, Iron, Steel and Concrete-Pontoon Builders and repairers</t>
  </si>
  <si>
    <t>1560-Ship Builders, Iron, Steel and Concrete-Where barges hoppers, dredgers, tugs, yatches, passengers and cargo vessels pilot boats not exceeding 1000 tons gross measurement are repaired only</t>
  </si>
  <si>
    <t>1563-Ship Builders, Iron, Steel and Concrete-Where war ship, passenger, cargo and other vessels not incl. in (a) or (b) are built</t>
  </si>
  <si>
    <t>1564-Ship Builders, Iron, Steel and Concrete-Where war ship, passenger, cargo and other vessels not incl. in (a) or (b) are repaired only</t>
  </si>
  <si>
    <t>1565-Ship Chandlers and  Ship Stores-All other employees</t>
  </si>
  <si>
    <t>1566-Ship Chandlers and  Ship Stores-Fixing and rigging</t>
  </si>
  <si>
    <t>1568-Shipsmiths (jobbing) where carried on as a separate trade</t>
  </si>
  <si>
    <t>1569-Shipwrights (jobbing) where  carried on as a separate trade</t>
  </si>
  <si>
    <t>1570-Shop Fitters -All other employees</t>
  </si>
  <si>
    <t>1670-Steel or Iron Founders -Where the heaviest casting exceeds 1 ton</t>
  </si>
  <si>
    <t>1672-Steel or Iron Rolling Mills -Steel work (Steel Making )</t>
  </si>
  <si>
    <t>1689-Telephone Operators</t>
  </si>
  <si>
    <t>1690-Telephone Operators -</t>
  </si>
  <si>
    <t>1697-Tin &amp; Steel and Steel Metal Workers (incl. metal boxes and drums)-Where any  mechanically driven machinery is used</t>
  </si>
  <si>
    <t>1698-Tin &amp; Steel and Steel Metal Workers (incl. metal boxes and drums)-Where no mechanically driven machinery is used (incl. Smelting)</t>
  </si>
  <si>
    <t>1716-Transmiths -Ship work</t>
  </si>
  <si>
    <t>1720-Typwriting Machine Makers, Dealers and Repairers and Typewriting Suppliers -All other employees</t>
  </si>
  <si>
    <t>1773-Waterworks and Pumping Stations -Excl. construction, alteration maintenance or repair work, the sinking or digging of wells and the use of Explosives</t>
  </si>
  <si>
    <t>1777-Welders, where carried on as a separate trade</t>
  </si>
  <si>
    <t>1787-Wireless Engineers- Installation and repair of plant, fittings and Appartus incl. wireless, telephone and telegraph:-Work in generating stations, cinemas, factories, theaters, music halls, public halls and similar buildings and roofs of railway station over 9 metres height or where any unit is handled exceeding 12.7 Kilogram in weight</t>
  </si>
  <si>
    <t>1788-Wireless Engineers- Installation and repair of plant, fittings and Appartus incl. wireless, telephone and telegraph:-Work other buildings and roofs of railway station over 9 metres height or where any unit is handled exceeding 12.7 Kilogram in weight</t>
  </si>
  <si>
    <t>1786-Wireless Engineers- Installation and repair of plant, fittings and Appartus incl. wireless, telephone and telegraph:- Work on ships and underground in mines and quarries</t>
  </si>
  <si>
    <t>1807-Zinc Copper and Brass Rolling where no smelting is done</t>
  </si>
  <si>
    <t>1231-Engineers not otherwise classified -Incl. work away from shop or  yard exceeding 9 mts high</t>
  </si>
  <si>
    <t>1232-Engineers not otherwise classified -Incl. work away from shop or yard upto 9 mtrs height</t>
  </si>
  <si>
    <t>1126-Coal Merchants &amp; Dealers -Employees engaged in loading and difscharging vessels</t>
  </si>
  <si>
    <t>1325-Import and Export Merchants -Sircars Superintending only loading and unloading of freight- All employees</t>
  </si>
  <si>
    <t>1517-Railway up-keep and Running -Excl. Construction: Labour employed in loading and unloading wagons</t>
  </si>
  <si>
    <t>1656-Small Arm Factories-Testing and cartridge loading</t>
  </si>
  <si>
    <t>1673-Stevedors loading or unloading Cargo or Coal</t>
  </si>
  <si>
    <t>1005-Aircraft Manufacture of -b) Wood-working machinists excl. travelling in Aircraft</t>
  </si>
  <si>
    <t>1016-Asbestos Cement Manufacturers -If Application work is done</t>
  </si>
  <si>
    <t>1026-Badami Compressed Coal Manufactures</t>
  </si>
  <si>
    <t>1048-Bitumen Lined Paper Manufacturers -All other employees</t>
  </si>
  <si>
    <t>1088-Card, Cardboard, Strawboard and Millboard Makers -</t>
  </si>
  <si>
    <t>1090-Cardboard Box and Paper Box Manufacturers -Machinists</t>
  </si>
  <si>
    <t>1094-Carpenters and joiners - who only undertake contracts  for woodwork - Woodworking machinist</t>
  </si>
  <si>
    <t>1152-Cordial (Fruit) and Canned Fruit Mfgrs. -All other employees-If aerated waters are manufactured</t>
  </si>
  <si>
    <t>1159-Cotton Ginning and pressing Factories and Presses -Other Regions</t>
  </si>
  <si>
    <t>1165-Cotton yarn only-Where no mechanically driven machinery is used excl. repairing and spinning</t>
  </si>
  <si>
    <t>1189-Dyers, Dressers and Mercerisers -</t>
  </si>
  <si>
    <t>1213-Emery Cloth, Glass and sand Paper and cleaning Powder Mfgrs.-</t>
  </si>
  <si>
    <t>1235-Explosives Manufacturers -Nitroglycerine based Explosives</t>
  </si>
  <si>
    <t>1236-Explosives Manufacturers -Non- Nitroglycerine based Explosives</t>
  </si>
  <si>
    <t>1237-Explosives Manufacturers -Slurry Explosives</t>
  </si>
  <si>
    <t>1268-Gas Mfgrs -Coal - All Employees incl. Fitters, meter readers, collectors, inspectors but all excl. gasometer erection painting and repairing demolishers</t>
  </si>
  <si>
    <t>1273-Glass Mfgrs -Stained- Bevellers and Silverers</t>
  </si>
  <si>
    <t>1296-Groundnut Decorticating -All employees</t>
  </si>
  <si>
    <t>1298-Gun Makers -Excl. ordnance work -Workmen engaged in testing and catridge loading</t>
  </si>
  <si>
    <t>1326-India Rubber/ Rubber Factories-Gutta percha, vulcanite and India rubber goods, belting ebonite, ebonestos and water proof material Mfgrs.</t>
  </si>
  <si>
    <t>1440-Oil expeller and oil expeller spare parts mfgrs.</t>
  </si>
  <si>
    <t>1442-Oil skin and Tarpaulin Mfgrs -</t>
  </si>
  <si>
    <t>1648-Silk Artificial -Yarn Production</t>
  </si>
  <si>
    <t>1661-Solvent Extraction Plants-Automatic</t>
  </si>
  <si>
    <t>1678-Sugar, Saccharine and Glucose Refiners and/or Mfgrs.incl. sugarcane crushing Factories engaged in preparing Jagree</t>
  </si>
  <si>
    <t>1731-Vener Mfgrs other than wood working machinists where carried on as separate trade - Wood-working machinists</t>
  </si>
  <si>
    <t>1793-Wood Ware Mfgrs. and Turners -Wood-working machinists</t>
  </si>
  <si>
    <t>1801-Woolen and Worsted -Spinning Weaving, Bleaching, Dyeing and all Processes other than Wool-combing incidental  to the trade carried on in or about the premises</t>
  </si>
  <si>
    <t>1002-Aerated Water Manufacturers</t>
  </si>
  <si>
    <t>1004-Aircraft Manufacture of -a) Pilots and employees who may at any time fly</t>
  </si>
  <si>
    <t>1006-Aircraft Manufacture of -c) All employees excl. travelling in Aircraft</t>
  </si>
  <si>
    <t>1007-Aluminium Goods Manufacture -All other employees</t>
  </si>
  <si>
    <t>1008-Aluminium Goods Manufacture -Aluminium Powder and Paste Manufacturers</t>
  </si>
  <si>
    <t>1009-Aluminium Goods Manufacture -Analytical Chemists</t>
  </si>
  <si>
    <t>1010-Aluminium Goods Manufacture -Foundry hands, incl. Stampers</t>
  </si>
  <si>
    <t>1017-Asbestos Cement Manufacturers -If no Application work is done</t>
  </si>
  <si>
    <t>1018-Athletic, Fishing, Gymnastic, Cricket and Golf Goods Manufacturers -All others employees</t>
  </si>
  <si>
    <t>1019-Athletic, Fishing, Gymnastic, Cricket and Golf Goods Manufacturers -Wood working machinists</t>
  </si>
  <si>
    <t>1027-Bakelite and Bakelite Goods Makers (as separate trade)</t>
  </si>
  <si>
    <t>1028-Bakeries and Biscuit Factories -All Employees not engaged with Machinery</t>
  </si>
  <si>
    <t>1029-Bakeries and Biscuit Factories -Employees engaged with Machinery</t>
  </si>
  <si>
    <t>1030-Bamboo and Bentwood Furniture Makers -All other employees</t>
  </si>
  <si>
    <t>1031-Bamboo and Bentwood Furniture Makers -Woodworking machinists</t>
  </si>
  <si>
    <t>1033-Barge, Boat, Launch and Yatch only Builders -Woodworking machinists</t>
  </si>
  <si>
    <t>1034-Barometer Hydrometer, Thermometer, Mathematical, Nautical and Surgical Instruments and  Appliance Makers, Watchmakers and Opticians -All Employees</t>
  </si>
  <si>
    <t>1035-Basket Makers -All other employees</t>
  </si>
  <si>
    <t>1036-Basket Makers -Osier and willow cutting</t>
  </si>
  <si>
    <t>1037-Basket Makers -Woodworking machinists</t>
  </si>
  <si>
    <t>1039-Bedding and Mattress Manufacturers -All other employees  incl. wire risk</t>
  </si>
  <si>
    <t>1040-Bedding and Mattress Manufacturers -Bedstead Manufacturers (Metal)</t>
  </si>
  <si>
    <t>1041-Bedding and Mattress Manufacturers -Belting  Manufacturers</t>
  </si>
  <si>
    <t>1042-Bedding and Mattress Manufacturers -Excl. wire risk</t>
  </si>
  <si>
    <t>1043-Bedding and Mattress Manufacturers -Wire Mattresses-Woodworking machinists</t>
  </si>
  <si>
    <t>1044-Billiard Makers and Billiard Saloons</t>
  </si>
  <si>
    <t>1045-Billiard Tables Makers -All other employees</t>
  </si>
  <si>
    <t>1046-Billiard Tables Makers -Woodworking machinists</t>
  </si>
  <si>
    <t>1049-Bitumen Lined Paper Manufacturers -Bitumen refineries</t>
  </si>
  <si>
    <t>1050-Bitumen Lined Paper Manufacturers -Blacking and Boot, Metal and furniture polish Mfgrs</t>
  </si>
  <si>
    <t>1053-Bobbin and Shuttle Makers, Wooden -All other employees</t>
  </si>
  <si>
    <t>1054-Bobbin and Shuttle Makers, Wooden -Woodworking machinists</t>
  </si>
  <si>
    <t>1057-Bone mills - Excl. Anthrax</t>
  </si>
  <si>
    <t>1058-Bone mills - Incl. Anthrax</t>
  </si>
  <si>
    <t>1061-Boot &amp; Shoe Manufacturers and Factories (Wholesale)</t>
  </si>
  <si>
    <t>1064-Brewers incl. coopers &amp; all processes incidental to the trade and maintenance staff</t>
  </si>
  <si>
    <t>1068-Brush Manufacturers -All other employees (excl. Anthrax)</t>
  </si>
  <si>
    <t>1069-Brush Manufacturers -All other employees (incl. Anthrax)</t>
  </si>
  <si>
    <t>1070-Brush Manufacturers -Wood-working machinists</t>
  </si>
  <si>
    <t>1076-Button, Buckle, Hook and Eye Manufacturers -Metal</t>
  </si>
  <si>
    <t>1077-Button, Buckle, Hook and Eye Manufacturers -Other than Metal</t>
  </si>
  <si>
    <t>1078-Cabinet Makers -All other employees</t>
  </si>
  <si>
    <t>1079-Cabinet Makers -Woodworking machinists</t>
  </si>
  <si>
    <t>1080-Candle Manufacturers and Tallow Candlers</t>
  </si>
  <si>
    <t>1081-Canneries -All other employees</t>
  </si>
  <si>
    <t>1082-Canneries -Tin making</t>
  </si>
  <si>
    <t>1083-Canvas and webbing equipments manufacturers -Where carried on as a separate trade</t>
  </si>
  <si>
    <t>1084-Canvas and webbing equipments manufacturers -Where carried on in a Cotton jute mill</t>
  </si>
  <si>
    <t>1086-Carbon Papers, Typewriter Ribbons, Inks and Stamp Pad Mfgrs. -All other employees</t>
  </si>
  <si>
    <t>1087-Carbon Papers, Typewriter Ribbons, Inks and Stamp Pad Mfgrs. -Woodworking machinist</t>
  </si>
  <si>
    <t>1089-Cardboard Box and Paper Box Manufacturers -All other employees</t>
  </si>
  <si>
    <t>1093-Carpenters and joiners - who only undertake contracts  for woodwork - All other employees</t>
  </si>
  <si>
    <t>1095-Carpet and Rug Mfgtrs. Sorters -All other employees, engaged in machinery</t>
  </si>
  <si>
    <t>1096-Carpet and Rug Mfgtrs. Sorters -All other employees, hand work only</t>
  </si>
  <si>
    <t>1097-Carpet and Rug Mfgtrs. Sorters -Excl. Anthrax</t>
  </si>
  <si>
    <t>1098-Carpet and Rug Mfgtrs. Sorters -Incl. Anthrax</t>
  </si>
  <si>
    <t>1103-Celluloid and Celluloid goods makers -</t>
  </si>
  <si>
    <t>1104-Cement Hollow Block Mfgrs.-Where any machinery is used</t>
  </si>
  <si>
    <t>1105-Cement Hollow Block Mfgrs.-Where no machinery is used</t>
  </si>
  <si>
    <t>1107-Chair Makers -Woodworking machinists</t>
  </si>
  <si>
    <t>1108-Chair Makers-All other employees</t>
  </si>
  <si>
    <t>1110-Chemists and Druggists (Manufacturing) and Patent Medicine Mfgrs.</t>
  </si>
  <si>
    <t>1111-Christmas Cracker Makers -</t>
  </si>
  <si>
    <t>1119-Clothing &amp; Underclothing Mfgrs.-(Wholesale)</t>
  </si>
  <si>
    <t>1127-Cocoa Fibre Works, Mat and Matting Makers</t>
  </si>
  <si>
    <t>1128-Coffee Curing works   Where carried on as a separate trade -Employees engaged inside the factory</t>
  </si>
  <si>
    <t>1129-Coffee Curing works   Where carried on as a separate trade -Employees engaged outside the factory</t>
  </si>
  <si>
    <t>1130-Coffee Curing works   Where carried on as a separate trade -Woodworking machinists</t>
  </si>
  <si>
    <t>1133-Coffee Roasters and Essence Mfgrs. -</t>
  </si>
  <si>
    <t>1136-Coke Mfgrs.-Incl. erecting of ovens</t>
  </si>
  <si>
    <t>1144-Condiment  Mfgrs. -Employees engaged with machinery</t>
  </si>
  <si>
    <t>1145-Condiment  Mfgrs. -Employees not engaged with machinery</t>
  </si>
  <si>
    <t>1146-Confectioners-Employees engaged with machinery</t>
  </si>
  <si>
    <t>1147-Confectioners-Employees not engaged with machinery</t>
  </si>
  <si>
    <t>1148-Container Manufacture where no mechanically drives machines and/or chemical is used</t>
  </si>
  <si>
    <t>1149-Coopers &amp; Vat Makers -All other employees</t>
  </si>
  <si>
    <t>1150-Coopers &amp; Vat Makers -Woodworking machinists</t>
  </si>
  <si>
    <t>1151-Copper T Manufacture</t>
  </si>
  <si>
    <t>1153-Cordial (Fruit) and Canned Fruit Mfgrs. -All other employeesIf no aerated waters are manufactured</t>
  </si>
  <si>
    <t>1154-Cordial (Fruit) and Canned Fruit Mfgrs. -Employees engaged in agricultural work on Fruit Farm</t>
  </si>
  <si>
    <t>1155-Corn and Flour Millers - See Flour Mills</t>
  </si>
  <si>
    <t>1158-Cotton Ginning and pressing Factories and Presses -Calcutta and Delhi Region</t>
  </si>
  <si>
    <t>1161-Cotton Mills -All process incl. Mill Godowns. Note:  Weaving &amp; Printing of cloth by hand power</t>
  </si>
  <si>
    <t>1162-Cotton Wadding Mfgrs.-</t>
  </si>
  <si>
    <t>1164-Cotton yarn only- Where any mechanically driven machinery is used excl. repairing and spinning</t>
  </si>
  <si>
    <t>1168-Cycle and Motor Cycles Makers, and Repairers, and Cycle Components and accessories makers with or without machinery</t>
  </si>
  <si>
    <t>1175-Disinfectant Mfgrs. -Excl. Dyewood Grinders</t>
  </si>
  <si>
    <t>1176-Distilleries</t>
  </si>
  <si>
    <t>1187-Dry Ice Mfgrs. -</t>
  </si>
  <si>
    <t>1188-Dye Grinding and Mixing Works -(Not Dyewood grinding but only dye substances powdered and subsequently mixed)</t>
  </si>
  <si>
    <t>1190-Dyewood Grinders -</t>
  </si>
  <si>
    <t>1210-Electro-Silver and Nickel Plate Manufacturers and Metal Polishers and Platers -</t>
  </si>
  <si>
    <t>1212-Embroidery Mills -  All other employees</t>
  </si>
  <si>
    <t>1214-Enamellers and Japanners - Where carried on as separate trade-All other materials</t>
  </si>
  <si>
    <t>1215-Enamellers and Japanners - Where carried on as separate trade-Metal only</t>
  </si>
  <si>
    <t>1238-Feathers Manufacturers, Dressers, Purifiers and Merchants</t>
  </si>
  <si>
    <t>1243-Fire Extinguishing Appliances Makers  -</t>
  </si>
  <si>
    <t>1245-Fire Work Mfgrs. -Where any mechanically driven machinery is used</t>
  </si>
  <si>
    <t>1246-Fire Work Mfgrs. -Where hand power only is used</t>
  </si>
  <si>
    <t>1247-Fish Dehydrating  -</t>
  </si>
  <si>
    <t>1248-Flag, Banner and Bunting Makers -Excl. erection, decoration tents and mosques</t>
  </si>
  <si>
    <t>1249-Flag, Banner and Bunting Makers -Incl. Erection</t>
  </si>
  <si>
    <t>1250-Floorcloth Linoleum Mfgrs.</t>
  </si>
  <si>
    <t>1251-Flour and Dal Mills</t>
  </si>
  <si>
    <t>1256-Frozen Food Mfgrs. -</t>
  </si>
  <si>
    <t>1259-Furniture Mfgrs. other than machine hand moulded/plastic to be included - Other than Sheet Metal:-All other employees</t>
  </si>
  <si>
    <t>1260-Furniture Mfgrs. other than machine hand moulded/plastic to be included - Other than Sheet Metal:-Woodworking Machinists</t>
  </si>
  <si>
    <t>1261-Furniture Mfgrs. other than machine hand moulded/plastic to be included -Sheet Metal</t>
  </si>
  <si>
    <t>1267-Gas Mfgrs - Gasometer painting and repairing</t>
  </si>
  <si>
    <t>1269-Gas Mfgrs -Oxygen-and other gases</t>
  </si>
  <si>
    <t>1271-Gelatins, Glue, Size and Isinglass Mfgrs -</t>
  </si>
  <si>
    <t>1272-Ghee Mfgrs-(Tine and steel plate and sheet metal workers To be rated separately under that head)</t>
  </si>
  <si>
    <t>1274-Glass Mfgrs -Stained- Bottle</t>
  </si>
  <si>
    <t>1275-Glass Mfgrs -Stained- Domestic articles such as glasses and decanters</t>
  </si>
  <si>
    <t>1276-Glass Mfgrs -Stained- Embossers, Gliders, Decorators and Glass Sign writers incl. Erection</t>
  </si>
  <si>
    <t>1277-Glass Mfgrs -Stained- Excl. erection and lead poisoning</t>
  </si>
  <si>
    <t>1278-Glass Mfgrs -Stained- Incl. erection and lead poisoning</t>
  </si>
  <si>
    <t>1279-Glass Mfgrs -Stained- Sheet and Plate</t>
  </si>
  <si>
    <t>1283-Gold and Silver Thread Lametta &amp; Lace Mfgrs.</t>
  </si>
  <si>
    <t>1292-Grain -Elevator Employees</t>
  </si>
  <si>
    <t>1294-Grease Mfgrs.</t>
  </si>
  <si>
    <t>1297-Gun Makers -Excl. ordnance work -All other employees</t>
  </si>
  <si>
    <t>1299-Hackle Makers</t>
  </si>
  <si>
    <t>1300-Harness and Saddle Makers -All other employees</t>
  </si>
  <si>
    <t>1301-Harness and Saddle Makers -Wood working machinists</t>
  </si>
  <si>
    <t>1302-Hat and Topee Works -All descriptions incl. Ladies' Frames and Shapes</t>
  </si>
  <si>
    <t>1303-Heald and Reed Makers -All other employees</t>
  </si>
  <si>
    <t>1304-Heald and Reed Makers -Wood working machinists</t>
  </si>
  <si>
    <t>1311-Hollow Ware Mfgrs. (Metal) -Domestic - Utensils incl. stamping and enamelling</t>
  </si>
  <si>
    <t>1313-Horse Hair Mfgrs -Excl. Anthrax</t>
  </si>
  <si>
    <t>1314-Horse Hair Mfgrs -Incl. Anthrax</t>
  </si>
  <si>
    <t>1315-Hosiery Factories</t>
  </si>
  <si>
    <t>1319-Hospitals- Asylums, Nursing, Mission or training Homes, Reformatories, Public, Benevolent and Charitable, I institutions, inebriate and similar homes - Wood-working machinists</t>
  </si>
  <si>
    <t>1322-Hurricane Lantern Mfgrs -</t>
  </si>
  <si>
    <t>1323-Ice Cream Mfgrs-</t>
  </si>
  <si>
    <t>1324-Ice Dealers and  Mfgrs -   Excluding Dry Ice Manufacturers (see Dry Ice Mfgrs)</t>
  </si>
  <si>
    <t>1327-India Rubber/ Rubber Factories-Stamp makers</t>
  </si>
  <si>
    <t>1328-India Rubber/ Rubber Factories-Tyre Mfgrs.</t>
  </si>
  <si>
    <t>1329-India Rubber/ Rubber Factories-Water proof garment makers</t>
  </si>
  <si>
    <t>1330-India Rubber-Waste workers and re-claimers</t>
  </si>
  <si>
    <t>1331-Indigo Mfgrs.</t>
  </si>
  <si>
    <t>1332-Ink Mfgrs. -</t>
  </si>
  <si>
    <t>1334-Insecticides/Pesticide</t>
  </si>
  <si>
    <t>1337-Intra-uterine contraceptives devices Mfgrs.</t>
  </si>
  <si>
    <t>1338-Ivory, Bone and Tortoiseshell goods Makers, and Pearl cutters -Where the materials handled are not solely ivory and/or tortoiseshell and/or pearl</t>
  </si>
  <si>
    <t>1339-Ivory, Bone and Tortoiseshell goods Makers, and Pearl cutters -Where the materials handled are solely ivory and/or tortoiseshell and/or pearl</t>
  </si>
  <si>
    <t>1340-Jacquard Harness makers-</t>
  </si>
  <si>
    <t>1341-Jam and provision preservers and packers -</t>
  </si>
  <si>
    <t>1342-Jelly and Powder (table) Mfgrs</t>
  </si>
  <si>
    <t>1344-Jewelers, Goldsmith and Silversmith -Wholesale and Mfgr.</t>
  </si>
  <si>
    <t>1345-Jewelers, Goldsmith and Silversmith-Tower, Turret, and Railway Clock fixing, repairing and winding</t>
  </si>
  <si>
    <t>1348-Jute Mills -All processes incl. mill godowns</t>
  </si>
  <si>
    <t>1349-Jute Presses-All employees in Kutcha baling presses</t>
  </si>
  <si>
    <t>1350-Jute Presses-All employees in pucca baling presses</t>
  </si>
  <si>
    <t>1351-Lamp Makers - All descriptions incl. incandescent lamps</t>
  </si>
  <si>
    <t>1358-Lead pencil Makers (see Regulation No. 13)</t>
  </si>
  <si>
    <t>1360-Leather Dresser and Dyers</t>
  </si>
  <si>
    <t>1361-Leather Goods Mfgrs.- Excl. Belting</t>
  </si>
  <si>
    <t>1370-Lock Makers</t>
  </si>
  <si>
    <t>1375-Maker of - Aeroplane small parts (Metal)</t>
  </si>
  <si>
    <t>1376-Maker of - Cotton Gin Machinery parts</t>
  </si>
  <si>
    <t>1377-Maker of - Electric Light Fittings</t>
  </si>
  <si>
    <t>1378-Maker of - Flexible Metallic Tubing</t>
  </si>
  <si>
    <t>1379-Maker of - Gas Fittings</t>
  </si>
  <si>
    <t>1380-Maker of - German Silver, Solder, and Spelter Goods</t>
  </si>
  <si>
    <t>1381-Maker of - Hinges</t>
  </si>
  <si>
    <t>1382-Maker of - Motor Vehicle small parts (metal)</t>
  </si>
  <si>
    <t>1383-Maker of - Valves</t>
  </si>
  <si>
    <t>1384-Maker of - Water fitting (excl. Meters)</t>
  </si>
  <si>
    <t>1385-Maltsters</t>
  </si>
  <si>
    <t>1386-Manure and Fertiliser Mfgrs.-</t>
  </si>
  <si>
    <t>1388-Margarine Mfgrs.-</t>
  </si>
  <si>
    <t>1389-Match Mfgrs-</t>
  </si>
  <si>
    <t>1401-Metal Workers -Metal Makers</t>
  </si>
  <si>
    <t>1403-Metal Workers -Pewterers</t>
  </si>
  <si>
    <t>1408-Metal Workers -Workers in Zinc, not smelting or rolling -Where no work away from the shop or yard is done</t>
  </si>
  <si>
    <t>1410-Milk Mfgrs., Condensed and Sterilised</t>
  </si>
  <si>
    <t>1429-Motor Garages, Showrooms and Assemblers of Motor Vehicles -Woodworking machinists</t>
  </si>
  <si>
    <t>1431-Myrobalan Extract Manufacturing</t>
  </si>
  <si>
    <t>1432-Nail Makers -Where  machinery  is used</t>
  </si>
  <si>
    <t>1433-Nail Makers -Where no mechanically is used</t>
  </si>
  <si>
    <t>1438-Oakum Mfgrs.</t>
  </si>
  <si>
    <t>1441-Oil Mills (not mineral oils) and Oilcake Mfgrs -</t>
  </si>
  <si>
    <t>1449-Paint Colour and Enamal Mfgrs.- Where no red or white lead manufactured</t>
  </si>
  <si>
    <t>1450-Paint Colour and Enamal Mfgrs.- Where red or white lead manufactured</t>
  </si>
  <si>
    <t>1455-Paper Mfgrs.-   Hand made only</t>
  </si>
  <si>
    <t>1457-Paper Mfgrs.-   Waxed Paper</t>
  </si>
  <si>
    <t>1458-Paper Patern Makers</t>
  </si>
  <si>
    <t>1462-Parquet Floor Cutting - Wood work machinists</t>
  </si>
  <si>
    <t>1464-Patent Card Makers</t>
  </si>
  <si>
    <t>1465-Patent Fuel and Firelighter Mfgrs.</t>
  </si>
  <si>
    <t>1466-Perfume Mfgrs.</t>
  </si>
  <si>
    <t>1472-Photo Block and Process Block Mfgrs.</t>
  </si>
  <si>
    <t>1475-Picture &amp; Picture Frame Makers, Dealers and Gilders All other employees</t>
  </si>
  <si>
    <t>1477-Picture &amp; Picture Frame Makers, Dealers and Gilders Wood work machinists</t>
  </si>
  <si>
    <t>1478-Picture Frame Moulding Makers - All other employees</t>
  </si>
  <si>
    <t>1479-Picture Frame Moulding Makers -Wood working machinists</t>
  </si>
  <si>
    <t>1482-Planing and Moulding Mills - Plasterers and Plaster and Fibrous Plaster Modellers and Moulders where carried on separate Trade -</t>
  </si>
  <si>
    <t>1484-Plasterrs and Plaster and Fibrous Plaster Modellers and Moulders where carried on as separate Trade - Excl. churches, chapals, cinemas, exhibitions, music halls, public halls and theaters</t>
  </si>
  <si>
    <t>1490-Potato Dehydrating -Where mechanically driven machinery is used</t>
  </si>
  <si>
    <t>1491-Potato Dehydrating -Where no mechanically driven machinery is used</t>
  </si>
  <si>
    <t>1492-Potteries and Pottery Decorators a) Excl. Manufacture of Flooring, Roofing and Terakotta Tiles; Excl. Clay getting and Mining also excl. Lead Poisoning</t>
  </si>
  <si>
    <t>1493-Potteries and Pottery Decorators b) Incl. Lead poisoning - above rate plus</t>
  </si>
  <si>
    <t>1494-Potteries and Pottery Decorators c) Tile Mfgrs., i.e. rough unglazed tiled for flooring and roofing and terakotta tiles- rate as bricks and tile Makers</t>
  </si>
  <si>
    <t>1496-Potteries and Pottery Decorators e) Clay-getting below 6 meters excl. pit or mine</t>
  </si>
  <si>
    <t>1501-Printers and Lithographers (Excl. paper mfgrs.)-Printing of daily news papers excl. lead poisoning</t>
  </si>
  <si>
    <t>1521-Rayon Mills -</t>
  </si>
  <si>
    <t>1524-Resin mfgrs.</t>
  </si>
  <si>
    <t>1529-Rivet Makers -Making copper rivet for tin work</t>
  </si>
  <si>
    <t>1533-Rope (Excl. Wire Rope) Cord and Twine -Where any  mechanically driven machinery is used</t>
  </si>
  <si>
    <t>1534-Rope (Excl. Wire Rope) Cord and Twine -Where no mechanically driven machinery is used</t>
  </si>
  <si>
    <t>1537-Sack Makers ( Sewing only when carried on as a separate trade)-</t>
  </si>
  <si>
    <t>1538-Safety Razor Blades Mfgrs.</t>
  </si>
  <si>
    <t>1546-Sauce Mfgrs.</t>
  </si>
  <si>
    <t>1547-Sausage &amp; Sausage skin Mfgrs.</t>
  </si>
  <si>
    <t>1548-Saw Mill and Timber Merchants All Employees</t>
  </si>
  <si>
    <t>1549-Screw Mfgrs.</t>
  </si>
  <si>
    <t>1553-Sewing Machine Makers. Fitters and Repairers</t>
  </si>
  <si>
    <t>1554-Sheet Lead Rollers and Lead Pipe Makers-Excl. Lead poisoning</t>
  </si>
  <si>
    <t>1555-Sheet Lead Rollers and Lead Pipe Makers-Incl. Lead poisoning</t>
  </si>
  <si>
    <t>1556-Shellac Mfgrs. -</t>
  </si>
  <si>
    <t>1571-Shop Fitters -Wood working machinists</t>
  </si>
  <si>
    <t>1641-Short Mfgrs.</t>
  </si>
  <si>
    <t>1644-Silk Artificial -All Processes</t>
  </si>
  <si>
    <t>1645-Silk Artificial -Doubling</t>
  </si>
  <si>
    <t>1646-Silk Artificial -Weaving and process subsequent to yarn production</t>
  </si>
  <si>
    <t>1647-Silk Artificial -Winding (as separate trade)</t>
  </si>
  <si>
    <t>1649-Silk Spinners and/or weavers</t>
  </si>
  <si>
    <t>1655-Small Arm Factories-Excl. testing and cartridge loading</t>
  </si>
  <si>
    <t>1657-Small Wear Mfgrs. ( Braid, Laces other Leather, Tassels &amp; Cords)</t>
  </si>
  <si>
    <t>1658-Snuff Manufacturing Factories -All other employees</t>
  </si>
  <si>
    <t>1659-Soap Makers, (toilet) where remelting and perfuming only are done</t>
  </si>
  <si>
    <t>1660-Soap Makers, melters and boilers</t>
  </si>
  <si>
    <t>1662-Solvent Extraction Plants-Non-automatic or batch type</t>
  </si>
  <si>
    <t>1663-Spice Mfgrs.-Incl. nut grinding and shelling</t>
  </si>
  <si>
    <t>1664-Spring and Axle makers</t>
  </si>
  <si>
    <t>1666-Starch and Blue Mfgrs.</t>
  </si>
  <si>
    <t>1667-Stationers -Manufacturing and/or wholesale</t>
  </si>
  <si>
    <t>1677-Sugar Sweet mfgrs.</t>
  </si>
  <si>
    <t>1679-T.V. Picture Tube Mfgrs</t>
  </si>
  <si>
    <t>1687-Tea Packing Factories -All other employees</t>
  </si>
  <si>
    <t>1688-Tea Packing Factories -Wood working machinists</t>
  </si>
  <si>
    <t>1691-Tent and Marque Makers</t>
  </si>
  <si>
    <t>1692-Tent and Marque Makers-Erecting only</t>
  </si>
  <si>
    <t>1703-Tobacco, Cigar and Cigarette and Bidi Mfgrs. and Dealers- Manufacturing -Where any mechanically driven machinery is used</t>
  </si>
  <si>
    <t>1704-Tobacco, Cigar and Cigarette and Bidi Mfgrs. and Dealers- Manufacturing -Where no mechanically driven machinery is used</t>
  </si>
  <si>
    <t>1706-Tools and Machine Tools Mfgrs.-All other tools incl. garden tools</t>
  </si>
  <si>
    <t>1707-Tools and Machine Tools Mfgrs.-Machine tools other than wood-working machinery</t>
  </si>
  <si>
    <t>1708-Tools and Machine Tools Mfgrs.-Tools for use in machine tools</t>
  </si>
  <si>
    <t>1709-Tools and Machine Tools Mfgrs.-Wood-working machinery</t>
  </si>
  <si>
    <t>1710-Toy Makers -Mfg. of all classes of toys excl. celluloid toys</t>
  </si>
  <si>
    <t>1711-Toy Makers -Mfg. of all classes of toys excl. celluloid toys and excl. the use of machinery</t>
  </si>
  <si>
    <t>1712-Toy Makers -Mfg. of all classes of toys incl. celluloid toys</t>
  </si>
  <si>
    <t>1722-Tyre Retreading and Resolving</t>
  </si>
  <si>
    <t>1723-Tyre Vulcanisers when carried as a separate trade</t>
  </si>
  <si>
    <t>1724-Umbrella Mfgrs. -Where any mechanically driven machinery is used</t>
  </si>
  <si>
    <t>1725-Umbrella Mfgrs. -Where hand power is used</t>
  </si>
  <si>
    <t>1728-Undertaker -Wood working machinists</t>
  </si>
  <si>
    <t>1730-Varnish Japan &amp; Laquer Mfgrs.-</t>
  </si>
  <si>
    <t>1732-Vener Mfgrs other than wood working machinists where carried on as separate trade -All other employees</t>
  </si>
  <si>
    <t>1775-Weaving and Printing of Cloth by Hand Power</t>
  </si>
  <si>
    <t>1780-Whiting and Pipeclay Mfgrs.-Excl. Mining Quarry</t>
  </si>
  <si>
    <t>1782-Wire Drawers and Wire Ropes Mfgrs -Brass and Copper  Wire Drawers</t>
  </si>
  <si>
    <t>1783-Wire Drawers and Wire Ropes Mfgrs -Gold and Silver Wire Drawers</t>
  </si>
  <si>
    <t>1785-Wire Goods Makers</t>
  </si>
  <si>
    <t>1791-Wood Ware Mfgrs. and Turners -All other employees</t>
  </si>
  <si>
    <t>1792-Wood Ware Mfgrs. and Turners -Woodmen and Foresters engaged in Treefelling Sawing and Carting and/or Forest Fire Fighting</t>
  </si>
  <si>
    <t>1794-Wool Scourers and Carbonizers  -Where any wool-combing is done -Excl. Anthrax</t>
  </si>
  <si>
    <t>1795-Wool Scourers and Carbonizers  -Where any wool-combing is done -Incl. Anthrax</t>
  </si>
  <si>
    <t>1796-Wool Scourers and Carbonizers  -Where no wool-combing is done -Excl. Anthrax</t>
  </si>
  <si>
    <t>1797-Wool Scourers and Carbonizers  -Where no wool-combing is done -Incl. Anthrax</t>
  </si>
  <si>
    <t>1798-Wool Sorter and/or Wool Waste merchants -Excl. Anthrax</t>
  </si>
  <si>
    <t>1799-Wool Sorter and/or Wool Waste merchants -Incl. Anthrax</t>
  </si>
  <si>
    <t>1800-Woolen and Worsted -Flock, Mungo and Shoddy</t>
  </si>
  <si>
    <t>1802-Woolen and Worsted -Wool-combing -Excl. Anthrax</t>
  </si>
  <si>
    <t>1803-Woolen and Worsted -Wool-combing -Incl. Anthrax</t>
  </si>
  <si>
    <t>1804-Writing Slate Mfgrs.</t>
  </si>
  <si>
    <t>1805-Yarn and Trade Bleachers and/or Dyers-With or without machinery where yarn and trade only are handled (and where no bleaching or dyeing of any other materials is done)</t>
  </si>
  <si>
    <t>1806-Yeast Mfgrs.-</t>
  </si>
  <si>
    <t>1012-Antimony Smelters and/or Extractors</t>
  </si>
  <si>
    <t>1123-Coal and Geological Drilling -On land</t>
  </si>
  <si>
    <t>1124-Coal and Geological Drilling -On River Beds</t>
  </si>
  <si>
    <t>1125-Coal Merchants &amp; Dealers -Carters and all other employees</t>
  </si>
  <si>
    <t>1138-Collieries - Fatal Only (Fiery)-Inclines &amp; Levels (Minimum of Rs. 480)</t>
  </si>
  <si>
    <t>1139-Collieries - Fatal Only (Fiery)-Pits</t>
  </si>
  <si>
    <t>1140-Collieries - Whole Risk (Fiery)- Inclines &amp; Levels  (Minimum premium Rs. 800)</t>
  </si>
  <si>
    <t>1141-Collieries - Whole Risk (Fiery)-Pits</t>
  </si>
  <si>
    <t>1233-Excavation, Earth Removal and Filling and Reclamation (not for Sewers and Roads)-Excl. use of explosives blasting, Tunnelling and quarrying</t>
  </si>
  <si>
    <t>1234-Excavation, Earth Removal and Filling and Reclamation (not for Sewers and Roads)-Incl. use of explosives blasting, Tunnelling and quarrying</t>
  </si>
  <si>
    <t>1295-Grindstone &amp; Millstone Makers Not in Connection with quarries-</t>
  </si>
  <si>
    <t>1354-Lapidaries and precious stone cutters-Excl. Lead poisoning</t>
  </si>
  <si>
    <t>1359-Lead smelters and/or extractors</t>
  </si>
  <si>
    <t>1366-Lime Works and  Kilns-Excl. Quarry or Mining Risks</t>
  </si>
  <si>
    <t>1387-Marble and granite  Works, Dressing and polishing, not in connection with Quarries</t>
  </si>
  <si>
    <t>1409-Mica Cutters</t>
  </si>
  <si>
    <t>1411-Mines -Asbestos (open cast)</t>
  </si>
  <si>
    <t>1412-Mines -Barytes</t>
  </si>
  <si>
    <t>1413-Mines -Chromite</t>
  </si>
  <si>
    <t>1414-Mines -Copper</t>
  </si>
  <si>
    <t>1415-Mines -Gold</t>
  </si>
  <si>
    <t>1416-Mines -Graphite</t>
  </si>
  <si>
    <t>1417-Mines -Iron Ore</t>
  </si>
  <si>
    <t>1418-Mines -Lead</t>
  </si>
  <si>
    <t>1419-Mines -Manganese</t>
  </si>
  <si>
    <t>1420-Mines -Mica</t>
  </si>
  <si>
    <t>1421-Mines -Ochre</t>
  </si>
  <si>
    <t>1422-Mines -Salt</t>
  </si>
  <si>
    <t>1423-Mines -Silver</t>
  </si>
  <si>
    <t>1424-Mines -Tin</t>
  </si>
  <si>
    <t>1425-Mines -Wolfram</t>
  </si>
  <si>
    <t>1446-Open Cast Coal-Getting (incl. use of explosives)</t>
  </si>
  <si>
    <t>1495-Potteries and Pottery Decorators d)  Clay-getting excl. work below 6 meters (fireclay mining - rate as collieries)</t>
  </si>
  <si>
    <t>1502-Quarries -Where any blasting is done</t>
  </si>
  <si>
    <t>1503-Quarries -Where no blasting is done</t>
  </si>
  <si>
    <t>1542-Salt Works  -Excl. Mining</t>
  </si>
  <si>
    <t>1651-Slag Crushers and Removers</t>
  </si>
  <si>
    <t>1700-Tin Ore Getting from open Workings and Machine Crushing</t>
  </si>
  <si>
    <t>1701-Tin Ore Getting from open Workings where no Machinery is used</t>
  </si>
  <si>
    <t>1808-Zinc Smelters and/or Extractors</t>
  </si>
  <si>
    <t>1003-Agricultural Farms</t>
  </si>
  <si>
    <t>1011-Animal (wild)-Catching, keeping, training or working</t>
  </si>
  <si>
    <t>1059-Bookbinder (with or without machinery)</t>
  </si>
  <si>
    <t>1135-Coir Presses -Press employees</t>
  </si>
  <si>
    <t>1196-Electric Lights and Telephone Wire Coverers - Electric Sign Makers -All other work</t>
  </si>
  <si>
    <t>1197-Electric Lights and Telephone Wire Coverers - Electric Sign Makers -Erection</t>
  </si>
  <si>
    <t>1211-Elephants - catching, training keeping or working To be submitted special rating</t>
  </si>
  <si>
    <t>1239-Ferry &amp; Launch Owners (excl. Towing) -Mechanically propelled and 50 tons net tonnage or over</t>
  </si>
  <si>
    <t>1240-Ferry &amp; Launch Owners (excl. Towing) -Otherwise than Mechanically Propelled</t>
  </si>
  <si>
    <t>1241-Ferry &amp; Launch Owners (excl. towing)-Mechanically propelled and under 50 tons net tonnage</t>
  </si>
  <si>
    <t>1270-Gas proofing of material when carried on as a separate Trade</t>
  </si>
  <si>
    <t>1280-Glaziers -Other risks</t>
  </si>
  <si>
    <t>1333-Inland Water Transport Companies</t>
  </si>
  <si>
    <t>1367-Linen Finishers</t>
  </si>
  <si>
    <t>1395-Mechanics:- Well sinking (other than artesian and tube wells q.v.)</t>
  </si>
  <si>
    <t>1468-Petrochemical Industry</t>
  </si>
  <si>
    <t>1489-Porters (Station) for carrying passengers' luggage per Capita</t>
  </si>
  <si>
    <t>1497-Poultry and Hatchery-Where  electrical appliances are used</t>
  </si>
  <si>
    <t>1522-Refuse Heaps -Getting material from</t>
  </si>
  <si>
    <t>1523-Remound depots</t>
  </si>
  <si>
    <t>1543-Salvage Corps -Employees solely engaged upon premises of the crops in handling and treating salvaged goods</t>
  </si>
  <si>
    <t>1544-Salvage Corps-All other employees</t>
  </si>
  <si>
    <t>1545-Sand -Removal sea by dredgers All employees</t>
  </si>
  <si>
    <t>1642-Sign Writers -Not glass-Excl. Erection</t>
  </si>
  <si>
    <t>1650-Sinking:- Pit or Mine opening up or driving levels or slants</t>
  </si>
  <si>
    <t>1654-Slaughtermen</t>
  </si>
  <si>
    <t>1665-Stampers and piercers-Where carried on as a separate trade</t>
  </si>
  <si>
    <t>1681-Tanners, Carriers and Fellomongers</t>
  </si>
  <si>
    <t>1683-Taxidermists - Excl. Anthrax</t>
  </si>
  <si>
    <t>1684-Taxidermists - Incl. Anthrax</t>
  </si>
  <si>
    <t>1693-Thatchers of Buildings</t>
  </si>
  <si>
    <t>1696-Timber Raftmen</t>
  </si>
  <si>
    <t>1699-Tin Dredgers</t>
  </si>
  <si>
    <t>1715-Transmiths -Excl. Ship work</t>
  </si>
  <si>
    <t>1717-Tube Drawers</t>
  </si>
  <si>
    <t>1718-Tug Owners - Where carried on as a separate trade</t>
  </si>
  <si>
    <t>1726-Undertaker -Outside and stable</t>
  </si>
  <si>
    <t>1729-Upholsterers</t>
  </si>
  <si>
    <t>1778-Well Sinking -Artesian or Tube</t>
  </si>
  <si>
    <t>1779-Well Sinking -Other Wells</t>
  </si>
  <si>
    <t>1456-Paper Mfgrs.-   Machine made</t>
  </si>
  <si>
    <t>1530-Road Paving, Tarring and Road Making</t>
  </si>
  <si>
    <t>1113-Cinchona Estates -Employees on Factory Register</t>
  </si>
  <si>
    <t>1114-Cinchona Estates-All other employees</t>
  </si>
  <si>
    <t>1117-Circus, Fair  Pleasure Ground Proprietors -All employees</t>
  </si>
  <si>
    <t>1132-Coffee Estate -Domestic Servants whose names appear on the Factory or garden register who are paid wholly by estate</t>
  </si>
  <si>
    <t>1177-Divers -</t>
  </si>
  <si>
    <t>1179-Docks  - Dock service under takings (Excl. Stevedores)</t>
  </si>
  <si>
    <t>1242-Fire Brigades-(on total sums paid)</t>
  </si>
  <si>
    <t>1308-Hiking Clubs -Sherpas employed for carrying loads in the mountains:Wages exceeding 300/- P.M. per capita</t>
  </si>
  <si>
    <t>1362-LGP Bottling Plant</t>
  </si>
  <si>
    <t>1427-Motor Cycle and Cycle Patrols (Automobile Association or Clubs)Motor Race Drivers per car per race</t>
  </si>
  <si>
    <t>1453-Palm Trees - Tapping or Picking</t>
  </si>
  <si>
    <t>1500-Printers and Lithographers (Excl. paper mfgrs.)-Incl. lead poisoning - above rates plus</t>
  </si>
  <si>
    <t>1525-Rice Millers -All other employees</t>
  </si>
  <si>
    <t>1535-Rubber Plantations - All other employees</t>
  </si>
  <si>
    <t>1676-Sugar cane Plantation</t>
  </si>
  <si>
    <t>1685-Tea Gardens -</t>
  </si>
  <si>
    <t>1001-Advertisement Contractors Bill Posters and Distributors</t>
  </si>
  <si>
    <t>1013-Architects</t>
  </si>
  <si>
    <t>1021-Auctioneers -Porters and assistants excl. risk connection with horses and livestock</t>
  </si>
  <si>
    <t>1022-Auctioneers -Surveying and inventory making clerks</t>
  </si>
  <si>
    <t>1023-Auctioneers-Porters and assistants for  horses and livestock</t>
  </si>
  <si>
    <t>1024-Aviation Companies of Firms engaged in flying only and where no manufacture is carried on -All other employees</t>
  </si>
  <si>
    <t>1025-Aviation Companies of Firms engaged in flying only and where no manufacture is carried on -Pilots and employees who may at any time fly</t>
  </si>
  <si>
    <t>1038-Battery Service Station -All  employees excl. batteries makers and erectors</t>
  </si>
  <si>
    <t>1047-Billposters and Distributor</t>
  </si>
  <si>
    <t>1051-Blacksmiths and Farriers</t>
  </si>
  <si>
    <t>1060-Boot &amp; Shoe Dealers, Makers and Repairers (Retail)</t>
  </si>
  <si>
    <t>1085-Canvassers</t>
  </si>
  <si>
    <t>1091-Caretakers Durwans, Chowkidars and Gatekeepers (except in classifications for which an all-round rate is to be applied under regulation II)</t>
  </si>
  <si>
    <t>1092-Carman and Cartage and Contractors -Incl. Motor Transport companies (not passenger carrying)</t>
  </si>
  <si>
    <t>1099-Carriage Gharry and/or Livery Stable Proprietors -Not undertaking carriage contracts                                        Note: Where cartage contract work is undertaken the rate for carmen and Cartage Contractors must be applied to the whole of the wages</t>
  </si>
  <si>
    <t>1112-Cinchona Estates -Domestic Servants whose names appear on the Factory or garden register who are paid wholly by estate</t>
  </si>
  <si>
    <t>1115-Cinematograph Film Producers - To be submitted for special rating</t>
  </si>
  <si>
    <t>1116-Cinematograph Theaters and Exhibitors -All  employees incl. clerical and managers but excl. film production</t>
  </si>
  <si>
    <t>1120-Club Servants -All employees incl. Waiters</t>
  </si>
  <si>
    <t>1131-Coffee Estate -All other employees</t>
  </si>
  <si>
    <t>1142-Commercial Travellers -All other employees</t>
  </si>
  <si>
    <t>1167-Crews of Country Craft plying between coastal Ports</t>
  </si>
  <si>
    <t>1169-Dairies  -Delivery by hand, handcraft, Cycle or tricycle</t>
  </si>
  <si>
    <t>1170-Dairies  -Delivery-Otherwise, but excl. loading and unloading of craft or vessels</t>
  </si>
  <si>
    <t>1173-Dentists -With or without Mechanics. Note: All risks entailing the use of radium, radio-active substances or X-ray apparatus must be submitted to the Committee for Special Rating</t>
  </si>
  <si>
    <t>1182-Domestic Servants -Bearers, Khitmatgars, Hamals, Cooks, Sweepers and Mehters</t>
  </si>
  <si>
    <t>1183-Domestic Servants -Doctors' Dispensers, Assistants and Locum Tenens</t>
  </si>
  <si>
    <t>1184-Domestic Servants -Mali</t>
  </si>
  <si>
    <t>1185-Domestic Servants -Motor Car Driver, Cleaners and attendants</t>
  </si>
  <si>
    <t>1186-Domestic Servants -Syce (Horse)</t>
  </si>
  <si>
    <t>1191-Educational Training Institutions, Schools and College Staff (Excl. Veterinary Colleges)-All other employees</t>
  </si>
  <si>
    <t>1192-Educational Training Institutions, Schools and College Staff (Excl. Veterinary Colleges)-Clerical Staff</t>
  </si>
  <si>
    <t>1193-Educational Training Institutions, Schools and College Staff (Excl. Veterinary Colleges)-Masters, Mistresses and male and female assistants</t>
  </si>
  <si>
    <t>1244-Fire Loss Assessors -</t>
  </si>
  <si>
    <t>1281-Glaziers -Residences, offices and shops</t>
  </si>
  <si>
    <t>1282-Gliding Association - Non flying employees</t>
  </si>
  <si>
    <t>1284-Golf Clubs -(see Regulation No 8)All employees incl. stewards servants and Caddies</t>
  </si>
  <si>
    <t>1285-Golf Clubs -(see Regulation No 8)Caddies only, per member on total membership (Note: This rate is to be charged on the maximum per Capita Membership during the period of Insurance )</t>
  </si>
  <si>
    <t>1286-Golf Clubs -(see Regulation No 8)Individual players, against caddies risk on any links per players per Capita</t>
  </si>
  <si>
    <t>1287-Golf Clubs -(see Regulation No 8)Visitors liability in respect of caddies, per visitor per Capita                                 (Minimum premium Rs. 10/-)</t>
  </si>
  <si>
    <t>1309-Hiking Clubs -Sherpas employed for carrying loads in the mountains:Wages upto 200/-  P.M - per capita</t>
  </si>
  <si>
    <t>1310-Hiking Clubs -Sherpas employed for carrying loads in the mountains:Wages upto 300/- P.M. - per capita</t>
  </si>
  <si>
    <t>1312-Horse Breeders Trainers and Jokeys</t>
  </si>
  <si>
    <t>1316-Hospitals- Asylums, Nursing, Mission or training Homes, Reformatories, Public, Benevolent and Charitable, I institutions, inebriate and similar homes - All other employees</t>
  </si>
  <si>
    <t>1317-Hospitals- Asylums, Nursing, Mission or training Homes, Reformatories, Public, Benevolent and Charitable, I institutions, inebriate and similar homes - Clerical and Salaried office staff</t>
  </si>
  <si>
    <t>1318-Hospitals- Asylums, Nursing, Mission or training Homes, Reformatories, Public, Benevolent and Charitable, I institutions, inebriate and similar homes - Nurses keepers and attendants on Lunatics</t>
  </si>
  <si>
    <t>1320-Hotels- (Residential  Commercial and Temperance)  Hydropathic Establishments, boarding and lodging houses, residential Chambers, coffee tea and refreshment rooms and restaurants Excluding public houses, beer shops and taverns ( see Regulation Nos. 7 and 8) - Indoor</t>
  </si>
  <si>
    <t>1321-Hotels- (Residential  Commercial and Temperance)  Hydropathic Establishments, boarding and lodging houses, residential Chambers, coffee tea and refreshment rooms and restaurants Excluding public houses, beer shops and taverns ( see Regulation Nos. 7 and 8) - Outdoor and maintenance staff, incl. lift attendants</t>
  </si>
  <si>
    <t>1335-Insecticides/Pesticide spraying -</t>
  </si>
  <si>
    <t>1336-Insurance Companies  -</t>
  </si>
  <si>
    <t>1356-Laundries -Incl. receiving office employees-Where machinery is used</t>
  </si>
  <si>
    <t>1357-Laundries -Incl. receiving office employees-Where no machinery is used</t>
  </si>
  <si>
    <t>1363-Lift attendants in Offices, Residential, Premises, Shops, Hospitals, Nursling Homes and Educational Institutions</t>
  </si>
  <si>
    <t>1364-Lift Repairing Machinists -(Upkeep of Insured 's own property only)</t>
  </si>
  <si>
    <t>1365-Lighthouse Keepers-</t>
  </si>
  <si>
    <t>1368-Liquified Petroleum Gas Dealers -All employees incl. those engaged in the delivery of Gas Cylinders by hand, handcart and mechanically propelled vehicles</t>
  </si>
  <si>
    <t>1369-Live Stock Farm</t>
  </si>
  <si>
    <t>1390-Meat Market -Assistants, incl. cutting up</t>
  </si>
  <si>
    <t>1393-Mechanical Appliances Like Tractors, Harvesters and Ploughers etc.</t>
  </si>
  <si>
    <t>1398-Messengers (Office) and Bill Collectors - Not using Cycle</t>
  </si>
  <si>
    <t>1399-Messengers (Office) and Bill Collectors - Using Cycles</t>
  </si>
  <si>
    <t>1426-Motor Cycle and Cycle Patrols (Automobile Association or Clubs) All Employees</t>
  </si>
  <si>
    <t>1430-Motor Tractors Owners -(Land cultivation only)</t>
  </si>
  <si>
    <t>1434-Nurse -Attending on lunatics</t>
  </si>
  <si>
    <t>1435-Nurse -Not attending on lunatics</t>
  </si>
  <si>
    <t>1445-Omnibus and Motor Bus Proprietors</t>
  </si>
  <si>
    <t>1448-Oyster Cultivators</t>
  </si>
  <si>
    <t>1454-Paper Mache Decorators - Inside work only</t>
  </si>
  <si>
    <t>1460-Parcel Delivery Agents, Carriers &amp; Carters</t>
  </si>
  <si>
    <t>1467-Pest Control and Fumigation</t>
  </si>
  <si>
    <t>1469-Petrol Pump Stations -(Not connected with garages)  Delivery (see Classification 596a and 596b) All other Works</t>
  </si>
  <si>
    <t>1470-Petrol Pump Stations -(Not connected with garages)  Delivery by hand, handcraft, Cycle or tricycle</t>
  </si>
  <si>
    <t>1471-Petrol Pump Stations -(Not connected with garages)  Delivery not by hand, handcraft, Cycle or tricycle, but excluding loading and unloading of craft or vessels</t>
  </si>
  <si>
    <t>1473-Photographers and Photographic Appliances Dealers - Operators and assistants engaged partly or wholly outside</t>
  </si>
  <si>
    <t>1480-Pile Drivers -Where carried on as a separate trade</t>
  </si>
  <si>
    <t>1481-Pit Prop cutting where carried on as a separate Trade</t>
  </si>
  <si>
    <t>1487-Polo Clubs -All other employees</t>
  </si>
  <si>
    <t>1488-Polo Clubs -Stable hands and employees engaged in ridding</t>
  </si>
  <si>
    <t>1498-Poultry and Hatchery-Where no electrical appliances are involved</t>
  </si>
  <si>
    <t>1499-Printers and Lithographers (Excl. paper mfgrs.) Excl. printing of daily news papers excel. lead poisoning</t>
  </si>
  <si>
    <t>1504-Racecourse Employees-All other employees</t>
  </si>
  <si>
    <t>1505-Racecourse Employees-Grooms, Jockeys and Stable hands</t>
  </si>
  <si>
    <t>1507-Rag and Waste Dealers, Rag Pickers and Marine Store Dealers -All other employees</t>
  </si>
  <si>
    <t>1515-Railway Station Refreshment Rooms' Private Contractor Controlling -Waiters who serve meals in refreshment rooms and to passengers in trains, i.e. chota hazri and tea who will occasionally travel short distance by train.</t>
  </si>
  <si>
    <t>1513-Railway Station Refreshment Rooms' Private Contractor Controlling -Butlers, cooks and waiters who are always employed in the refreshment room and never travel by train</t>
  </si>
  <si>
    <t>1514-Railway Station Refreshment Rooms' Private Contractor Controlling -Employees who travel regularly by train i.e. ice and dining car attendants</t>
  </si>
  <si>
    <t>1516-Railway up-keep and Running -Excl. Construction: Electric Railways</t>
  </si>
  <si>
    <t>1519-Railway up-keep and Running -Excl. Construction:Light Railways for goods and passengers</t>
  </si>
  <si>
    <t>1520-Railway up-keep and Running -Excl. Construction:Light Railways for passengers only</t>
  </si>
  <si>
    <t>1526-Rifle Clubs  -All other employees incl. makers, instructors and care takers</t>
  </si>
  <si>
    <t>1536-Rubber Plantations - Domestic servants whose name appears on the factory or garden register and who are paid wholly by eatate</t>
  </si>
  <si>
    <t>1680-Tally Clerks</t>
  </si>
  <si>
    <t>1686-Tea gardens-Domestic servants on Tea-Estate - Servants (excl. private motor car drivers, attendants and/or cleaners)whose names appear on the factory or garden register and whih are paid wholly by the estate as on page 28</t>
  </si>
  <si>
    <t>1694-Theater Artists Bandsmen and Permanent Staff</t>
  </si>
  <si>
    <t>1733-Veterinary Colleges -All other employees</t>
  </si>
  <si>
    <t>1734-Veterinary Colleges -Lecturers engaged indoors</t>
  </si>
  <si>
    <t>1735-Veterinary Surgeons and Attendants and Grooms in employ of Veterinary Surgeons -</t>
  </si>
  <si>
    <t>1781-Window Cleaners</t>
  </si>
  <si>
    <t>1789-Wireless Schools - Tuition and demonstration</t>
  </si>
  <si>
    <t>1790-Wireless Schools -Tuition and Demonstration</t>
  </si>
  <si>
    <t>1134-Coir Presses -Godown coolies (not engaged in delivering for shipment)</t>
  </si>
  <si>
    <t>1137-Cold Storage Warehouses</t>
  </si>
  <si>
    <t>1157-Cotton Bales, loading and unloading into Railway Wagons, incl. delivery, where delivery undertaken by an Independent Contractor</t>
  </si>
  <si>
    <t>1160-Cotton Godowns and Warehouses -</t>
  </si>
  <si>
    <t>1163-Cotton Waste Merchants -All employees</t>
  </si>
  <si>
    <t>1171-Dairies  -Shop Risks</t>
  </si>
  <si>
    <t>1172-Dairies  -Wholesale</t>
  </si>
  <si>
    <t>1253-Forwarding and Shipping Agent's Receiving Offices, Depots and Godowns -All other employees</t>
  </si>
  <si>
    <t>1254-Forwarding and Shipping Agent's Receiving Offices, Depots and Godowns -Delivery by hand, handcraft, Cycle or tricycle</t>
  </si>
  <si>
    <t>1255-Forwarding and Shipping Agent's Receiving Offices, Depots and Godowns -Delivery not by hand, handcraft, Cycle or tricycle but excluding loading and unloading of craft or vessel</t>
  </si>
  <si>
    <t>1257-Furniture Dealers and Removers and Depository Proprietors -Removers and Depository hands</t>
  </si>
  <si>
    <t>1258-Furniture Dealers and Removers and Depository Proprietors -Retail Shop and Excl. Delivery and Cartage</t>
  </si>
  <si>
    <t>1262-Furriers -Retail Shop risk</t>
  </si>
  <si>
    <t>1263-Furriers -Wholesale dealers - Excl. handling of raw skins</t>
  </si>
  <si>
    <t>1264-Furriers -Wholesale dealers - Incl. handling of raw skins</t>
  </si>
  <si>
    <t>1288-Grain - Corn, Flour, Hay, Straw, Fodder, Seed and Grain merchants and Forage Contractors -All Employees engaged in loading and discharging vessels</t>
  </si>
  <si>
    <t>1289-Grain - Corn, Flour, Hay, Straw, Fodder, Seed and Grain merchants and Forage Contractors -Where machinery is used, excl. loading and discharging vessels and carting and delivery other than by hand or cart</t>
  </si>
  <si>
    <t>1291-Grain  Godown and Warehouse Employees</t>
  </si>
  <si>
    <t>1290-Grain - Corn, Flour, Hay, Straw, Fodder, Seed and Grain merchants and Forage Contractors -Where no mechanically driven machinery is used, excl. loading and discharging vessels and carting and delivery other than by hand or cart</t>
  </si>
  <si>
    <t>1306-Hide and Skin Merchants and Dealers -Excl. Anthrax</t>
  </si>
  <si>
    <t>1307-Hide and Skin Merchants and Dealers -Incl. Anthrax</t>
  </si>
  <si>
    <t>1343-Jewelers, Goldsmith and Silversmith -Retail only</t>
  </si>
  <si>
    <t>1346-Jute Bales-Loading and unloading into Railway wagons</t>
  </si>
  <si>
    <t>1347-Jute Godowns and Warehouses -Handling Jute, loose  and in pucca or kucha bales</t>
  </si>
  <si>
    <t>1371-Machinery and Metal -Buyers, salesmen and show room assistants</t>
  </si>
  <si>
    <t>1374-Machinery and Metal -Warehouse</t>
  </si>
  <si>
    <t>1391-Meat Market -Porters</t>
  </si>
  <si>
    <t>1392-Meat Market -Salesman only</t>
  </si>
  <si>
    <t>1439-Oil Companies, importing in bulk for retail Distribution -All employees</t>
  </si>
  <si>
    <t>1447-Ore Importers and Exporters where carried on as a separate trade incl. Godown and Loading and Unloading Vessels</t>
  </si>
  <si>
    <t>1474-Photographers and Photographic Appliances Dealers - Shop and studio</t>
  </si>
  <si>
    <t>1476-Picture &amp; Picture Frame Makers, Dealers and Gilders Retail Shop risk</t>
  </si>
  <si>
    <t>1486-Plumber, Hotwater and Sanitary Engineers where carried on as separate Trade-Retail Shop risk</t>
  </si>
  <si>
    <t>1506-Rag and Waste Dealers, Rag Pickers and Marine Store Dealers -All employees in loading and discharging vessels</t>
  </si>
  <si>
    <t>1540-Salt Merchants and Dealers -All other  Employees</t>
  </si>
  <si>
    <t>1541-Salt Merchants and Dealers -Hands in Warehouse receiving and delivering from or to vessels. and/or no Dock, Quayside or wharf and lightermen (excl. Stevedores)</t>
  </si>
  <si>
    <t>1572-Shop Risk - Class A -Art, bric-a-brac and curio and art needle works</t>
  </si>
  <si>
    <t>1573-Shop Risk - Class A -Bakers</t>
  </si>
  <si>
    <t>1574-Shop Risk - Class A -Barometer, Hydrometer, Thermometer and Mathematical Instruments</t>
  </si>
  <si>
    <t>1575-Shop Risk  -Class A -Biscuits</t>
  </si>
  <si>
    <t>1576-Shop Risk - Class A -Book</t>
  </si>
  <si>
    <t>1577-Shop Risk - Class A -Boot and shoe, excl. makers and repairs</t>
  </si>
  <si>
    <t>1578-Shop Risk - Class A -Chemists</t>
  </si>
  <si>
    <t>1579-Shop Risk - Class A -China and glass</t>
  </si>
  <si>
    <t>1580-Shop Risk - Class A -Confectioners</t>
  </si>
  <si>
    <t>1581-Shop Risk - Class A -Cutlery</t>
  </si>
  <si>
    <t>1582-Shop Risk - Class A -Diaries</t>
  </si>
  <si>
    <t>1583-Shop Risk - Class A -Drapers</t>
  </si>
  <si>
    <t>1584-Shop Risk - Class A -Dress Maskers</t>
  </si>
  <si>
    <t>1585-Shop Risk - Class A -Fancy goods</t>
  </si>
  <si>
    <t>1586-Shop Risk - Class A -Floorist and seedsmen</t>
  </si>
  <si>
    <t>1587-Shop Risk - Class A -Furriers</t>
  </si>
  <si>
    <t>1588-Shop Risk - Class A -Haberdashers</t>
  </si>
  <si>
    <t>1589-Shop Risk - Class A -Hatters</t>
  </si>
  <si>
    <t>1590-Shop Risk - Class A -Hoosiers</t>
  </si>
  <si>
    <t>1591-Shop Risk - Class A -Leather Goods</t>
  </si>
  <si>
    <t>1592-Shop Risk - Class A -Milliners</t>
  </si>
  <si>
    <t>1593-Shop Risk - Class A -Musical instruments (Salesmen only)</t>
  </si>
  <si>
    <t>1594-Shop Risk - Class A -Naturalists not taxidermists</t>
  </si>
  <si>
    <t>1595-Shop Risk - Class A -Nautical instruments and appliances</t>
  </si>
  <si>
    <t>1596-Shop Risk - Class A -Newsagents</t>
  </si>
  <si>
    <t>1597-Shop Risk - Class A -Opticians</t>
  </si>
  <si>
    <t>1598-Shop Risk - Class A -Photographers</t>
  </si>
  <si>
    <t>1599-Shop Risk - Class A -Photographic appliances</t>
  </si>
  <si>
    <t>1600-Shop Risk - Class A -Photographic Records</t>
  </si>
  <si>
    <t>1601-Shop Risk - Class A -Stationers</t>
  </si>
  <si>
    <t>1602-Shop Risk - Class A -Surgical instrument and appliances</t>
  </si>
  <si>
    <t>1603-Shop Risk - Class A -Tailors, Clothiers and outfitters</t>
  </si>
  <si>
    <t>1604-Shop Risk - Class A -Tobacconists</t>
  </si>
  <si>
    <t>1605-Shop Risk  -Class A -Toys</t>
  </si>
  <si>
    <t>1606-Shop Risk - Class A -Wall papers</t>
  </si>
  <si>
    <t>1607-Shop Risk - Class A -Watch Makers</t>
  </si>
  <si>
    <t>1608-Shop Risk - Class A -Wholesale</t>
  </si>
  <si>
    <t>1609-Shop Risk - Class B -Fruiterers</t>
  </si>
  <si>
    <t>1610-Shop Risk - Class B -Greengrocers</t>
  </si>
  <si>
    <t>1611-Shop Risk - Class B -Groceries and provisions-no licence and no machinery -All other employees</t>
  </si>
  <si>
    <t>1612-Shop Risk - Class B -Ironmongers excl. Mechanics</t>
  </si>
  <si>
    <t>1613-Shop Risk - Class B -Italian warehouse men</t>
  </si>
  <si>
    <t>1614-Shop Risk - Class B -Oil and colour</t>
  </si>
  <si>
    <t>1615-Shop Risk - Class B -Sticks and umbrellas, incl. Finishing mounting and Repairing</t>
  </si>
  <si>
    <t>1616-Shop Risk - Class C -Chandlers (not ship chandlers)</t>
  </si>
  <si>
    <t>1617-Shop Risk - Class C -Cheesemongers</t>
  </si>
  <si>
    <t>1618-Shop Risk - Class C -Cooked Meat or cooked fish</t>
  </si>
  <si>
    <t>1619-Shop Risk - Class C -Corn Chandlers, Dealers and Merchants retail only --Using  machinery but excl. delivery</t>
  </si>
  <si>
    <t>1620-Shop Risk - Class C -Corn Chandlers, Dealers and Merchants retail only -Using no machinery driven by mechanical power and excl. Delivery</t>
  </si>
  <si>
    <t>1621-Shop Risk - Class C -Furniture Electrical items excl. delivery by hand,handcraft and otherwise</t>
  </si>
  <si>
    <t>1622-Shop Risk - Class C -Grocery and provisions  -Off licence where no bottling by machinery is done-All other employees</t>
  </si>
  <si>
    <t>1623-Shop Risk - Class C -Hair Dressers</t>
  </si>
  <si>
    <t>1624-Shop Risk - Class C -Pawnbrokers</t>
  </si>
  <si>
    <t>1625-Shop Risk - Class C -Perambulators</t>
  </si>
  <si>
    <t>1626-Shop Risk - Class C -Picture and Picture Frame Dealers excl. Machinery</t>
  </si>
  <si>
    <t>1627-Shop Risk - Class C -Sewing and Washing machines</t>
  </si>
  <si>
    <t>1628-Shop Risk - Class C -Wine, spirit and beer dealers</t>
  </si>
  <si>
    <t>1629-Shop Risk - Class D -Groceries Provisions- Off licence where  bottling by machinery is done  -All other employees</t>
  </si>
  <si>
    <t>1630-Shop Risk - Class D -Gunsmiths</t>
  </si>
  <si>
    <t>1631-Shop Risk - Class D -Wine Spirit and Beer dealers-Off licence only where bottling by machinery is done -All other employees</t>
  </si>
  <si>
    <t>1632-Shop Risk - Class E -Butchers</t>
  </si>
  <si>
    <t>1633-Shop Risk - Class E -Fishmongers</t>
  </si>
  <si>
    <t>1634-Shop Risk - Class E -Furniture removers (see Classification No 175)</t>
  </si>
  <si>
    <t>1635-Shop Risk - Class E -Groceries and Provisions - (Full licence)-All employees engaged partially or wholly in serving drink</t>
  </si>
  <si>
    <t>1636-Shop Risk - Class E -Groceries and Provisions - (Full licence)-All other employees where  bottling by machinery is done excl. delivery by hand or otherwise</t>
  </si>
  <si>
    <t>1637-Shop Risk - Class E -Groceries and Provisions - (Full licence)-All other employees where  no bottling by machinery is done excl. delivery by hand or otherwise</t>
  </si>
  <si>
    <t>1638-Shop Risk - Class E -Poulterers</t>
  </si>
  <si>
    <t>1639-Shop Risk - Class E -Publicans</t>
  </si>
  <si>
    <t>1640-Shop Risk - Class E -Wine Spirit &amp; Beer dealers-Full-Licence-All employees</t>
  </si>
  <si>
    <t>1668-Stationers -Retail shop risk</t>
  </si>
  <si>
    <t>1702-Tobacco, Cigar and Cigarette and Bidi Mfgrs. and Dealers- Godown</t>
  </si>
  <si>
    <t>1705-Tobacco, Cigar and Cigarette and Bidi Mfgrs. and Dealers- Retailed shop risk</t>
  </si>
  <si>
    <t>1721-Typwriting Machine Makers, Dealers and Repairers and Typewriting Suppliers -Retail shop risk</t>
  </si>
  <si>
    <t>1727-Undertaker -Shop</t>
  </si>
  <si>
    <t>1736-Warehouse (Godwons) Group I -Art, Bric-a-Brac, Curio</t>
  </si>
  <si>
    <t>1737-Warehouse (Godwons) Group I -Biscuit</t>
  </si>
  <si>
    <t>1738-Warehouse (Godwons) Group I -Bonded Warhouses - Incl. hand bottling</t>
  </si>
  <si>
    <t>1739-Warehouse (Godwons) Group I -China Glass and earthware</t>
  </si>
  <si>
    <t>1740-Warehouse (Godwons) Group I -Colour, Dyes and Chemicals</t>
  </si>
  <si>
    <t>1741-Warehouse (Godwons) Group I -Drug</t>
  </si>
  <si>
    <t>1742-Warehouse (Godwons) Group I -Drysalters</t>
  </si>
  <si>
    <t>1743-Warehouse (Godwons) Group I -Flax</t>
  </si>
  <si>
    <t>1744-Warehouse (Godwons) Group I -India Rubber</t>
  </si>
  <si>
    <t>1745-Warehouse (Godwons) Group I -Linen</t>
  </si>
  <si>
    <t>1746-Warehouse (Godwons) Group I -Oil and Italian Goods</t>
  </si>
  <si>
    <t>1747-Warehouse (Godwons) Group I -Publishers and Booksellers</t>
  </si>
  <si>
    <t>1748-Warehouse (Godwons) Group I -Sack and Bag</t>
  </si>
  <si>
    <t>1749-Warehouse (Godwons) Group I -Shellac</t>
  </si>
  <si>
    <t>1750-Warehouse (Godwons) Group I -Smallware (Braid, laces not leather, tussles and cords)</t>
  </si>
  <si>
    <t>1751-Warehouse (Godwons) Group I -Soft goods (textile) not Packers &amp; Makers up as separate trade and not Forwarding and Shipping Agents -Where no packing is done by mechanical power</t>
  </si>
  <si>
    <t>1752-Warehouse (Godwons) Group I -Sugar</t>
  </si>
  <si>
    <t>1753-Warehouse (Godwons) Group I -Tea and Coffee</t>
  </si>
  <si>
    <t>1754-Warehouse (Godwons) Group I -Wholesale Grocery and provision incl. salesmen</t>
  </si>
  <si>
    <t>1755-Warehouse (Godwons) Group II -Bath Brick and Salt Merchants</t>
  </si>
  <si>
    <t>1756-Warehouse (Godwons) Group II -Bone incl. Anthrax</t>
  </si>
  <si>
    <t>1757-Warehouse (Godwons) Group II -Bottle</t>
  </si>
  <si>
    <t>1758-Warehouse (Godwons) Group II -Carpet, rug and linoleum</t>
  </si>
  <si>
    <t>1759-Warehouse (Godwons) Group II -Furniture</t>
  </si>
  <si>
    <t>1760-Warehouse (Godwons) Group II -Hardware and Ironmongery</t>
  </si>
  <si>
    <t>1761-Warehouse (Godwons) Group II -Leather and Leather Goods</t>
  </si>
  <si>
    <t>1762-Warehouse (Godwons) Group II -Molasses - Incl. filling by hand</t>
  </si>
  <si>
    <t>1763-Warehouse (Godwons) Group II -Packers and Makers up as trade</t>
  </si>
  <si>
    <t>1764-Warehouse (Godwons) Group II -Paper</t>
  </si>
  <si>
    <t>1765-Warehouse (Godwons) Group II -Public (general storing) Warhouses</t>
  </si>
  <si>
    <t>1766-Warehouse (Godwons) Group II -Soft goods (textile) not Packers and Makers up as a trade and not Forwarding and Shipping Agents -Where any packing is done by mechanical power</t>
  </si>
  <si>
    <t>1767-Warehouse (Godwons) Group II -Wool incl. Anthrax</t>
  </si>
  <si>
    <t>1768-Warehouse (Godwons) Group III -Branded Warehouses (on machine bottling wages only)</t>
  </si>
  <si>
    <t>1769-Warehouse (Godwons) Group IV -Machinery, Iron and Steel girders and heavy ironware incl. delivery by any vehicle mechanical or otherwise</t>
  </si>
  <si>
    <t>1770-Warehouse (Godwons)-Hands in warehouse receiving or delivering from or to vessels and/or on dock, quayside or wharf, and lightmen and Bargemen (excl. Stevedors)</t>
  </si>
  <si>
    <t>Concatenate 2</t>
  </si>
  <si>
    <t>KOOVAPPADY</t>
  </si>
  <si>
    <t>KERALAKOOVAPPADY</t>
  </si>
  <si>
    <t>UW OUTPUT FIELDS</t>
  </si>
  <si>
    <t>Clause 1</t>
  </si>
  <si>
    <t>Subject additionally to the following conditions, limitations, warranties.</t>
  </si>
  <si>
    <t>Clause 2</t>
  </si>
  <si>
    <t>Warranted that workers involved in underground work such as mines, tunneling, etc. and/or blasting are not covered.</t>
  </si>
  <si>
    <t>Clause 3</t>
  </si>
  <si>
    <t>Jurisdiction - India</t>
  </si>
  <si>
    <t>Clause 4</t>
  </si>
  <si>
    <t>Including cover for Contractor and sub contractor workers</t>
  </si>
  <si>
    <t>Excluding cover for Contractor and sub contractor workers</t>
  </si>
  <si>
    <t>Clause 5</t>
  </si>
  <si>
    <t>Clause 6</t>
  </si>
  <si>
    <t>Clause 7</t>
  </si>
  <si>
    <t>CLAUSE CODE's</t>
  </si>
  <si>
    <t>Restricted location</t>
  </si>
  <si>
    <t>Version</t>
  </si>
  <si>
    <t>Date</t>
  </si>
  <si>
    <t>Sheet</t>
  </si>
  <si>
    <t>Changes</t>
  </si>
  <si>
    <t>CR.No.</t>
  </si>
  <si>
    <t>Author</t>
  </si>
  <si>
    <t>Reviewed By</t>
  </si>
  <si>
    <t>Medex UW Referral</t>
  </si>
  <si>
    <t>ADHALE BK</t>
  </si>
  <si>
    <t>MAHARASHTRAADHALE BK</t>
  </si>
  <si>
    <t>Medical expenses on actual basis.</t>
  </si>
  <si>
    <t>Warranted that the medical expense coverage under the policy will be valid for a period not exceeding 2 years from the date of accident</t>
  </si>
  <si>
    <t>BASKAL B.O</t>
  </si>
  <si>
    <t>KARNATAKABASKAL B.O</t>
  </si>
  <si>
    <t>AMBOLI</t>
  </si>
  <si>
    <t>DADRA AND NAGAR HAVELIAMBOLI</t>
  </si>
  <si>
    <t>DAHOD</t>
  </si>
  <si>
    <t>GUJARATDAHOD</t>
  </si>
  <si>
    <t>Clause 5a</t>
  </si>
  <si>
    <t>Clause 5b</t>
  </si>
  <si>
    <t>Act. Statu. Prem</t>
  </si>
  <si>
    <t>Statu/Med/OD Prem</t>
  </si>
  <si>
    <t>Contribution %</t>
  </si>
  <si>
    <t>Diff. Amount</t>
  </si>
  <si>
    <t>Minimum Premium Logic</t>
  </si>
  <si>
    <t>Tirupathi</t>
  </si>
  <si>
    <t>ANDHRA PRADESHTIRUPATHI</t>
  </si>
  <si>
    <t>Tirupathy</t>
  </si>
  <si>
    <t>ANDHRA PRADESHTirupathy</t>
  </si>
  <si>
    <t xml:space="preserve">Whether unit is well laid out and has markers/indicators for critical areas </t>
  </si>
  <si>
    <t>Whether union/association for workers' workplace welfare present in unit</t>
  </si>
  <si>
    <t>Whether workers working only in day shift</t>
  </si>
  <si>
    <t>Unit is ISO 45001:2018 certified or possesses safety standards certification</t>
  </si>
  <si>
    <t>Designated safety personnel responsible for workmen's safety</t>
  </si>
  <si>
    <t>Whether unit premises are audited for electrical safety</t>
  </si>
  <si>
    <t>Arrangements for commuting to work made by unit</t>
  </si>
  <si>
    <t>Whether workers are involved in furnace operation activities in unit</t>
  </si>
  <si>
    <t>Whether workers are involved in any incidental underground work</t>
  </si>
  <si>
    <t>Whether workers are required to work in proximity to live HT wires</t>
  </si>
  <si>
    <t>Wages above 15K</t>
  </si>
  <si>
    <t>Rate Loc. 1a</t>
  </si>
  <si>
    <t>Rate Loc. 2b</t>
  </si>
  <si>
    <t>Rate Loc. 3c</t>
  </si>
  <si>
    <t>Required Premium</t>
  </si>
  <si>
    <t>SME</t>
  </si>
  <si>
    <t>SME/NON-SME</t>
  </si>
  <si>
    <t>Non SME</t>
  </si>
  <si>
    <t>SME/Non-SME Master</t>
  </si>
  <si>
    <t>NSM Min Dis</t>
  </si>
  <si>
    <t>Medex Flag</t>
  </si>
  <si>
    <t>Medex PP Flag</t>
  </si>
  <si>
    <t>Medex Act flag</t>
  </si>
  <si>
    <t>Medex Agg Flag</t>
  </si>
  <si>
    <t>OD Flag</t>
  </si>
  <si>
    <t>OD PP Flag</t>
  </si>
  <si>
    <t>OD Act Flag</t>
  </si>
  <si>
    <t>OD Agg Flag</t>
  </si>
  <si>
    <t>Tariff Rate</t>
  </si>
  <si>
    <t>NO OF WORKER</t>
  </si>
  <si>
    <t>MONTHLY WAGES</t>
  </si>
  <si>
    <t>TOTAL WAGES</t>
  </si>
  <si>
    <t>WAGES UPTO 15000</t>
  </si>
  <si>
    <t>BALANCE WAGES</t>
  </si>
  <si>
    <t>RATE I</t>
  </si>
  <si>
    <t>RATE II</t>
  </si>
  <si>
    <t>Policy Period</t>
  </si>
  <si>
    <t>WC Discount based on EC Premium</t>
  </si>
  <si>
    <t>EC Statutory Premium</t>
  </si>
  <si>
    <t>Proposed Discount after Premium Adjustment</t>
  </si>
  <si>
    <t>EC Discount</t>
  </si>
  <si>
    <t>UW Remarks</t>
  </si>
  <si>
    <t>Medex PP Limit</t>
  </si>
  <si>
    <t>Medex Agg Limit</t>
  </si>
  <si>
    <t>OD PP Limit</t>
  </si>
  <si>
    <t>OD Agg Limit</t>
  </si>
  <si>
    <t>OD Actuals</t>
  </si>
  <si>
    <t>NONPUP</t>
  </si>
  <si>
    <t>1001-Advertisement Contractors Bill Posters and Distributors-NONPUP</t>
  </si>
  <si>
    <t>1002-Aerated Water Manufacturers-NONPUP</t>
  </si>
  <si>
    <t>1003-Agricultural Farms-NONPUP</t>
  </si>
  <si>
    <t>1004-Aircraft Manufacture of -a) Pilots and employees who may at any time fly-NONPUP</t>
  </si>
  <si>
    <t>1006-Aircraft Manufacture of -c) All employees excl. travelling in Aircraft-NONPUP</t>
  </si>
  <si>
    <t>1008-Aluminium Goods Manufacture -Aluminium Powder and Paste Manufacturers-NONPUP</t>
  </si>
  <si>
    <t>1011-Animal (wild)-Catching, keeping, training or working-NONPUP</t>
  </si>
  <si>
    <t>1012-Antimony Smelters and/or Extractors-NONPUP</t>
  </si>
  <si>
    <t>1013-Architects-NONPUP</t>
  </si>
  <si>
    <t>1014-Artificial Stone Makers -All others-NONPUP</t>
  </si>
  <si>
    <t>1015-Artificial Stone Makers -Hands engaged on Buildings (rate as builder)-NONPUP</t>
  </si>
  <si>
    <t>1017-Asbestos Cement Manufacturers -If no Application work is done-NONPUP</t>
  </si>
  <si>
    <t>1018-Athletic, Fishing, Gymnastic, Cricket and Golf Goods Manufacturers -All others employees-NONPUP</t>
  </si>
  <si>
    <t>1019-Athletic, Fishing, Gymnastic, Cricket and Golf Goods Manufacturers -Wood working machinists-NONPUP</t>
  </si>
  <si>
    <t>1021-Auctioneers -Porters and assistants excl. risk connection with horses and livestock-NONPUP</t>
  </si>
  <si>
    <t>1022-Auctioneers -Surveying and inventory making clerks-NONPUP</t>
  </si>
  <si>
    <t>1023-Auctioneers-Porters and assistants for  horses and livestock-NONPUP</t>
  </si>
  <si>
    <t>1024-Aviation Companies of Firms engaged in flying only and where no manufacture is carried on -All other employees-NONPUP</t>
  </si>
  <si>
    <t>1025-Aviation Companies of Firms engaged in flying only and where no manufacture is carried on -Pilots and employees who may at any time fly-NONPUP</t>
  </si>
  <si>
    <t>1026-Badami Compressed Coal Manufactures-NONPUP</t>
  </si>
  <si>
    <t>1027-Bakelite and Bakelite Goods Makers (as separate trade)-NONPUP</t>
  </si>
  <si>
    <t>1029-Bakeries and Biscuit Factories -Employees engaged with Machinery-NONPUP</t>
  </si>
  <si>
    <t>1030-Bamboo and Bentwood Furniture Makers -All other employees-NONPUP</t>
  </si>
  <si>
    <t>1031-Bamboo and Bentwood Furniture Makers -Woodworking machinists-NONPUP</t>
  </si>
  <si>
    <t>1032-Barge, Boat, Launch and Yatch only Builders -All other employees-NONPUP</t>
  </si>
  <si>
    <t>1033-Barge, Boat, Launch and Yatch only Builders -Woodworking machinists-NONPUP</t>
  </si>
  <si>
    <t>1035-Basket Makers -All other employees-NONPUP</t>
  </si>
  <si>
    <t>1036-Basket Makers -Osier and willow cutting-NONPUP</t>
  </si>
  <si>
    <t>1037-Basket Makers -Woodworking machinists-NONPUP</t>
  </si>
  <si>
    <t>1038-Battery Service Station -All  employees excl. batteries makers and erectors-NONPUP</t>
  </si>
  <si>
    <t>1039-Bedding and Mattress Manufacturers -All other employees  incl. wire risk-NONPUP</t>
  </si>
  <si>
    <t>1040-Bedding and Mattress Manufacturers -Bedstead Manufacturers (Metal)-NONPUP</t>
  </si>
  <si>
    <t>1041-Bedding and Mattress Manufacturers -Belting  Manufacturers-NONPUP</t>
  </si>
  <si>
    <t>1042-Bedding and Mattress Manufacturers -Excl. wire risk-NONPUP</t>
  </si>
  <si>
    <t>1043-Bedding and Mattress Manufacturers -Wire Mattresses-Woodworking machinists-NONPUP</t>
  </si>
  <si>
    <t>1044-Billiard Makers and Billiard Saloons-NONPUP</t>
  </si>
  <si>
    <t>1045-Billiard Tables Makers -All other employees-NONPUP</t>
  </si>
  <si>
    <t>1046-Billiard Tables Makers -Woodworking machinists-NONPUP</t>
  </si>
  <si>
    <t>1047-Billposters and Distributor-NONPUP</t>
  </si>
  <si>
    <t>1049-Bitumen Lined Paper Manufacturers -Bitumen refineries-NONPUP</t>
  </si>
  <si>
    <t>1050-Bitumen Lined Paper Manufacturers -Blacking and Boot, Metal and furniture polish Mfgrs-NONPUP</t>
  </si>
  <si>
    <t>1051-Blacksmiths and Farriers-NONPUP</t>
  </si>
  <si>
    <t>1052-Blast Furnaces (iron production)-NONPUP</t>
  </si>
  <si>
    <t>1053-Bobbin and Shuttle Makers, Wooden -All other employees-NONPUP</t>
  </si>
  <si>
    <t>1054-Bobbin and Shuttle Makers, Wooden -Woodworking machinists-NONPUP</t>
  </si>
  <si>
    <t>1057-Bone mills - Excl. Anthrax-NONPUP</t>
  </si>
  <si>
    <t>1058-Bone mills - Incl. Anthrax-NONPUP</t>
  </si>
  <si>
    <t>1059-Bookbinder (with or without machinery)-NONPUP</t>
  </si>
  <si>
    <t>1060-Boot &amp; Shoe Dealers, Makers and Repairers (Retail)-NONPUP</t>
  </si>
  <si>
    <t>1061-Boot &amp; Shoe Manufacturers and Factories (Wholesale)-NONPUP</t>
  </si>
  <si>
    <t>1064-Brewers incl. coopers &amp; all processes incidental to the trade and maintenance staff-NONPUP</t>
  </si>
  <si>
    <t>1065-Brick and Tile Makers -Where any  machinery is used; excl. clay or blaes getting below 6 metres-PUP</t>
  </si>
  <si>
    <t>1066-Brick and Tile Makers -Where no machinery is used; excl. clay or blaes getting below 6 metres-NONPUP</t>
  </si>
  <si>
    <t>1067-Brick and Tile Makers-All employees engaged in clay or blaes-getting below 6 metres excl. pit or mine-NONPUP</t>
  </si>
  <si>
    <t>1068-Brush Manufacturers -All other employees (excl. Anthrax)-NONPUP</t>
  </si>
  <si>
    <t>1069-Brush Manufacturers -All other employees (incl. Anthrax)-NONPUP</t>
  </si>
  <si>
    <t>1070-Brush Manufacturers -Wood-working machinists-NONPUP</t>
  </si>
  <si>
    <t>1071-Builders -All employees engaged in shop or yard or in construction/ demolition of buildings and other civil construction like dams, bridges etc. incl. excavation-Excl. blasting and tunneling-PUP</t>
  </si>
  <si>
    <t>1072-Builders -All employees engaged in shop or yard or in construction/ demolition of buildings and other civil construction like dams, bridges etc. incl. excavation-Incl. blasting and tunneling-NONPUP</t>
  </si>
  <si>
    <t>1073-Builders, Material and Stone, Slate and Pottery Dealers -All other employees-NONPUP</t>
  </si>
  <si>
    <t>1075-Builders-Steeple, Tower and chimney shaft builders or repairers-NONPUP</t>
  </si>
  <si>
    <t>1076-Button, Buckle, Hook and Eye Manufacturers -Metal-NONPUP</t>
  </si>
  <si>
    <t>1077-Button, Buckle, Hook and Eye Manufacturers -Other than Metal-NONPUP</t>
  </si>
  <si>
    <t>1078-Cabinet Makers -All other employees-NONPUP</t>
  </si>
  <si>
    <t>1079-Cabinet Makers -Woodworking machinists-NONPUP</t>
  </si>
  <si>
    <t>1080-Candle Manufacturers and Tallow Candlers-NONPUP</t>
  </si>
  <si>
    <t>1081-Canneries -All other employees-NONPUP</t>
  </si>
  <si>
    <t>1082-Canneries -Tin making-NONPUP</t>
  </si>
  <si>
    <t>1083-Canvas and webbing equipments manufacturers -Where carried on as a separate trade-NONPUP</t>
  </si>
  <si>
    <t>1084-Canvas and webbing equipments manufacturers -Where carried on in a Cotton jute mill-NONPUP</t>
  </si>
  <si>
    <t>1085-Canvassers-NONPUP</t>
  </si>
  <si>
    <t>1086-Carbon Papers, Typewriter Ribbons, Inks and Stamp Pad Mfgrs. -All other employees-NONPUP</t>
  </si>
  <si>
    <t>1087-Carbon Papers, Typewriter Ribbons, Inks and Stamp Pad Mfgrs. -Woodworking machinist-NONPUP</t>
  </si>
  <si>
    <t>1089-Cardboard Box and Paper Box Manufacturers -All other employees-NONPUP</t>
  </si>
  <si>
    <t>1091-Caretakers Durwans, Chowkidars and Gatekeepers (except in classifications for which an all-round rate is to be applied under regulation II)-PUP</t>
  </si>
  <si>
    <t>1092-Carman and Cartage and Contractors -Incl. Motor Transport companies (not passenger carrying)-NONPUP</t>
  </si>
  <si>
    <t>1093-Carpenters and joiners - who only undertake contracts  for woodwork - All other employees-PUP</t>
  </si>
  <si>
    <t>1094-Carpenters and joiners - who only undertake contracts  for woodwork - Woodworking machinist-PUP</t>
  </si>
  <si>
    <t>1095-Carpet and Rug Mfgtrs. Sorters -All other employees, engaged in machinery-NONPUP</t>
  </si>
  <si>
    <t>1096-Carpet and Rug Mfgtrs. Sorters -All other employees, hand work only-NONPUP</t>
  </si>
  <si>
    <t>1097-Carpet and Rug Mfgtrs. Sorters -Excl. Anthrax-NONPUP</t>
  </si>
  <si>
    <t>1098-Carpet and Rug Mfgtrs. Sorters -Incl. Anthrax-NONPUP</t>
  </si>
  <si>
    <t>1099-Carriage Gharry and/or Livery Stable Proprietors -Not undertaking carriage contracts                                        Note: Where cartage contract work is undertaken the rate for carmen and Cartage Contractors must be applied to the whole of the wages-NONPUP</t>
  </si>
  <si>
    <t>1100-Carvers in Stone, Masons and Monumental Masons where carried on as a separate trade -All Others-NONPUP</t>
  </si>
  <si>
    <t>1101-Carvers in Stone, Masons and Monumental Masons where carried on as a separate trade -Employees on board vessels off-shore Plat forms and/or Rigs engaged solely upon catering duties-NONPUP</t>
  </si>
  <si>
    <t>1102-Carvers in Stone, Masons and Monumental Masons where carried on as a separate trade -On Buildings -Rate as Builders-NONPUP</t>
  </si>
  <si>
    <t>1103-Celluloid and Celluloid goods makers --NONPUP</t>
  </si>
  <si>
    <t>1104-Cement Hollow Block Mfgrs.-Where any machinery is used-NONPUP</t>
  </si>
  <si>
    <t>1105-Cement Hollow Block Mfgrs.-Where no machinery is used-NONPUP</t>
  </si>
  <si>
    <t>1106-Cement Works -Excl. Quarry or Mining Risk (Quarry and Mining Risks to be rated Separately)-PUP</t>
  </si>
  <si>
    <t>1107-Chair Makers -Woodworking machinists-NONPUP</t>
  </si>
  <si>
    <t>1108-Chair Makers-All other employees-NONPUP</t>
  </si>
  <si>
    <t>1111-Christmas Cracker Makers --NONPUP</t>
  </si>
  <si>
    <t>1112-Cinchona Estates -Domestic Servants whose names appear on the Factory or garden register who are paid wholly by estate-NONPUP</t>
  </si>
  <si>
    <t>1113-Cinchona Estates -Employees on Factory Register-NONPUP</t>
  </si>
  <si>
    <t>1114-Cinchona Estates-All other employees-NONPUP</t>
  </si>
  <si>
    <t>1115-Cinematograph Film Producers - To be submitted for special rating-NONPUP</t>
  </si>
  <si>
    <t>1116-Cinematograph Theaters and Exhibitors -All  employees incl. clerical and managers but excl. film production-NONPUP</t>
  </si>
  <si>
    <t>1117-Circus, Fair  Pleasure Ground Proprietors -All employees-NONPUP</t>
  </si>
  <si>
    <t>1118-Clerical Staff-Engaged in trade on mercantile employment (Duties strictly limited to indoor clerical work)-PUP</t>
  </si>
  <si>
    <t>1119-Clothing &amp; Underclothing Mfgrs.-(Wholesale)-NONPUP</t>
  </si>
  <si>
    <t>1120-Club Servants -All employees incl. Waiters-NONPUP</t>
  </si>
  <si>
    <t>1121-Coach, Carriage, Bus Body and Wagon Builders and Wheelwrights -All other employees-NONPUP</t>
  </si>
  <si>
    <t>1122-Coach, Carriage, Bus Body and Wagon Builders and Wheelwrights -Excl. Railway Coach and Railway Wagon Building and Repairing Woodworking machinists-NONPUP</t>
  </si>
  <si>
    <t>1124-Coal and Geological Drilling -On River Beds-NONPUP</t>
  </si>
  <si>
    <t>1126-Coal Merchants &amp; Dealers -Employees engaged in loading and difscharging vessels-NONPUP</t>
  </si>
  <si>
    <t>1127-Cocoa Fibre Works, Mat and Matting Makers-NONPUP</t>
  </si>
  <si>
    <t>1129-Coffee Curing works   Where carried on as a separate trade -Employees engaged outside the factory-NONPUP</t>
  </si>
  <si>
    <t>1130-Coffee Curing works   Where carried on as a separate trade -Woodworking machinists-NONPUP</t>
  </si>
  <si>
    <t>1132-Coffee Estate -Domestic Servants whose names appear on the Factory or garden register who are paid wholly by estate-NONPUP</t>
  </si>
  <si>
    <t>1133-Coffee Roasters and Essence Mfgrs. --NONPUP</t>
  </si>
  <si>
    <t>1134-Coir Presses -Godown coolies (not engaged in delivering for shipment)-NONPUP</t>
  </si>
  <si>
    <t>1135-Coir Presses -Press employees-NONPUP</t>
  </si>
  <si>
    <t>1136-Coke Mfgrs.-Incl. erecting of ovens-NONPUP</t>
  </si>
  <si>
    <t>1137-Cold Storage Warehouses-NONPUP</t>
  </si>
  <si>
    <t>1138-Collieries - Fatal Only (Fiery)-Inclines &amp; Levels (Minimum of Rs. 480)-NONPUP</t>
  </si>
  <si>
    <t>1139-Collieries - Fatal Only (Fiery)-Pits-NONPUP</t>
  </si>
  <si>
    <t>1140-Collieries - Whole Risk (Fiery)- Inclines &amp; Levels  (Minimum premium Rs. 800)-NONPUP</t>
  </si>
  <si>
    <t>1141-Collieries - Whole Risk (Fiery)-Pits-NONPUP</t>
  </si>
  <si>
    <t>1144-Condiment  Mfgrs. -Employees engaged with machinery-NONPUP</t>
  </si>
  <si>
    <t>1145-Condiment  Mfgrs. -Employees not engaged with machinery-NONPUP</t>
  </si>
  <si>
    <t>1147-Confectioners-Employees not engaged with machinery-NONPUP</t>
  </si>
  <si>
    <t>1148-Container Manufacture where no mechanically drives machines and/or chemical is used-NONPUP</t>
  </si>
  <si>
    <t>1149-Coopers &amp; Vat Makers -All other employees-NONPUP</t>
  </si>
  <si>
    <t>1150-Coopers &amp; Vat Makers -Woodworking machinists-NONPUP</t>
  </si>
  <si>
    <t>1151-Copper T Manufacture-NONPUP</t>
  </si>
  <si>
    <t>1153-Cordial (Fruit) and Canned Fruit Mfgrs. -All other employeesIf no aerated waters are manufactured-NONPUP</t>
  </si>
  <si>
    <t>1154-Cordial (Fruit) and Canned Fruit Mfgrs. -Employees engaged in agricultural work on Fruit Farm-NONPUP</t>
  </si>
  <si>
    <t>1155-Corn and Flour Millers - See Flour Mills-NONPUP</t>
  </si>
  <si>
    <t>Cotton Bales, loading and unloading into Railway Wagons, incl. delivery (where delivery undertaken by an Independent Contractor, the rate for "Carmen and Cartage Contractors" to apply)</t>
  </si>
  <si>
    <t>1156-Cotton Bales, loading and unloading into Railway Wagons, incl. delivery (where delivery undertaken by an Independent Contractor, the rate for "Carmen and Cartage Contractors" to apply)</t>
  </si>
  <si>
    <t>1157-Cotton Bales, loading and unloading into Railway Wagons, incl. delivery, where delivery undertaken by an Independent Contractor-NONPUP</t>
  </si>
  <si>
    <t>1158-Cotton Ginning and pressing Factories and Presses -Calcutta and Delhi Region-NONPUP</t>
  </si>
  <si>
    <t>1160-Cotton Godowns and Warehouses --NONPUP</t>
  </si>
  <si>
    <t>1162-Cotton Wadding Mfgrs.--NONPUP</t>
  </si>
  <si>
    <t>1164-Cotton yarn only- Where any mechanically driven machinery is used excl. repairing and spinning-PUP</t>
  </si>
  <si>
    <t>1165-Cotton yarn only-Where no mechanically driven machinery is used excl. repairing and spinning-NONPUP</t>
  </si>
  <si>
    <t>1167-Crews of Country Craft plying between coastal Ports-NONPUP</t>
  </si>
  <si>
    <t>1168-Cycle and Motor Cycles Makers, and Repairers, and Cycle Components and accessories makers with or without machinery-NONPUP</t>
  </si>
  <si>
    <t>1169-Dairies  -Delivery by hand, handcraft, Cycle or tricycle-NONPUP</t>
  </si>
  <si>
    <t>1170-Dairies  -Delivery-Otherwise, but excl. loading and unloading of craft or vessels-NONPUP</t>
  </si>
  <si>
    <t>1171-Dairies  -Shop Risks-NONPUP</t>
  </si>
  <si>
    <t>1172-Dairies  -Wholesale-NONPUP</t>
  </si>
  <si>
    <t>1173-Dentists -With or without Mechanics. Note: All risks entailing the use of radium, radio-active substances or X-ray apparatus must be submitted to the Committee for Special Rating-NONPUP</t>
  </si>
  <si>
    <t>1175-Disinfectant Mfgrs. -Excl. Dyewood Grinders-NONPUP</t>
  </si>
  <si>
    <t>1176-Distilleries-PUP</t>
  </si>
  <si>
    <t>1177-Divers --NONPUP</t>
  </si>
  <si>
    <t>1178-Docks  - Dock Pier and Wharf construction maintenance and/or repairs-NONPUP</t>
  </si>
  <si>
    <t>1179-Docks  - Dock service under takings (Excl. Stevedores)-NONPUP</t>
  </si>
  <si>
    <t>1180-Docks  -Construction (excl. blasting )-NONPUP</t>
  </si>
  <si>
    <t>1181-Docks  -Employees engaged in blasting-NONPUP</t>
  </si>
  <si>
    <t>1182-Domestic Servants -Bearers, Khitmatgars, Hamals, Cooks, Sweepers and Mehters-PUP</t>
  </si>
  <si>
    <t>1183-Domestic Servants -Doctors' Dispensers, Assistants and Locum Tenens-PUP</t>
  </si>
  <si>
    <t>1184-Domestic Servants -Mali-PUP</t>
  </si>
  <si>
    <t>1185-Domestic Servants -Motor Car Driver, Cleaners and attendants-PUP</t>
  </si>
  <si>
    <t>1186-Domestic Servants -Syce (Horse)-NONPUP</t>
  </si>
  <si>
    <t>1187-Dry Ice Mfgrs. --NONPUP</t>
  </si>
  <si>
    <t>1188-Dye Grinding and Mixing Works -(Not Dyewood grinding but only dye substances powdered and subsequently mixed)-NONPUP</t>
  </si>
  <si>
    <t>1190-Dyewood Grinders --NONPUP</t>
  </si>
  <si>
    <t>1191-Educational Training Institutions, Schools and College Staff (Excl. Veterinary Colleges)-All other employees-PUP</t>
  </si>
  <si>
    <t>1192-Educational Training Institutions, Schools and College Staff (Excl. Veterinary Colleges)-Clerical Staff-PUP</t>
  </si>
  <si>
    <t>1193-Educational Training Institutions, Schools and College Staff (Excl. Veterinary Colleges)-Masters, Mistresses and male and female assistants-PUP</t>
  </si>
  <si>
    <t>1196-Electric Lights and Telephone Wire Coverers - Electric Sign Makers -All other work-NONPUP</t>
  </si>
  <si>
    <t>1198-Electric Refrigerators and Air Conditioners Assembling, Installation Maintenance and Repairs -(a) Domestic purposes :-(i) Service men using motor cycles-NONPUP</t>
  </si>
  <si>
    <t>1199-Electric Refrigerators and Air Conditioners Assembling, Installation Maintenance and Repairs -(a) Domestic purposes :-(ii) All other employees-NONPUP</t>
  </si>
  <si>
    <t>1203-Electrical Engineers (manufacturers) Makers of fittings and appartus incl. wireless, telephone and telegraph T.V. and Radio cum Recorder Manufacturers and Computer Companies manufacturing: - Shop and yard risk only - b) Where no unit is handled exceeding 12.7 Kilograms in weight when completed for use-NONPUP</t>
  </si>
  <si>
    <t>1207-Electrical Engineers (not manufacturers) Installation and repair of plant, fittings and Appartus incl. wireless, telephone and telegraph:-Work in generating stations, cinemas, factories, theaters, music halls, public halls and similar buildings and roofs of railway station over 9 metres height or where any unit is handled exceeding 12.7 Kilogram in weight-PUP</t>
  </si>
  <si>
    <t>1210-Electro-Silver and Nickel Plate Manufacturers and Metal Polishers and Platers --NONPUP</t>
  </si>
  <si>
    <t>1211-Elephants - catching, training keeping or working To be submitted special rating-NONPUP</t>
  </si>
  <si>
    <t>1212-Embroidery Mills -  All other employees-NONPUP</t>
  </si>
  <si>
    <t>1214-Enamellers and Japanners - Where carried on as separate trade-All other materials-NONPUP</t>
  </si>
  <si>
    <t>1215-Enamellers and Japanners - Where carried on as separate trade-Metal only-NONPUP</t>
  </si>
  <si>
    <t>1216-Engineers - Colliery and Mining Machinery - Fixing, repairing, excl. sinking add chimney shaft erecting-NONPUP</t>
  </si>
  <si>
    <t>1217-Engineers - Colliery and Mining Machinery -Shop or Yard risk only, incl. Carting-NONPUP</t>
  </si>
  <si>
    <t>1219-Engineers - Cranes -Shop or yard risk only-NONPUP</t>
  </si>
  <si>
    <t>1220-Engineers - Gasometers and Tanks  -  Shop or yard risk only, incl. Carting-NONPUP</t>
  </si>
  <si>
    <t>1221-Engineers - Gasometers and Tanks  - All work away from Shop or yard-NONPUP</t>
  </si>
  <si>
    <t>1222-Engineers - Hydraulic Machinery excl. Lift and Crane making and erecting Erecting away from Shop or yard-NONPUP</t>
  </si>
  <si>
    <t>1223-Engineers - Hydraulic Machinery excl. Lift and Crane making and erecting- Shop or yard risk only-NONPUP</t>
  </si>
  <si>
    <t>1224-Engineers - Lifts- Shop or yard  risk only-NONPUP</t>
  </si>
  <si>
    <t>1225-Engineers - Lifts- Work away from Shop or yard  excl. shaft sinking-NONPUP</t>
  </si>
  <si>
    <t>1226-Engineers - Lifts-Shaft sinking-NONPUP</t>
  </si>
  <si>
    <t>1227-Engineers -Bridge building -(i)  Brick, stone, timber and concrete upto 6 metres in height from road or water level at low tide-NONPUP</t>
  </si>
  <si>
    <t>1229-Engineers -Bridge building -(iii) Column and Girder(a)  Shop or yard risk-NONPUP</t>
  </si>
  <si>
    <t>1230-Engineers -Bridge building -(iii) Column and Girder(b)  Erection away from shop or yard-NONPUP</t>
  </si>
  <si>
    <t>1232-Engineers not otherwise classified -Incl. work away from shop or yard upto 9 mtrs height-PUP</t>
  </si>
  <si>
    <t>1233-Excavation, Earth Removal and Filling and Reclamation (not for Sewers and Roads)-Excl. use of explosives blasting, Tunnelling and quarrying-NONPUP</t>
  </si>
  <si>
    <t>1234-Excavation, Earth Removal and Filling and Reclamation (not for Sewers and Roads)-Incl. use of explosives blasting, Tunnelling and quarrying-NONPUP</t>
  </si>
  <si>
    <t>1235-Explosives Manufacturers -Nitroglycerine based Explosives-NONPUP</t>
  </si>
  <si>
    <t>1236-Explosives Manufacturers -Non- Nitroglycerine based Explosives-NONPUP</t>
  </si>
  <si>
    <t>1237-Explosives Manufacturers -Slurry Explosives-NONPUP</t>
  </si>
  <si>
    <t>1238-Feathers Manufacturers, Dressers, Purifiers and Merchants-NONPUP</t>
  </si>
  <si>
    <t>1239-Ferry &amp; Launch Owners (excl. Towing) -Mechanically propelled and 50 tons net tonnage or over-NONPUP</t>
  </si>
  <si>
    <t>1240-Ferry &amp; Launch Owners (excl. Towing) -Otherwise than Mechanically Propelled-NONPUP</t>
  </si>
  <si>
    <t>1241-Ferry &amp; Launch Owners (excl. towing)-Mechanically propelled and under 50 tons net tonnage-NONPUP</t>
  </si>
  <si>
    <t>1242-Fire Brigades-(on total sums paid)-NONPUP</t>
  </si>
  <si>
    <t>1243-Fire Extinguishing Appliances Makers  --NONPUP</t>
  </si>
  <si>
    <t>1244-Fire Loss Assessors --NONPUP</t>
  </si>
  <si>
    <t>1245-Fire Work Mfgrs. -Where any mechanically driven machinery is used-NONPUP</t>
  </si>
  <si>
    <t>1246-Fire Work Mfgrs. -Where hand power only is used-NONPUP</t>
  </si>
  <si>
    <t>1247-Fish Dehydrating  --NONPUP</t>
  </si>
  <si>
    <t>1248-Flag, Banner and Bunting Makers -Excl. erection, decoration tents and mosques-NONPUP</t>
  </si>
  <si>
    <t>1249-Flag, Banner and Bunting Makers -Incl. Erection-NONPUP</t>
  </si>
  <si>
    <t>1250-Floorcloth Linoleum Mfgrs.-NONPUP</t>
  </si>
  <si>
    <t>1253-Forwarding and Shipping Agent's Receiving Offices, Depots and Godowns -All other employees-NONPUP</t>
  </si>
  <si>
    <t>1254-Forwarding and Shipping Agent's Receiving Offices, Depots and Godowns -Delivery by hand, handcraft, Cycle or tricycle-NONPUP</t>
  </si>
  <si>
    <t>1255-Forwarding and Shipping Agent's Receiving Offices, Depots and Godowns -Delivery not by hand, handcraft, Cycle or tricycle but excluding loading and unloading of craft or vessel-NONPUP</t>
  </si>
  <si>
    <t>1256-Frozen Food Mfgrs. --PUP</t>
  </si>
  <si>
    <t>1257-Furniture Dealers and Removers and Depository Proprietors -Removers and Depository hands-NONPUP</t>
  </si>
  <si>
    <t>1258-Furniture Dealers and Removers and Depository Proprietors -Retail Shop and Excl. Delivery and Cartage-NONPUP</t>
  </si>
  <si>
    <t>1259-Furniture Mfgrs. other than machine hand moulded/plastic to be included - Other than Sheet Metal:-All other employees-NONPUP</t>
  </si>
  <si>
    <t>1260-Furniture Mfgrs. other than machine hand moulded/plastic to be included - Other than Sheet Metal:-Woodworking Machinists-NONPUP</t>
  </si>
  <si>
    <t>1261-Furniture Mfgrs. other than machine hand moulded/plastic to be included -Sheet Metal-NONPUP</t>
  </si>
  <si>
    <t>1262-Furriers -Retail Shop risk-NONPUP</t>
  </si>
  <si>
    <t>1263-Furriers -Wholesale dealers - Excl. handling of raw skins-NONPUP</t>
  </si>
  <si>
    <t>1264-Furriers -Wholesale dealers - Incl. handling of raw skins-NONPUP</t>
  </si>
  <si>
    <t>1265-Galvanising -Gas mantle (incandescent) makers-NONPUP</t>
  </si>
  <si>
    <t>1266-Galvanising -Where carried on as separate trade-NONPUP</t>
  </si>
  <si>
    <t>1267-Gas Mfgrs - Gasometer painting and repairing-NONPUP</t>
  </si>
  <si>
    <t>1268-Gas Mfgrs -Coal - All Employees incl. Fitters, meter readers, collectors, inspectors but all excl. gasometer erection painting and repairing demolishers-NONPUP</t>
  </si>
  <si>
    <t>1269-Gas Mfgrs -Oxygen-and other gases-NONPUP</t>
  </si>
  <si>
    <t>1270-Gas proofing of material when carried on as a separate Trade-NONPUP</t>
  </si>
  <si>
    <t>1271-Gelatins, Glue, Size and Isinglass Mfgrs --NONPUP</t>
  </si>
  <si>
    <t>1272-Ghee Mfgrs-(Tine and steel plate and sheet metal workers To be rated separately under that head)-NONPUP</t>
  </si>
  <si>
    <t>1273-Glass Mfgrs -Stained- Bevellers and Silverers-NONPUP</t>
  </si>
  <si>
    <t>1274-Glass Mfgrs -Stained- Bottle-NONPUP</t>
  </si>
  <si>
    <t>1275-Glass Mfgrs -Stained- Domestic articles such as glasses and decanters-NONPUP</t>
  </si>
  <si>
    <t>1277-Glass Mfgrs -Stained- Excl. erection and lead poisoning-NONPUP</t>
  </si>
  <si>
    <t>1278-Glass Mfgrs -Stained- Incl. erection and lead poisoning-NONPUP</t>
  </si>
  <si>
    <t>1279-Glass Mfgrs -Stained- Sheet and Plate-NONPUP</t>
  </si>
  <si>
    <t>1280-Glaziers -Other risks-NONPUP</t>
  </si>
  <si>
    <t>1281-Glaziers -Residences, offices and shops-NONPUP</t>
  </si>
  <si>
    <t>1282-Gliding Association - Non flying employees-NONPUP</t>
  </si>
  <si>
    <t>1283-Gold and Silver Thread Lametta &amp; Lace Mfgrs.-NONPUP</t>
  </si>
  <si>
    <t>1284-Golf Clubs -(see Regulation No 8)All employees incl. stewards servants and Caddies-NONPUP</t>
  </si>
  <si>
    <t>1285-Golf Clubs -(see Regulation No 8)Caddies only, per member on total membership (Note: This rate is to be charged on the maximum per Capita Membership during the period of Insurance )-NONPUP</t>
  </si>
  <si>
    <t>1286-Golf Clubs -(see Regulation No 8)Individual players, against caddies risk on any links per players per Capita-NONPUP</t>
  </si>
  <si>
    <t>1287-Golf Clubs -(see Regulation No 8)Visitors liability in respect of caddies, per visitor per Capita                                 (Minimum premium Rs. 10/-)-NONPUP</t>
  </si>
  <si>
    <t>1288-Grain - Corn, Flour, Hay, Straw, Fodder, Seed and Grain merchants and Forage Contractors -All Employees engaged in loading and discharging vessels-NONPUP</t>
  </si>
  <si>
    <t>1289-Grain - Corn, Flour, Hay, Straw, Fodder, Seed and Grain merchants and Forage Contractors -Where machinery is used, excl. loading and discharging vessels and carting and delivery other than by hand or cart-NONPUP</t>
  </si>
  <si>
    <t>1290-Grain - Corn, Flour, Hay, Straw, Fodder, Seed and Grain merchants and Forage Contractors -Where no mechanically driven machinery is used, excl. loading and discharging vessels and carting and delivery other than by hand or cart-NONPUP</t>
  </si>
  <si>
    <t>1291-Grain  Godown and Warehouse Employees-PUP</t>
  </si>
  <si>
    <t>1292-Grain -Elevator Employees-NONPUP</t>
  </si>
  <si>
    <t>1293-Gramophone Record Makers-NONPUP</t>
  </si>
  <si>
    <t>1294-Grease Mfgrs.-NONPUP</t>
  </si>
  <si>
    <t>1295-Grindstone &amp; Millstone Makers Not in Connection with quarries--NONPUP</t>
  </si>
  <si>
    <t>1297-Gun Makers -Excl. ordnance work -All other employees-NONPUP</t>
  </si>
  <si>
    <t>1298-Gun Makers -Excl. ordnance work -Workmen engaged in testing and catridge loading-NONPUP</t>
  </si>
  <si>
    <t>1299-Hackle Makers-NONPUP</t>
  </si>
  <si>
    <t>1300-Harness and Saddle Makers -All other employees-NONPUP</t>
  </si>
  <si>
    <t>1301-Harness and Saddle Makers -Wood working machinists-NONPUP</t>
  </si>
  <si>
    <t>1302-Hat and Topee Works -All descriptions incl. Ladies' Frames and Shapes-NONPUP</t>
  </si>
  <si>
    <t>1303-Heald and Reed Makers -All other employees-NONPUP</t>
  </si>
  <si>
    <t>1304-Heald and Reed Makers -Wood working machinists-NONPUP</t>
  </si>
  <si>
    <t>1305-Heat treatment shops (excl. Forging)-NONPUP</t>
  </si>
  <si>
    <t>1306-Hide and Skin Merchants and Dealers -Excl. Anthrax-NONPUP</t>
  </si>
  <si>
    <t>1307-Hide and Skin Merchants and Dealers -Incl. Anthrax-NONPUP</t>
  </si>
  <si>
    <t>1308-Hiking Clubs -Sherpas employed for carrying loads in the mountains:Wages exceeding 300/- P.M. per capita-NONPUP</t>
  </si>
  <si>
    <t>1309-Hiking Clubs -Sherpas employed for carrying loads in the mountains:Wages upto 200/-  P.M - per capita-NONPUP</t>
  </si>
  <si>
    <t>1310-Hiking Clubs -Sherpas employed for carrying loads in the mountains:Wages upto 300/- P.M. - per capita-NONPUP</t>
  </si>
  <si>
    <t>1311-Hollow Ware Mfgrs. (Metal) -Domestic - Utensils incl. stamping and enamelling-NONPUP</t>
  </si>
  <si>
    <t>1312-Horse Breeders Trainers and Jokeys-NONPUP</t>
  </si>
  <si>
    <t>1313-Horse Hair Mfgrs -Excl. Anthrax-NONPUP</t>
  </si>
  <si>
    <t>1314-Horse Hair Mfgrs -Incl. Anthrax-NONPUP</t>
  </si>
  <si>
    <t>1315-Hosiery Factories-NONPUP</t>
  </si>
  <si>
    <t>1316-Hospitals- Asylums, Nursing, Mission or training Homes, Reformatories, Public, Benevolent and Charitable, I institutions, inebriate and similar homes - All other employees-PUP</t>
  </si>
  <si>
    <t>1317-Hospitals- Asylums, Nursing, Mission or training Homes, Reformatories, Public, Benevolent and Charitable, I institutions, inebriate and similar homes - Clerical and Salaried office staff-PUP</t>
  </si>
  <si>
    <t>1318-Hospitals- Asylums, Nursing, Mission or training Homes, Reformatories, Public, Benevolent and Charitable, I institutions, inebriate and similar homes - Nurses keepers and attendants on Lunatics-PUP</t>
  </si>
  <si>
    <t>1319-Hospitals- Asylums, Nursing, Mission or training Homes, Reformatories, Public, Benevolent and Charitable, I institutions, inebriate and similar homes - Wood-working machinists-PUP</t>
  </si>
  <si>
    <t>1320-Hotels- (Residential  Commercial and Temperance)  Hydropathic Establishments, boarding and lodging houses, residential Chambers, coffee tea and refreshment rooms and restaurants Excluding public houses, beer shops and taverns ( see Regulation Nos. 7 and 8) - Indoor-PUP</t>
  </si>
  <si>
    <t>1321-Hotels- (Residential  Commercial and Temperance)  Hydropathic Establishments, boarding and lodging houses, residential Chambers, coffee tea and refreshment rooms and restaurants Excluding public houses, beer shops and taverns ( see Regulation Nos. 7 and 8) - Outdoor and maintenance staff, incl. lift attendants-PUP</t>
  </si>
  <si>
    <t>1322-Hurricane Lantern Mfgrs --NONPUP</t>
  </si>
  <si>
    <t>1323-Ice Cream Mfgrs--NONPUP</t>
  </si>
  <si>
    <t>1324-Ice Dealers and  Mfgrs -   Excluding Dry Ice Manufacturers (see Dry Ice Mfgrs)-NONPUP</t>
  </si>
  <si>
    <t>1327-India Rubber/ Rubber Factories-Stamp makers-NONPUP</t>
  </si>
  <si>
    <t>1329-India Rubber/ Rubber Factories-Water proof garment makers-NONPUP</t>
  </si>
  <si>
    <t>1330-India Rubber-Waste workers and re-claimers-NONPUP</t>
  </si>
  <si>
    <t>1331-Indigo Mfgrs.-NONPUP</t>
  </si>
  <si>
    <t>1332-Ink Mfgrs. --NONPUP</t>
  </si>
  <si>
    <t>1333-Inland Water Transport Companies-NONPUP</t>
  </si>
  <si>
    <t>1334-Insecticides/Pesticide-NONPUP</t>
  </si>
  <si>
    <t>1335-Insecticides/Pesticide spraying --NONPUP</t>
  </si>
  <si>
    <t>1336-Insurance Companies  --NONPUP</t>
  </si>
  <si>
    <t>1337-Intra-uterine contraceptives devices Mfgrs.-NONPUP</t>
  </si>
  <si>
    <t>1338-Ivory, Bone and Tortoiseshell goods Makers, and Pearl cutters -Where the materials handled are not solely ivory and/or tortoiseshell and/or pearl-NONPUP</t>
  </si>
  <si>
    <t>1339-Ivory, Bone and Tortoiseshell goods Makers, and Pearl cutters -Where the materials handled are solely ivory and/or tortoiseshell and/or pearl-NONPUP</t>
  </si>
  <si>
    <t>1340-Jacquard Harness makers--NONPUP</t>
  </si>
  <si>
    <t>1341-Jam and provision preservers and packers --NONPUP</t>
  </si>
  <si>
    <t>1342-Jelly and Powder (table) Mfgrs-NONPUP</t>
  </si>
  <si>
    <t>1343-Jewelers, Goldsmith and Silversmith -Retail only-NONPUP</t>
  </si>
  <si>
    <t>1344-Jewelers, Goldsmith and Silversmith -Wholesale and Mfgr.-NONPUP</t>
  </si>
  <si>
    <t>1345-Jewelers, Goldsmith and Silversmith-Tower, Turret, and Railway Clock fixing, repairing and winding-NONPUP</t>
  </si>
  <si>
    <t>1346-Jute Bales-Loading and unloading into Railway wagons-NONPUP</t>
  </si>
  <si>
    <t>1347-Jute Godowns and Warehouses -Handling Jute, loose  and in pucca or kucha bales-NONPUP</t>
  </si>
  <si>
    <t>1348-Jute Mills -All processes incl. mill godowns-NONPUP</t>
  </si>
  <si>
    <t>1349-Jute Presses-All employees in Kutcha baling presses-NONPUP</t>
  </si>
  <si>
    <t>1350-Jute Presses-All employees in pucca baling presses-NONPUP</t>
  </si>
  <si>
    <t>1351-Lamp Makers - All descriptions incl. incandescent lamps-NONPUP</t>
  </si>
  <si>
    <t>1352-Land Drainage Service-Excl. blasting and tunnelling-NONPUP</t>
  </si>
  <si>
    <t>1353-Land Drainage Service-Incl. blasting and tunnelling-NONPUP</t>
  </si>
  <si>
    <t>1354-Lapidaries and precious stone cutters-Excl. Lead poisoning-NONPUP</t>
  </si>
  <si>
    <t>1355-Lapidaries and precious stone cutters-Incl. Lead poisoning-NONPUP</t>
  </si>
  <si>
    <t>1356-Laundries -Incl. receiving office employees-Where machinery is used-NONPUP</t>
  </si>
  <si>
    <t>1357-Laundries -Incl. receiving office employees-Where no machinery is used-NONPUP</t>
  </si>
  <si>
    <t>1358-Lead pencil Makers (see Regulation No. 13)-NONPUP</t>
  </si>
  <si>
    <t>1359-Lead smelters and/or extractors-NONPUP</t>
  </si>
  <si>
    <t>1360-Leather Dresser and Dyers-NONPUP</t>
  </si>
  <si>
    <t>1361-Leather Goods Mfgrs.- Excl. Belting-PUP</t>
  </si>
  <si>
    <t>1362-LGP Bottling Plant-NONPUP</t>
  </si>
  <si>
    <t>1363-Lift attendants in Offices, Residential, Premises, Shops, Hospitals, Nursling Homes and Educational Institutions-NONPUP</t>
  </si>
  <si>
    <t>1364-Lift Repairing Machinists -(Upkeep of Insured 's own property only)-NONPUP</t>
  </si>
  <si>
    <t>1365-Lighthouse Keepers--NONPUP</t>
  </si>
  <si>
    <t>1366-Lime Works and  Kilns-Excl. Quarry or Mining Risks-NONPUP</t>
  </si>
  <si>
    <t>1367-Linen Finishers-NONPUP</t>
  </si>
  <si>
    <t>1368-Liquified Petroleum Gas Dealers -All employees incl. those engaged in the delivery of Gas Cylinders by hand, handcart and mechanically propelled vehicles-NONPUP</t>
  </si>
  <si>
    <t>1369-Live Stock Farm-NONPUP</t>
  </si>
  <si>
    <t>1370-Lock Makers-NONPUP</t>
  </si>
  <si>
    <t>1371-Machinery and Metal -Buyers, salesmen and show room assistants-NONPUP</t>
  </si>
  <si>
    <t>1372-Machinery and Metal -Second-hand Machinery and scrap Metal Dealers excl. dismantling breaking up and demolition-NONPUP</t>
  </si>
  <si>
    <t>1374-Machinery and Metal -Warehouse-NONPUP</t>
  </si>
  <si>
    <t>1375-Maker of - Aeroplane small parts (Metal)-NONPUP</t>
  </si>
  <si>
    <t>1376-Maker of - Cotton Gin Machinery parts-NONPUP</t>
  </si>
  <si>
    <t>1377-Maker of - Electric Light Fittings-NONPUP</t>
  </si>
  <si>
    <t>1378-Maker of - Flexible Metallic Tubing-NONPUP</t>
  </si>
  <si>
    <t>1379-Maker of - Gas Fittings-NONPUP</t>
  </si>
  <si>
    <t>1380-Maker of - German Silver, Solder, and Spelter Goods-NONPUP</t>
  </si>
  <si>
    <t>1381-Maker of - Hinges-NONPUP</t>
  </si>
  <si>
    <t>1383-Maker of - Valves-NONPUP</t>
  </si>
  <si>
    <t>1384-Maker of - Water fitting (excl. Meters)-NONPUP</t>
  </si>
  <si>
    <t>1385-Maltsters-NONPUP</t>
  </si>
  <si>
    <t>1386-Manure and Fertiliser Mfgrs.--NONPUP</t>
  </si>
  <si>
    <t>1388-Margarine Mfgrs.--NONPUP</t>
  </si>
  <si>
    <t>1389-Match Mfgrs--NONPUP</t>
  </si>
  <si>
    <t>1390-Meat Market -Assistants, incl. cutting up-NONPUP</t>
  </si>
  <si>
    <t>1391-Meat Market -Porters-NONPUP</t>
  </si>
  <si>
    <t>1392-Meat Market -Salesman only-NONPUP</t>
  </si>
  <si>
    <t>1393-Mechanical Appliances Like Tractors, Harvesters and Ploughers etc.-NONPUP</t>
  </si>
  <si>
    <t>1394-Mechanics:- Ship furnishing-NONPUP</t>
  </si>
  <si>
    <t>1395-Mechanics:- Well sinking (other than artesian and tube wells q.v.)-NONPUP</t>
  </si>
  <si>
    <t>1396-Mechanics:-Excl. well sinking and any work in any connection with wells exceeding 6 meters-NONPUP</t>
  </si>
  <si>
    <t>1397-Mechanics:-Work connection with wells exceeding 6 meters in depth but excl. Sinking-NONPUP</t>
  </si>
  <si>
    <t>1398-Messengers (Office) and Bill Collectors - Not using Cycle-NONPUP</t>
  </si>
  <si>
    <t>1399-Messengers (Office) and Bill Collectors - Using Cycles-NONPUP</t>
  </si>
  <si>
    <t>1400-Metal Workers -Bell Founders-NONPUP</t>
  </si>
  <si>
    <t>1401-Metal Workers -Metal Makers-NONPUP</t>
  </si>
  <si>
    <t>1402-Metal Workers -Metal Spinners-NONPUP</t>
  </si>
  <si>
    <t>1403-Metal Workers -Pewterers-NONPUP</t>
  </si>
  <si>
    <t>1404-Metal Workers -Stereotypes-NONPUP</t>
  </si>
  <si>
    <t>1405-Metal Workers -Tin Refiners-NONPUP</t>
  </si>
  <si>
    <t>1406-Metal Workers -Typefounders-NONPUP</t>
  </si>
  <si>
    <t>1408-Metal Workers -Workers in Zinc, not smelting or rolling -Where no work away from the shop or yard is done-NONPUP</t>
  </si>
  <si>
    <t>1409-Mica Cutters-NONPUP</t>
  </si>
  <si>
    <t>1410-Milk Mfgrs., Condensed and Sterilised-PUP</t>
  </si>
  <si>
    <t>1411-Mines -Asbestos (open cast)-NONPUP</t>
  </si>
  <si>
    <t>1412-Mines -Barytes-NONPUP</t>
  </si>
  <si>
    <t>1413-Mines -Chromite-NONPUP</t>
  </si>
  <si>
    <t>1414-Mines -Copper-NONPUP</t>
  </si>
  <si>
    <t>1415-Mines -Gold-NONPUP</t>
  </si>
  <si>
    <t>1416-Mines -Graphite-NONPUP</t>
  </si>
  <si>
    <t>1418-Mines -Lead-NONPUP</t>
  </si>
  <si>
    <t>1419-Mines -Manganese-NONPUP</t>
  </si>
  <si>
    <t>1420-Mines -Mica-NONPUP</t>
  </si>
  <si>
    <t>1421-Mines -Ochre-NONPUP</t>
  </si>
  <si>
    <t>1422-Mines -Salt-NONPUP</t>
  </si>
  <si>
    <t>1423-Mines -Silver-NONPUP</t>
  </si>
  <si>
    <t>1424-Mines -Tin-NONPUP</t>
  </si>
  <si>
    <t>1425-Mines -Wolfram-NONPUP</t>
  </si>
  <si>
    <t>1426-Motor Cycle and Cycle Patrols (Automobile Association or Clubs) All Employees-NONPUP</t>
  </si>
  <si>
    <t>1427-Motor Cycle and Cycle Patrols (Automobile Association or Clubs)Motor Race Drivers per car per race-NONPUP</t>
  </si>
  <si>
    <t>1428-Motor Garages, Showrooms and Assemblers of Motor Vehicles -All other employees incl. salesman drivers all mechanics-PUP</t>
  </si>
  <si>
    <t>1429-Motor Garages, Showrooms and Assemblers of Motor Vehicles -Woodworking machinists-PUP</t>
  </si>
  <si>
    <t>1430-Motor Tractors Owners -(Land cultivation only)-NONPUP</t>
  </si>
  <si>
    <t>1431-Myrobalan Extract Manufacturing-NONPUP</t>
  </si>
  <si>
    <t>1432-Nail Makers -Where  machinery  is used-NONPUP</t>
  </si>
  <si>
    <t>1433-Nail Makers -Where no mechanically is used-NONPUP</t>
  </si>
  <si>
    <t>1434-Nurse -Attending on lunatics-NONPUP</t>
  </si>
  <si>
    <t>1435-Nurse -Not attending on lunatics-NONPUP</t>
  </si>
  <si>
    <t>1436-Nut and Bolt Makers (Iron and Steel) -Where machinery is used-NONPUP</t>
  </si>
  <si>
    <t>1437-Nut and Bolt Makers (Iron and Steel) -Where no mechanically driven machinery is used-NONPUP</t>
  </si>
  <si>
    <t>1438-Oakum Mfgrs.-NONPUP</t>
  </si>
  <si>
    <t>1439-Oil Companies, importing in bulk for retail Distribution -All employees-NONPUP</t>
  </si>
  <si>
    <t>1440-Oil expeller and oil expeller spare parts mfgrs.-NONPUP</t>
  </si>
  <si>
    <t>1442-Oil skin and Tarpaulin Mfgrs --NONPUP</t>
  </si>
  <si>
    <t>1443-Oil Well Proprietors and Mineral Oil Refiners -All other employees-NONPUP</t>
  </si>
  <si>
    <t>1444-Oil Well Proprietors and Mineral Oil Refiners -Employees engaged in drilling and pumping erection, repair and demolition of riggs telegraph or telephone lines or overhead electric cable-NONPUP</t>
  </si>
  <si>
    <t>1445-Omnibus and Motor Bus Proprietors-NONPUP</t>
  </si>
  <si>
    <t>1446-Open Cast Coal-Getting (incl. use of explosives)-NONPUP</t>
  </si>
  <si>
    <t>1447-Ore Importers and Exporters where carried on as a separate trade incl. Godown and Loading and Unloading Vessels-NONPUP</t>
  </si>
  <si>
    <t>1448-Oyster Cultivators-NONPUP</t>
  </si>
  <si>
    <t>1449-Paint Colour and Enamal Mfgrs.- Where no red or white lead manufactured-NONPUP</t>
  </si>
  <si>
    <t>1450-Paint Colour and Enamal Mfgrs.- Where red or white lead manufactured-NONPUP</t>
  </si>
  <si>
    <t>1452-Painters and Decorators where carried on as separate trade, not Builders -All risks incl. ship painters, scrapers and scalers-NONPUP</t>
  </si>
  <si>
    <t>1453-Palm Trees - Tapping or Picking-NONPUP</t>
  </si>
  <si>
    <t>1454-Paper Mache Decorators - Inside work only-NONPUP</t>
  </si>
  <si>
    <t>1455-Paper Mfgrs.-   Hand made only-NONPUP</t>
  </si>
  <si>
    <t>1457-Paper Mfgrs.-   Waxed Paper-NONPUP</t>
  </si>
  <si>
    <t>1458-Paper Patern Makers-NONPUP</t>
  </si>
  <si>
    <t>1459-Paper Waxing (where carried on as a separate Trade)-NONPUP</t>
  </si>
  <si>
    <t>1460-Parcel Delivery Agents, Carriers &amp; Carters-NONPUP</t>
  </si>
  <si>
    <t>1461-Parquet Floor Cutting - All other employees-NONPUP</t>
  </si>
  <si>
    <t>1462-Parquet Floor Cutting - Wood work machinists-NONPUP</t>
  </si>
  <si>
    <t>1463-Parquet Floor Laying  --NONPUP</t>
  </si>
  <si>
    <t>1464-Patent Card Makers-NONPUP</t>
  </si>
  <si>
    <t>1465-Patent Fuel and Firelighter Mfgrs.-NONPUP</t>
  </si>
  <si>
    <t>1466-Perfume Mfgrs.-NONPUP</t>
  </si>
  <si>
    <t>1467-Pest Control and Fumigation-NONPUP</t>
  </si>
  <si>
    <t>1468-Petrochemical Industry-NONPUP</t>
  </si>
  <si>
    <t>1469-Petrol Pump Stations -(Not connected with garages)  Delivery (see Classification 596a and 596b) All other Works-PUP</t>
  </si>
  <si>
    <t>1470-Petrol Pump Stations -(Not connected with garages)  Delivery by hand, handcraft, Cycle or tricycle-PUP</t>
  </si>
  <si>
    <t>1471-Petrol Pump Stations -(Not connected with garages)  Delivery not by hand, handcraft, Cycle or tricycle, but excluding loading and unloading of craft or vessels-PUP</t>
  </si>
  <si>
    <t>1472-Photo Block and Process Block Mfgrs.-NONPUP</t>
  </si>
  <si>
    <t>1473-Photographers and Photographic Appliances Dealers - Operators and assistants engaged partly or wholly outside-NONPUP</t>
  </si>
  <si>
    <t>1474-Photographers and Photographic Appliances Dealers - Shop and studio-NONPUP</t>
  </si>
  <si>
    <t>1475-Picture &amp; Picture Frame Makers, Dealers and Gilders All other employees-NONPUP</t>
  </si>
  <si>
    <t>1476-Picture &amp; Picture Frame Makers, Dealers and Gilders Retail Shop risk-NONPUP</t>
  </si>
  <si>
    <t>1477-Picture &amp; Picture Frame Makers, Dealers and Gilders Wood work machinists-NONPUP</t>
  </si>
  <si>
    <t>1478-Picture Frame Moulding Makers - All other employees-NONPUP</t>
  </si>
  <si>
    <t>1479-Picture Frame Moulding Makers -Wood working machinists-NONPUP</t>
  </si>
  <si>
    <t>1480-Pile Drivers -Where carried on as a separate trade-NONPUP</t>
  </si>
  <si>
    <t>1481-Pit Prop cutting where carried on as a separate Trade-NONPUP</t>
  </si>
  <si>
    <t>1482-Planing and Moulding Mills - Plasterers and Plaster and Fibrous Plaster Modellers and Moulders where carried on separate Trade --NONPUP</t>
  </si>
  <si>
    <t>1483-Plasterers and Plaster and Fibrous Plaster Modellers and Moulders where carried on as separate Trade-All Risks-NONPUP</t>
  </si>
  <si>
    <t>1484-Plasterrs and Plaster and Fibrous Plaster Modellers and Moulders where carried on as separate Trade - Excl. churches, chapals, cinemas, exhibitions, music halls, public halls and theaters-NONPUP</t>
  </si>
  <si>
    <t>1487-Polo Clubs -All other employees-NONPUP</t>
  </si>
  <si>
    <t>1488-Polo Clubs -Stable hands and employees engaged in ridding-NONPUP</t>
  </si>
  <si>
    <t>1490-Potato Dehydrating -Where mechanically driven machinery is used-NONPUP</t>
  </si>
  <si>
    <t>1491-Potato Dehydrating -Where no mechanically driven machinery is used-NONPUP</t>
  </si>
  <si>
    <t>1492-Potteries and Pottery Decorators a) Excl. Manufacture of Flooring, Roofing and Terakotta Tiles; Excl. Clay getting and Mining also excl. Lead Poisoning-NONPUP</t>
  </si>
  <si>
    <t>1493-Potteries and Pottery Decorators b) Incl. Lead poisoning - above rate plus-NONPUP</t>
  </si>
  <si>
    <t>1494-Potteries and Pottery Decorators c) Tile Mfgrs., i.e. rough unglazed tiled for flooring and roofing and terakotta tiles- rate as bricks and tile Makers-NONPUP</t>
  </si>
  <si>
    <t>1495-Potteries and Pottery Decorators d)  Clay-getting excl. work below 6 meters (fireclay mining - rate as collieries)-NONPUP</t>
  </si>
  <si>
    <t>1496-Potteries and Pottery Decorators e) Clay-getting below 6 meters excl. pit or mine-NONPUP</t>
  </si>
  <si>
    <t>1497-Poultry and Hatchery-Where  electrical appliances are used-NONPUP</t>
  </si>
  <si>
    <t>1498-Poultry and Hatchery-Where no electrical appliances are involved-NONPUP</t>
  </si>
  <si>
    <t>1499-Printers and Lithographers (Excl. paper mfgrs.) Excl. printing of daily news papers excel. lead poisoning-NONPUP</t>
  </si>
  <si>
    <t>1500-Printers and Lithographers (Excl. paper mfgrs.)-Incl. lead poisoning - above rates plus-NONPUP</t>
  </si>
  <si>
    <t>1501-Printers and Lithographers (Excl. paper mfgrs.)-Printing of daily news papers excl. lead poisoning-NONPUP</t>
  </si>
  <si>
    <t>1502-Quarries -Where any blasting is done-NONPUP</t>
  </si>
  <si>
    <t>1503-Quarries -Where no blasting is done-NONPUP</t>
  </si>
  <si>
    <t>1504-Racecourse Employees-All other employees-NONPUP</t>
  </si>
  <si>
    <t>1505-Racecourse Employees-Grooms, Jockeys and Stable hands-NONPUP</t>
  </si>
  <si>
    <t>1506-Rag and Waste Dealers, Rag Pickers and Marine Store Dealers -All employees in loading and discharging vessels-NONPUP</t>
  </si>
  <si>
    <t>1507-Rag and Waste Dealers, Rag Pickers and Marine Store Dealers -All other employees-NONPUP</t>
  </si>
  <si>
    <t>1508-Rag and Waste Dealers, Rag Pickers and Marine Store Dealers -Breaking up, dismantling and demolition-NONPUP</t>
  </si>
  <si>
    <t>1511-Railway Construction and alteration-Incl. blasting and tunnelling-NONPUP</t>
  </si>
  <si>
    <t>1512-Railway Construction and alteration-Tunnelling, incl. Blasting (when carried as a separateContract)-NONPUP</t>
  </si>
  <si>
    <t>1513-Railway Station Refreshment Rooms' Private Contractor Controlling -Butlers, cooks and waiters who are always employed in the refreshment room and never travel by train-NONPUP</t>
  </si>
  <si>
    <t>1514-Railway Station Refreshment Rooms' Private Contractor Controlling -Employees who travel regularly by train i.e. ice and dining car attendants-NONPUP</t>
  </si>
  <si>
    <t>1515-Railway Station Refreshment Rooms' Private Contractor Controlling -Waiters who serve meals in refreshment rooms and to passengers in trains, i.e. chota hazri and tea who will occasionally travel short distance by train.-NONPUP</t>
  </si>
  <si>
    <t>1516-Railway up-keep and Running -Excl. Construction: Electric Railways-NONPUP</t>
  </si>
  <si>
    <t>1518-Railway up-keep and Running -Excl. Construction: Other  Railways-NONPUP</t>
  </si>
  <si>
    <t>1519-Railway up-keep and Running -Excl. Construction:Light Railways for goods and passengers-NONPUP</t>
  </si>
  <si>
    <t>1521-Rayon Mills --NONPUP</t>
  </si>
  <si>
    <t>1522-Refuse Heaps -Getting material from-NONPUP</t>
  </si>
  <si>
    <t>1523-Remound depots-NONPUP</t>
  </si>
  <si>
    <t>1524-Resin mfgrs.-NONPUP</t>
  </si>
  <si>
    <t>1526-Rifle Clubs  -All other employees incl. makers, instructors and care takers-NONPUP</t>
  </si>
  <si>
    <t>1527-Riggers-NONPUP</t>
  </si>
  <si>
    <t>1528-Rivet Makers -All other employees-NONPUP</t>
  </si>
  <si>
    <t>1529-Rivet Makers -Making copper rivet for tin work-NONPUP</t>
  </si>
  <si>
    <t>1531-Roofing and Flooring Makers and/or Layers (not slaters or tiler) Hands in shop or yard - All other employees-NONPUP</t>
  </si>
  <si>
    <t>1532-Roofing and Flooring Makers and/or Layers (not slaters or tiler) Hands in shop or yard -Wood working machinists-NONPUP</t>
  </si>
  <si>
    <t>1533-Rope (Excl. Wire Rope) Cord and Twine -Where any  mechanically driven machinery is used-NONPUP</t>
  </si>
  <si>
    <t>1534-Rope (Excl. Wire Rope) Cord and Twine -Where no mechanically driven machinery is used-NONPUP</t>
  </si>
  <si>
    <t>1535-Rubber Plantations - All other employees-NONPUP</t>
  </si>
  <si>
    <t>1536-Rubber Plantations - Domestic servants whose name appears on the factory or garden register and who are paid wholly by eatate-NONPUP</t>
  </si>
  <si>
    <t>1537-Sack Makers ( Sewing only when carried on as a separate trade)--NONPUP</t>
  </si>
  <si>
    <t>1538-Safety Razor Blades Mfgrs.-NONPUP</t>
  </si>
  <si>
    <t>1539-Sail Makers only, excl. Riggers-NONPUP</t>
  </si>
  <si>
    <t>1540-Salt Merchants and Dealers -All other  Employees-NONPUP</t>
  </si>
  <si>
    <t>1541-Salt Merchants and Dealers -Hands in Warehouse receiving and delivering from or to vessels. and/or no Dock, Quayside or wharf and lightermen (excl. Stevedores)-NONPUP</t>
  </si>
  <si>
    <t>1542-Salt Works  -Excl. Mining-NONPUP</t>
  </si>
  <si>
    <t>1544-Salvage Corps-All other employees-NONPUP</t>
  </si>
  <si>
    <t>1545-Sand -Removal sea by dredgers All employees-NONPUP</t>
  </si>
  <si>
    <t>1546-Sauce Mfgrs.-NONPUP</t>
  </si>
  <si>
    <t>1547-Sausage &amp; Sausage skin Mfgrs.-NONPUP</t>
  </si>
  <si>
    <t>1549-Screw Mfgrs.-NONPUP</t>
  </si>
  <si>
    <t>1550-Sewer and Road Contractor - Open trench work only where no blasting and tunnelling is done and where the depth in no part exceeds 3 meters-NONPUP</t>
  </si>
  <si>
    <t>1551-Sewer and Road Contractors-All risks where and /or blasting and tunnelling is done-NONPUP</t>
  </si>
  <si>
    <t>1552-Sewer and Road Contractors-Open trench work only where no blasting and tunnelling is done and where the depth in any part exceeds 3 meters-NONPUP</t>
  </si>
  <si>
    <t>1553-Sewing Machine Makers. Fitters and Repairers-NONPUP</t>
  </si>
  <si>
    <t>1554-Sheet Lead Rollers and Lead Pipe Makers-Excl. Lead poisoning-NONPUP</t>
  </si>
  <si>
    <t>1555-Sheet Lead Rollers and Lead Pipe Makers-Incl. Lead poisoning-NONPUP</t>
  </si>
  <si>
    <t>1556-Shellac Mfgrs. --NONPUP</t>
  </si>
  <si>
    <t>1557-Ship Breakers  --NONPUP</t>
  </si>
  <si>
    <t>1558-Ship Builders, Iron, Steel and Concrete-Pontoon Builders and repairers-NONPUP</t>
  </si>
  <si>
    <t>1560-Ship Builders, Iron, Steel and Concrete-Where barges hoppers, dredgers, tugs, yatches, passengers and cargo vessels pilot boats not exceeding 1000 tons gross measurement are repaired only-NONPUP</t>
  </si>
  <si>
    <t>1561-Ship Builders, Iron, Steel and Concrete-Where torpedo boats destroyers, steam trawlers and shallow draught river gunboats not exceeding 500 tons displacement and similar vessels as in class (a ) over 1000 tons but not exceeding 2000 tons gross measurement are built-NONPUP</t>
  </si>
  <si>
    <t>1562-Ship Builders, Iron, Steel and Concrete-Where torpedo boats destroyers, steam trawlers and shallow draught river gunboats not exceeding 500 tons displacement and similar vessels as in class (a ) over 1000 tons but not exceeding 2000 tons gross measurement are repaired only-NONPUP</t>
  </si>
  <si>
    <t>1563-Ship Builders, Iron, Steel and Concrete-Where war ship, passenger, cargo and other vessels not incl. in (a) or (b) are built-NONPUP</t>
  </si>
  <si>
    <t>1564-Ship Builders, Iron, Steel and Concrete-Where war ship, passenger, cargo and other vessels not incl. in (a) or (b) are repaired only-NONPUP</t>
  </si>
  <si>
    <t>1565-Ship Chandlers and  Ship Stores-All other employees-NONPUP</t>
  </si>
  <si>
    <t>1566-Ship Chandlers and  Ship Stores-Fixing and rigging-NONPUP</t>
  </si>
  <si>
    <t>1567-Ship Painters Exclusively engaged in Painting Vessels-Without the use of stagings or slings-NONPUP</t>
  </si>
  <si>
    <t>1568-Shipsmiths (jobbing) where carried on as a separate trade-NONPUP</t>
  </si>
  <si>
    <t>1569-Shipwrights (jobbing) where  carried on as a separate trade-NONPUP</t>
  </si>
  <si>
    <t>1570-Shop Fitters -All other employees-NONPUP</t>
  </si>
  <si>
    <t>1571-Shop Fitters -Wood working machinists-NONPUP</t>
  </si>
  <si>
    <t>1573-Shop Risk - Class A -Bakers-NONPUP</t>
  </si>
  <si>
    <t>1574-Shop Risk - Class A -Barometer, Hydrometer, Thermometer and Mathematical Instruments-NONPUP</t>
  </si>
  <si>
    <t>1575-Shop Risk  -Class A -Biscuits-NONPUP</t>
  </si>
  <si>
    <t>1576-Shop Risk - Class A -Book-NONPUP</t>
  </si>
  <si>
    <t>1577-Shop Risk - Class A -Boot and shoe, excl. makers and repairs-NONPUP</t>
  </si>
  <si>
    <t>1578-Shop Risk - Class A -Chemists-NONPUP</t>
  </si>
  <si>
    <t>1579-Shop Risk - Class A -China and glass-NONPUP</t>
  </si>
  <si>
    <t>1580-Shop Risk - Class A -Confectioners-NONPUP</t>
  </si>
  <si>
    <t>1581-Shop Risk - Class A -Cutlery-NONPUP</t>
  </si>
  <si>
    <t>1582-Shop Risk - Class A -Diaries-NONPUP</t>
  </si>
  <si>
    <t>1583-Shop Risk - Class A -Drapers-NONPUP</t>
  </si>
  <si>
    <t>1584-Shop Risk - Class A -Dress Maskers-NONPUP</t>
  </si>
  <si>
    <t>1585-Shop Risk - Class A -Fancy goods-NONPUP</t>
  </si>
  <si>
    <t>1586-Shop Risk - Class A -Floorist and seedsmen-NONPUP</t>
  </si>
  <si>
    <t>1587-Shop Risk - Class A -Furriers-NONPUP</t>
  </si>
  <si>
    <t>1588-Shop Risk - Class A -Haberdashers-NONPUP</t>
  </si>
  <si>
    <t>1589-Shop Risk - Class A -Hatters-NONPUP</t>
  </si>
  <si>
    <t>1590-Shop Risk - Class A -Hoosiers-NONPUP</t>
  </si>
  <si>
    <t>1591-Shop Risk - Class A -Leather Goods-NONPUP</t>
  </si>
  <si>
    <t>1592-Shop Risk - Class A -Milliners-NONPUP</t>
  </si>
  <si>
    <t>1593-Shop Risk - Class A -Musical instruments (Salesmen only)-NONPUP</t>
  </si>
  <si>
    <t>1594-Shop Risk - Class A -Naturalists not taxidermists-NONPUP</t>
  </si>
  <si>
    <t>1595-Shop Risk - Class A -Nautical instruments and appliances-NONPUP</t>
  </si>
  <si>
    <t>1596-Shop Risk - Class A -Newsagents-NONPUP</t>
  </si>
  <si>
    <t>1597-Shop Risk - Class A -Opticians-NONPUP</t>
  </si>
  <si>
    <t>1598-Shop Risk - Class A -Photographers-NONPUP</t>
  </si>
  <si>
    <t>1599-Shop Risk - Class A -Photographic appliances-NONPUP</t>
  </si>
  <si>
    <t>1600-Shop Risk - Class A -Photographic Records-NONPUP</t>
  </si>
  <si>
    <t>1601-Shop Risk - Class A -Stationers-NONPUP</t>
  </si>
  <si>
    <t>1602-Shop Risk - Class A -Surgical instrument and appliances-NONPUP</t>
  </si>
  <si>
    <t>1603-Shop Risk - Class A -Tailors, Clothiers and outfitters-NONPUP</t>
  </si>
  <si>
    <t>1604-Shop Risk - Class A -Tobacconists-NONPUP</t>
  </si>
  <si>
    <t>1605-Shop Risk  -Class A -Toys-NONPUP</t>
  </si>
  <si>
    <t>1606-Shop Risk - Class A -Wall papers-NONPUP</t>
  </si>
  <si>
    <t>1607-Shop Risk - Class A -Watch Makers-NONPUP</t>
  </si>
  <si>
    <t>1608-Shop Risk - Class A -Wholesale-NONPUP</t>
  </si>
  <si>
    <t>1609-Shop Risk - Class B -Fruiterers-NONPUP</t>
  </si>
  <si>
    <t>1610-Shop Risk - Class B -Greengrocers-NONPUP</t>
  </si>
  <si>
    <t>1611-Shop Risk - Class B -Groceries and provisions-no licence and no machinery -All other employees-NONPUP</t>
  </si>
  <si>
    <t>1612-Shop Risk - Class B -Ironmongers excl. Mechanics-NONPUP</t>
  </si>
  <si>
    <t>1613-Shop Risk - Class B -Italian warehouse men-NONPUP</t>
  </si>
  <si>
    <t>1614-Shop Risk - Class B -Oil and colour-NONPUP</t>
  </si>
  <si>
    <t>1615-Shop Risk - Class B -Sticks and umbrellas, incl. Finishing mounting and Repairing-NONPUP</t>
  </si>
  <si>
    <t>1616-Shop Risk - Class C -Chandlers (not ship chandlers)-NONPUP</t>
  </si>
  <si>
    <t>1617-Shop Risk - Class C -Cheesemongers-NONPUP</t>
  </si>
  <si>
    <t>1618-Shop Risk - Class C -Cooked Meat or cooked fish-NONPUP</t>
  </si>
  <si>
    <t>1619-Shop Risk - Class C -Corn Chandlers, Dealers and Merchants retail only --Using  machinery but excl. delivery-NONPUP</t>
  </si>
  <si>
    <t>1620-Shop Risk - Class C -Corn Chandlers, Dealers and Merchants retail only -Using no machinery driven by mechanical power and excl. Delivery-NONPUP</t>
  </si>
  <si>
    <t>1621-Shop Risk - Class C -Furniture Electrical items excl. delivery by hand,handcraft and otherwise-NONPUP</t>
  </si>
  <si>
    <t>1622-Shop Risk - Class C -Grocery and provisions  -Off licence where no bottling by machinery is done-All other employees-NONPUP</t>
  </si>
  <si>
    <t>1623-Shop Risk - Class C -Hair Dressers-NONPUP</t>
  </si>
  <si>
    <t>1624-Shop Risk - Class C -Pawnbrokers-NONPUP</t>
  </si>
  <si>
    <t>1625-Shop Risk - Class C -Perambulators-NONPUP</t>
  </si>
  <si>
    <t>1626-Shop Risk - Class C -Picture and Picture Frame Dealers excl. Machinery-NONPUP</t>
  </si>
  <si>
    <t>1627-Shop Risk - Class C -Sewing and Washing machines-NONPUP</t>
  </si>
  <si>
    <t>1628-Shop Risk - Class C -Wine, spirit and beer dealers-NONPUP</t>
  </si>
  <si>
    <t>1629-Shop Risk - Class D -Groceries Provisions- Off licence where  bottling by machinery is done  -All other employees-NONPUP</t>
  </si>
  <si>
    <t>1630-Shop Risk - Class D -Gunsmiths-NONPUP</t>
  </si>
  <si>
    <t>1631-Shop Risk - Class D -Wine Spirit and Beer dealers-Off licence only where bottling by machinery is done -All other employees-NONPUP</t>
  </si>
  <si>
    <t>1632-Shop Risk - Class E -Butchers-NONPUP</t>
  </si>
  <si>
    <t>1633-Shop Risk - Class E -Fishmongers-NONPUP</t>
  </si>
  <si>
    <t>1634-Shop Risk - Class E -Furniture removers (see Classification No 175)-NONPUP</t>
  </si>
  <si>
    <t>1635-Shop Risk - Class E -Groceries and Provisions - (Full licence)-All employees engaged partially or wholly in serving drink-NONPUP</t>
  </si>
  <si>
    <t>1636-Shop Risk - Class E -Groceries and Provisions - (Full licence)-All other employees where  bottling by machinery is done excl. delivery by hand or otherwise-NONPUP</t>
  </si>
  <si>
    <t>1637-Shop Risk - Class E -Groceries and Provisions - (Full licence)-All other employees where  no bottling by machinery is done excl. delivery by hand or otherwise-NONPUP</t>
  </si>
  <si>
    <t>1638-Shop Risk - Class E -Poulterers-NONPUP</t>
  </si>
  <si>
    <t>1639-Shop Risk - Class E -Publicans-NONPUP</t>
  </si>
  <si>
    <t>1640-Shop Risk - Class E -Wine Spirit &amp; Beer dealers-Full-Licence-All employees-NONPUP</t>
  </si>
  <si>
    <t>1641-Short Mfgrs.-NONPUP</t>
  </si>
  <si>
    <t>1642-Sign Writers -Not glass-Excl. Erection-NONPUP</t>
  </si>
  <si>
    <t>1643-Sign Writers -Not glass-Incl. Erection-NONPUP</t>
  </si>
  <si>
    <t>1644-Silk Artificial -All Processes-NONPUP</t>
  </si>
  <si>
    <t>1645-Silk Artificial -Doubling-NONPUP</t>
  </si>
  <si>
    <t>1646-Silk Artificial -Weaving and process subsequent to yarn production-NONPUP</t>
  </si>
  <si>
    <t>1647-Silk Artificial -Winding (as separate trade)-NONPUP</t>
  </si>
  <si>
    <t>1648-Silk Artificial -Yarn Production-NONPUP</t>
  </si>
  <si>
    <t>1649-Silk Spinners and/or weavers-NONPUP</t>
  </si>
  <si>
    <t>1650-Sinking:- Pit or Mine opening up or driving levels or slants-NONPUP</t>
  </si>
  <si>
    <t>1651-Slag Crushers and Removers-NONPUP</t>
  </si>
  <si>
    <t>1652-Slaters and Tilers (Roofs) where carried on as a separate trade-Exceeding 9 meters in height-NONPUP</t>
  </si>
  <si>
    <t>1653-Slaters and Tilers (Roofs) where carried on as a separate trade-Work on roof; not exceeding 9 meters in height-NONPUP</t>
  </si>
  <si>
    <t>1654-Slaughtermen-NONPUP</t>
  </si>
  <si>
    <t>1655-Small Arm Factories-Excl. testing and cartridge loading-NONPUP</t>
  </si>
  <si>
    <t>1656-Small Arm Factories-Testing and cartridge loading-NONPUP</t>
  </si>
  <si>
    <t>1657-Small Wear Mfgrs. ( Braid, Laces other Leather, Tassels &amp; Cords)-NONPUP</t>
  </si>
  <si>
    <t>1658-Snuff Manufacturing Factories -All other employees-NONPUP</t>
  </si>
  <si>
    <t>1659-Soap Makers, (toilet) where remelting and perfuming only are done-NONPUP</t>
  </si>
  <si>
    <t>1660-Soap Makers, melters and boilers-NONPUP</t>
  </si>
  <si>
    <t>1662-Solvent Extraction Plants-Non-automatic or batch type-NONPUP</t>
  </si>
  <si>
    <t>1663-Spice Mfgrs.-Incl. nut grinding and shelling-NONPUP</t>
  </si>
  <si>
    <t>1664-Spring and Axle makers-NONPUP</t>
  </si>
  <si>
    <t>1665-Stampers and piercers-Where carried on as a separate trade-NONPUP</t>
  </si>
  <si>
    <t>1666-Starch and Blue Mfgrs.-NONPUP</t>
  </si>
  <si>
    <t>1667-Stationers -Manufacturing and/or wholesale-NONPUP</t>
  </si>
  <si>
    <t>1668-Stationers -Retail shop risk-NONPUP</t>
  </si>
  <si>
    <t>1673-Stevedors loading or unloading Cargo or Coal-NONPUP</t>
  </si>
  <si>
    <t>1674-Stone and dressing and stone breaking Yards -All employees Whose duties take them at any time to quarry where blasting is done-NONPUP</t>
  </si>
  <si>
    <t>1676-Sugar cane Plantation-NONPUP</t>
  </si>
  <si>
    <t>1679-T.V. Picture Tube Mfgrs-NONPUP</t>
  </si>
  <si>
    <t>1680-Tally Clerks-NONPUP</t>
  </si>
  <si>
    <t>1681-Tanners, Carriers and Fellomongers-NONPUP</t>
  </si>
  <si>
    <t>1682-Tar Spraying Roads-NONPUP</t>
  </si>
  <si>
    <t>1683-Taxidermists - Excl. Anthrax-NONPUP</t>
  </si>
  <si>
    <t>1684-Taxidermists - Incl. Anthrax-NONPUP</t>
  </si>
  <si>
    <t>1685-Tea Gardens --NONPUP</t>
  </si>
  <si>
    <t>1688-Tea Packing Factories -Wood working machinists-NONPUP</t>
  </si>
  <si>
    <t>1689-Telephone Operators-NONPUP</t>
  </si>
  <si>
    <t>1690-Telephone Operators --NONPUP</t>
  </si>
  <si>
    <t>1691-Tent and Marque Makers-NONPUP</t>
  </si>
  <si>
    <t>1692-Tent and Marque Makers-Erecting only-NONPUP</t>
  </si>
  <si>
    <t>1693-Thatchers of Buildings-NONPUP</t>
  </si>
  <si>
    <t>1694-Theater Artists Bandsmen and Permanent Staff-NONPUP</t>
  </si>
  <si>
    <t>1695-Tilers (not roofing) and Mosaic and Tressellated Pavers Floor and, excl. clay getting-NONPUP</t>
  </si>
  <si>
    <t>1696-Timber Raftmen-NONPUP</t>
  </si>
  <si>
    <t>1698-Tin &amp; Steel and Steel Metal Workers (incl. metal boxes and drums)-Where no mechanically driven machinery is used (incl. Smelting)-NONPUP</t>
  </si>
  <si>
    <t>1699-Tin Dredgers-NONPUP</t>
  </si>
  <si>
    <t>1700-Tin Ore Getting from open Workings and Machine Crushing-NONPUP</t>
  </si>
  <si>
    <t>1701-Tin Ore Getting from open Workings where no Machinery is used-NONPUP</t>
  </si>
  <si>
    <t>1702-Tobacco, Cigar and Cigarette and Bidi Mfgrs. and Dealers- Godown-NONPUP</t>
  </si>
  <si>
    <t>1703-Tobacco, Cigar and Cigarette and Bidi Mfgrs. and Dealers- Manufacturing -Where any mechanically driven machinery is used-NONPUP</t>
  </si>
  <si>
    <t>1704-Tobacco, Cigar and Cigarette and Bidi Mfgrs. and Dealers- Manufacturing -Where no mechanically driven machinery is used-NONPUP</t>
  </si>
  <si>
    <t>1705-Tobacco, Cigar and Cigarette and Bidi Mfgrs. and Dealers- Retailed shop risk-NONPUP</t>
  </si>
  <si>
    <t>1706-Tools and Machine Tools Mfgrs.-All other tools incl. garden tools-NONPUP</t>
  </si>
  <si>
    <t>1710-Toy Makers -Mfg. of all classes of toys excl. celluloid toys-NONPUP</t>
  </si>
  <si>
    <t>1711-Toy Makers -Mfg. of all classes of toys excl. celluloid toys and excl. the use of machinery-NONPUP</t>
  </si>
  <si>
    <t>1712-Toy Makers -Mfg. of all classes of toys incl. celluloid toys-NONPUP</t>
  </si>
  <si>
    <t>1713-Tramway Construction-Incl. all  incidental work on through-fares or elesewhere-NONPUP</t>
  </si>
  <si>
    <t>1714-Tramway upkeep and running-NONPUP</t>
  </si>
  <si>
    <t>1715-Transmiths -Excl. Ship work-NONPUP</t>
  </si>
  <si>
    <t>1716-Transmiths -Ship work-NONPUP</t>
  </si>
  <si>
    <t>1717-Tube Drawers-NONPUP</t>
  </si>
  <si>
    <t>1718-Tug Owners - Where carried on as a separate trade-NONPUP</t>
  </si>
  <si>
    <t>1719-Tunnelling incl. Blasting (when carried on as a separate trade)-NONPUP</t>
  </si>
  <si>
    <t>1720-Typwriting Machine Makers, Dealers and Repairers and Typewriting Suppliers -All other employees-NONPUP</t>
  </si>
  <si>
    <t>1721-Typwriting Machine Makers, Dealers and Repairers and Typewriting Suppliers -Retail shop risk-NONPUP</t>
  </si>
  <si>
    <t>1722-Tyre Retreading and Resolving-NONPUP</t>
  </si>
  <si>
    <t>1723-Tyre Vulcanisers when carried as a separate trade-NONPUP</t>
  </si>
  <si>
    <t>1724-Umbrella Mfgrs. -Where any mechanically driven machinery is used-NONPUP</t>
  </si>
  <si>
    <t>1725-Umbrella Mfgrs. -Where hand power is used-NONPUP</t>
  </si>
  <si>
    <t>1726-Undertaker -Outside and stable-NONPUP</t>
  </si>
  <si>
    <t>1727-Undertaker -Shop-NONPUP</t>
  </si>
  <si>
    <t>1728-Undertaker -Wood working machinists-NONPUP</t>
  </si>
  <si>
    <t>1729-Upholsterers-NONPUP</t>
  </si>
  <si>
    <t>1730-Varnish Japan &amp; Laquer Mfgrs.--NONPUP</t>
  </si>
  <si>
    <t>1732-Vener Mfgrs other than wood working machinists where carried on as separate trade -All other employees-NONPUP</t>
  </si>
  <si>
    <t>1733-Veterinary Colleges -All other employees-NONPUP</t>
  </si>
  <si>
    <t>1735-Veterinary Surgeons and Attendants and Grooms in employ of Veterinary Surgeons --NONPUP</t>
  </si>
  <si>
    <t>1736-Warehouse (Godwons) Group I -Art, Bric-a-Brac, Curio-NONPUP</t>
  </si>
  <si>
    <t>1737-Warehouse (Godwons) Group I -Biscuit-NONPUP</t>
  </si>
  <si>
    <t>1738-Warehouse (Godwons) Group I -Bonded Warhouses - Incl. hand bottling-NONPUP</t>
  </si>
  <si>
    <t>1739-Warehouse (Godwons) Group I -China Glass and earthware-NONPUP</t>
  </si>
  <si>
    <t>1740-Warehouse (Godwons) Group I -Colour, Dyes and Chemicals-NONPUP</t>
  </si>
  <si>
    <t>1741-Warehouse (Godwons) Group I -Drug-NONPUP</t>
  </si>
  <si>
    <t>1742-Warehouse (Godwons) Group I -Drysalters-NONPUP</t>
  </si>
  <si>
    <t>1743-Warehouse (Godwons) Group I -Flax-NONPUP</t>
  </si>
  <si>
    <t>1744-Warehouse (Godwons) Group I -India Rubber-NONPUP</t>
  </si>
  <si>
    <t>1745-Warehouse (Godwons) Group I -Linen-NONPUP</t>
  </si>
  <si>
    <t>1746-Warehouse (Godwons) Group I -Oil and Italian Goods-NONPUP</t>
  </si>
  <si>
    <t>1747-Warehouse (Godwons) Group I -Publishers and Booksellers-NONPUP</t>
  </si>
  <si>
    <t>1748-Warehouse (Godwons) Group I -Sack and Bag-NONPUP</t>
  </si>
  <si>
    <t>1749-Warehouse (Godwons) Group I -Shellac-NONPUP</t>
  </si>
  <si>
    <t>1750-Warehouse (Godwons) Group I -Smallware (Braid, laces not leather, tussles and cords)-NONPUP</t>
  </si>
  <si>
    <t>1751-Warehouse (Godwons) Group I -Soft goods (textile) not Packers &amp; Makers up as separate trade and not Forwarding and Shipping Agents -Where no packing is done by mechanical power-NONPUP</t>
  </si>
  <si>
    <t>1752-Warehouse (Godwons) Group I -Sugar-NONPUP</t>
  </si>
  <si>
    <t>1753-Warehouse (Godwons) Group I -Tea and Coffee-NONPUP</t>
  </si>
  <si>
    <t>1754-Warehouse (Godwons) Group I -Wholesale Grocery and provision incl. salesmen-NONPUP</t>
  </si>
  <si>
    <t>1755-Warehouse (Godwons) Group II -Bath Brick and Salt Merchants-NONPUP</t>
  </si>
  <si>
    <t>1756-Warehouse (Godwons) Group II -Bone incl. Anthrax-NONPUP</t>
  </si>
  <si>
    <t>1757-Warehouse (Godwons) Group II -Bottle-NONPUP</t>
  </si>
  <si>
    <t>1758-Warehouse (Godwons) Group II -Carpet, rug and linoleum-NONPUP</t>
  </si>
  <si>
    <t>1759-Warehouse (Godwons) Group II -Furniture-NONPUP</t>
  </si>
  <si>
    <t>1760-Warehouse (Godwons) Group II -Hardware and Ironmongery-NONPUP</t>
  </si>
  <si>
    <t>1761-Warehouse (Godwons) Group II -Leather and Leather Goods-NONPUP</t>
  </si>
  <si>
    <t>1762-Warehouse (Godwons) Group II -Molasses - Incl. filling by hand-NONPUP</t>
  </si>
  <si>
    <t>1763-Warehouse (Godwons) Group II -Packers and Makers up as trade-NONPUP</t>
  </si>
  <si>
    <t>1764-Warehouse (Godwons) Group II -Paper-NONPUP</t>
  </si>
  <si>
    <t>1765-Warehouse (Godwons) Group II -Public (general storing) Warhouses-NONPUP</t>
  </si>
  <si>
    <t>1766-Warehouse (Godwons) Group II -Soft goods (textile) not Packers and Makers up as a trade and not Forwarding and Shipping Agents -Where any packing is done by mechanical power-NONPUP</t>
  </si>
  <si>
    <t>1767-Warehouse (Godwons) Group II -Wool incl. Anthrax-NONPUP</t>
  </si>
  <si>
    <t>1768-Warehouse (Godwons) Group III -Branded Warehouses (on machine bottling wages only)-NONPUP</t>
  </si>
  <si>
    <t>1769-Warehouse (Godwons) Group IV -Machinery, Iron and Steel girders and heavy ironware incl. delivery by any vehicle mechanical or otherwise-NONPUP</t>
  </si>
  <si>
    <t>1770-Warehouse (Godwons)-Hands in warehouse receiving or delivering from or to vessels and/or on dock, quayside or wharf, and lightmen and Bargemen (excl. Stevedors)-NONPUP</t>
  </si>
  <si>
    <t>1774-Waterworks and Pumping Stations -Tunnelling incl. blasting (when carried out as a separate contract)-NONPUP</t>
  </si>
  <si>
    <t>1775-Weaving and Printing of Cloth by Hand Power-PUP</t>
  </si>
  <si>
    <t>1778-Well Sinking -Artesian or Tube-NONPUP</t>
  </si>
  <si>
    <t>1779-Well Sinking -Other Wells-NONPUP</t>
  </si>
  <si>
    <t>1780-Whiting and Pipeclay Mfgrs.-Excl. Mining Quarry-NONPUP</t>
  </si>
  <si>
    <t>1781-Window Cleaners-NONPUP</t>
  </si>
  <si>
    <t>1782-Wire Drawers and Wire Ropes Mfgrs -Brass and Copper  Wire Drawers-NONPUP</t>
  </si>
  <si>
    <t>1783-Wire Drawers and Wire Ropes Mfgrs -Gold and Silver Wire Drawers-NONPUP</t>
  </si>
  <si>
    <t>1784-Wire Drawers and Wire Ropes Mfgrs -Steel and Iron  Wire Drawers  and wire Ropes Mfgrs.-NONPUP</t>
  </si>
  <si>
    <t>1785-Wire Goods Makers-NONPUP</t>
  </si>
  <si>
    <t>1786-Wireless Engineers- Installation and repair of plant, fittings and Appartus incl. wireless, telephone and telegraph:- Work on ships and underground in mines and quarries-NONPUP</t>
  </si>
  <si>
    <t>1787-Wireless Engineers- Installation and repair of plant, fittings and Appartus incl. wireless, telephone and telegraph:-Work in generating stations, cinemas, factories, theaters, music halls, public halls and similar buildings and roofs of railway station over 9 metres height or where any unit is handled exceeding 12.7 Kilogram in weight-NONPUP</t>
  </si>
  <si>
    <t>1788-Wireless Engineers- Installation and repair of plant, fittings and Appartus incl. wireless, telephone and telegraph:-Work other buildings and roofs of railway station over 9 metres height or where any unit is handled exceeding 12.7 Kilogram in weight-NONPUP</t>
  </si>
  <si>
    <t>1789-Wireless Schools - Tuition and demonstration-NONPUP</t>
  </si>
  <si>
    <t>1790-Wireless Schools -Tuition and Demonstration-NONPUP</t>
  </si>
  <si>
    <t>1791-Wood Ware Mfgrs. and Turners -All other employees-NONPUP</t>
  </si>
  <si>
    <t>1792-Wood Ware Mfgrs. and Turners -Woodmen and Foresters engaged in Treefelling Sawing and Carting and/or Forest Fire Fighting-NONPUP</t>
  </si>
  <si>
    <t>1794-Wool Scourers and Carbonizers  -Where any wool-combing is done -Excl. Anthrax-NONPUP</t>
  </si>
  <si>
    <t>1795-Wool Scourers and Carbonizers  -Where any wool-combing is done -Incl. Anthrax-NONPUP</t>
  </si>
  <si>
    <t>1796-Wool Scourers and Carbonizers  -Where no wool-combing is done -Excl. Anthrax-NONPUP</t>
  </si>
  <si>
    <t>1797-Wool Scourers and Carbonizers  -Where no wool-combing is done -Incl. Anthrax-NONPUP</t>
  </si>
  <si>
    <t>1798-Wool Sorter and/or Wool Waste merchants -Excl. Anthrax-NONPUP</t>
  </si>
  <si>
    <t>1799-Wool Sorter and/or Wool Waste merchants -Incl. Anthrax-NONPUP</t>
  </si>
  <si>
    <t>1802-Woolen and Worsted -Wool-combing -Excl. Anthrax-NONPUP</t>
  </si>
  <si>
    <t>1803-Woolen and Worsted -Wool-combing -Incl. Anthrax-NONPUP</t>
  </si>
  <si>
    <t>1804-Writing Slate Mfgrs.-NONPUP</t>
  </si>
  <si>
    <t>1805-Yarn and Trade Bleachers and/or Dyers-With or without machinery where yarn and trade only are handled (and where no bleaching or dyeing of any other materials is done)-NONPUP</t>
  </si>
  <si>
    <t>1806-Yeast Mfgrs.--NONPUP</t>
  </si>
  <si>
    <t>1807-Zinc Copper and Brass Rolling where no smelting is done-NONPUP</t>
  </si>
  <si>
    <t>1808-Zinc Smelters and/or Extractors-NONPUP</t>
  </si>
  <si>
    <t>Non-PUP Trade Category</t>
  </si>
  <si>
    <t>Producer L/D%</t>
  </si>
  <si>
    <t>Medex PP UW Error</t>
  </si>
  <si>
    <t>Medex Agg UW Error</t>
  </si>
  <si>
    <t>OD PP UW Error</t>
  </si>
  <si>
    <t>OD Agg UW Error</t>
  </si>
  <si>
    <t>UW Max Discount</t>
  </si>
  <si>
    <t>UW Max Loading</t>
  </si>
  <si>
    <t>1005-Aircraft Manufacture of -b) Wood-working machinists excl. travelling in Aircraft-PUP</t>
  </si>
  <si>
    <t>1007-Aluminium Goods Manufacture -All other employees-PUP</t>
  </si>
  <si>
    <t>1009-Aluminium Goods Manufacture -Analytical Chemists-PUP</t>
  </si>
  <si>
    <t>1010-Aluminium Goods Manufacture -Foundry hands, incl. Stampers-PUP</t>
  </si>
  <si>
    <t>1016-Asbestos Cement Manufacturers -If Application work is done-PUP</t>
  </si>
  <si>
    <t>1020-Auctioneers -Others clerks-PUP</t>
  </si>
  <si>
    <t>1028-Bakeries and Biscuit Factories -All Employees not engaged with Machinery-PUP</t>
  </si>
  <si>
    <t>1034-Barometer Hydrometer, Thermometer, Mathematical, Nautical and Surgical Instruments and  Appliance Makers, Watchmakers and Opticians -All Employees-PUP</t>
  </si>
  <si>
    <t>1048-Bitumen Lined Paper Manufacturers -All other employees-PUP</t>
  </si>
  <si>
    <t>1055-Boiler Makers and Repairers -Boiler scalers-PUP</t>
  </si>
  <si>
    <t>1056-Boiler Makers and Repairers -Incl. Erection-PUP</t>
  </si>
  <si>
    <t>1062-Brass Founders, Workers and Finishers -All other employees-PUP</t>
  </si>
  <si>
    <t>1063-Brass Founders, Workers and Finishers -Foundry hands-PUP</t>
  </si>
  <si>
    <t>1074-Builders, Material and Stone, Slate and Pottery Dealers -Employees engaged in loading and unloading vessels-PUP</t>
  </si>
  <si>
    <t>1088-Card, Cardboard, Strawboard and Millboard Makers --PUP</t>
  </si>
  <si>
    <t>1090-Cardboard Box and Paper Box Manufacturers -Machinists-PUP</t>
  </si>
  <si>
    <t>1109-Chemical Works -Incl. acid, Alizarine, alkali, alum, ammonia, aniline, arsenic bichromate of potash, borax, sheep dip and soda works-PUP</t>
  </si>
  <si>
    <t>1110-Chemists and Druggists (Manufacturing) and Patent Medicine Mfgrs.-PUP</t>
  </si>
  <si>
    <t>1123-Coal and Geological Drilling -On land-PUP</t>
  </si>
  <si>
    <t>1125-Coal Merchants &amp; Dealers -Carters and all other employees-PUP</t>
  </si>
  <si>
    <t>1128-Coffee Curing works   Where carried on as a separate trade -Employees engaged inside the factory-PUP</t>
  </si>
  <si>
    <t>1131-Coffee Estate -All other employees-PUP</t>
  </si>
  <si>
    <t>1142-Commercial Travellers -All other employees-PUP</t>
  </si>
  <si>
    <t>1143-Commercial Travellers -Employees using Motor Cycles/Scooters-PUP</t>
  </si>
  <si>
    <t>1146-Confectioners-Employees engaged with machinery-PUP</t>
  </si>
  <si>
    <t>1152-Cordial (Fruit) and Canned Fruit Mfgrs. -All other employees-If aerated waters are manufactured-PUP</t>
  </si>
  <si>
    <t>1156-Cotton Bales, loading and unloading into Railway Wagons, incl. delivery (where delivery undertaken by an Independent Contractor, the rate for "Carmen and Cartage Contractors" to apply)-PUP</t>
  </si>
  <si>
    <t>1159-Cotton Ginning and pressing Factories and Presses -Other Regions-PUP</t>
  </si>
  <si>
    <t>1161-Cotton Mills -All process incl. Mill Godowns. Note:  Weaving &amp; Printing of cloth by hand power-PUP</t>
  </si>
  <si>
    <t>1163-Cotton Waste Merchants -All employees-PUP</t>
  </si>
  <si>
    <t>1166-Crane Drivers --PUP</t>
  </si>
  <si>
    <t>1174-Die Cutters and/or Sinkers Incl. Engraving-PUP</t>
  </si>
  <si>
    <t>1189-Dyers, Dressers and Mercerisers --PUP</t>
  </si>
  <si>
    <t>1194-Electric Cables, Makers and suppliers of incl. Cablelaying, installation and Erection work - Shop or yard risk only incl. Carrying-PUP</t>
  </si>
  <si>
    <t>1195-Electric Cables, Makers and suppliers of incl. Cablelaying, installation and Erection work-All work away from shop or yard-PUP</t>
  </si>
  <si>
    <t>1197-Electric Lights and Telephone Wire Coverers - Electric Sign Makers -Erection-PUP</t>
  </si>
  <si>
    <t>1200-Electric Refrigerators and Air Conditioners Assembling, Installation Maintenance and Repairs -(b) Commercial purposes-PUP</t>
  </si>
  <si>
    <t>1201-Electrical Engineers (manufacturers) Makers of fittings and appartus incl. wireless, telephone and telegraph T.V. and Radio cum Recorder Manufacturers and Computer Companies manufacturing: - Batteries Accumulator and storage batteries makers and erectors-PUP</t>
  </si>
  <si>
    <t>1202-Electrical Engineers (manufacturers) Makers of fittings and appartus incl. wireless, telephone and telegraph T.V. and Radio cum Recorder Manufacturers' and Computer Companies manufacturing: - Dry Battery and portable electric and torch makers, button cell Mfgrs.-PUP</t>
  </si>
  <si>
    <t>1204-Electrical Engineers (manufacturers) Makers of fittings and appartus incl. wireless, telephone and telegraph T.V. and Radio cum Recorder Manufacturers and Computer Companies manufacturing: - Shop and yard risk only -a) Where any unit is handled exceeding 12.7 Kilograms in weight when completed for use-PUP</t>
  </si>
  <si>
    <t>1205-Electrical Engineers (manufacturers) Makers of fittings and appartus incl. wireless, telephone and telegraph T.V. and Radio cum Recorder Manufacturers and Computer Companies manufacturing: - Work away from Shop and yard-PUP</t>
  </si>
  <si>
    <t>1206-Electrical Engineers (not manufacturers) Installation and repair of plant, fittings and Appartus incl. wireless, telephone and telegraph:- Work on ships and underground in mines and quarries-PUP</t>
  </si>
  <si>
    <t>1208-Electrical Engineers (not manufacturers) Installation and repair of plant, fittings and Appartus incl. wireless, telephone and telegraph:-Work other buildings and roofs of railway station over 9 metres height or where any unit is handled exceeding 12.7 Kilogram in weight-PUP</t>
  </si>
  <si>
    <t>1209-Electricity -Light and/ or Power Supply-All employees inside and out.-PUP</t>
  </si>
  <si>
    <t>1213-Emery Cloth, Glass and sand Paper and cleaning Powder Mfgrs.--PUP</t>
  </si>
  <si>
    <t>1218-Engineers - Cranes -All work away from Shop or yard-PUP</t>
  </si>
  <si>
    <t>1228-Engineers -Bridge building -(ii)  Brick, stone, timber and concrete over 6 metres       in height from road or water level at low tide-PUP</t>
  </si>
  <si>
    <t>1231-Engineers not otherwise classified -Incl. work away from shop or  yard exceeding 9 mts high-PUP</t>
  </si>
  <si>
    <t>1251-Flour and Dal Mills-PUP</t>
  </si>
  <si>
    <t>1252-Forge Masters-PUP</t>
  </si>
  <si>
    <t>1276-Glass Mfgrs -Stained- Embossers, Gliders, Decorators and Glass Sign writers incl. Erection-PUP</t>
  </si>
  <si>
    <t>1296-Groundnut Decorticating -All employees-PUP</t>
  </si>
  <si>
    <t>1325-Import and Export Merchants -Sircars Superintending only loading and unloading of freight- All employees-PUP</t>
  </si>
  <si>
    <t>1326-India Rubber/ Rubber Factories-Gutta percha, vulcanite and India rubber goods, belting ebonite, ebonestos and water proof material Mfgrs.-PUP</t>
  </si>
  <si>
    <t>1328-India Rubber/ Rubber Factories-Tyre Mfgrs.-PUP</t>
  </si>
  <si>
    <t>1373-Machinery and Metal -Second-hand Machinery and scrap Metal Dealers incl. dismantling breaking up and demolition-PUP</t>
  </si>
  <si>
    <t>1382-Maker of - Motor Vehicle small parts (metal)-PUP</t>
  </si>
  <si>
    <t>1387-Marble and granite  Works, Dressing and polishing, not in connection with Quarries-PUP</t>
  </si>
  <si>
    <t>1407-Metal Workers -Workers in Zinc, not smelting or rolling -Where any work away from the shop or yard is done-PUP</t>
  </si>
  <si>
    <t>1417-Mines -Iron Ore-PUP</t>
  </si>
  <si>
    <t>1441-Oil Mills (not mineral oils) and Oilcake Mfgrs --PUP</t>
  </si>
  <si>
    <t>1451-Painters and Decorators where carried on as separate trade, not Builders - Excl. churches, chapals, cinemas, theaters, music halls, public halls, gtasometers towers, bridges, viaducts or blast furnaces, the painting, scraping or scaling of ships of any work in connection with the roofs of railway stations or railway platform awnings-PUP</t>
  </si>
  <si>
    <t>1456-Paper Mfgrs.-   Machine made-PUP</t>
  </si>
  <si>
    <t>1486-Plumber, Hotwater and Sanitary Engineers where carried on as separate Trade-Retail Shop risk-PUP</t>
  </si>
  <si>
    <t>1489-Porters (Station) for carrying passengers' luggage per Capita-PUP</t>
  </si>
  <si>
    <t>1509-Railway Coach and Wagon Works-PUP</t>
  </si>
  <si>
    <t>1510-Railway Construction and alteration-Excl. blasting and tunnelling-PUP</t>
  </si>
  <si>
    <t>1517-Railway up-keep and Running -Excl. Construction: Labour employed in loading and unloading wagons-PUP</t>
  </si>
  <si>
    <t>1520-Railway up-keep and Running -Excl. Construction:Light Railways for passengers only-PUP</t>
  </si>
  <si>
    <t>1525-Rice Millers -All other employees-PUP</t>
  </si>
  <si>
    <t>1530-Road Paving, Tarring and Road Making-PUP</t>
  </si>
  <si>
    <t>1543-Salvage Corps -Employees solely engaged upon premises of the crops in handling and treating salvaged goods-PUP</t>
  </si>
  <si>
    <t>1548-Saw Mill and Timber Merchants All Employees-PUP</t>
  </si>
  <si>
    <t>1559-Ship Builders, Iron, Steel and Concrete-Where barges hoppers, dredgers, tugs, yatches, passengers and cargo vessels pilot boats not exceeding 1000 tons gross measurement are built-PUP</t>
  </si>
  <si>
    <t>1572-Shop Risk - Class A -Art, bric-a-brac and curio and art needle works-PUP</t>
  </si>
  <si>
    <t>1661-Solvent Extraction Plants-Automatic-PUP</t>
  </si>
  <si>
    <t>1669-Steel or Iron Founders -Where the heaviest casting does not exceed 1 ton-PUP</t>
  </si>
  <si>
    <t>1670-Steel or Iron Founders -Where the heaviest casting exceeds 1 ton-PUP</t>
  </si>
  <si>
    <t>1671-Steel or Iron Rolling Mills --PUP</t>
  </si>
  <si>
    <t>1672-Steel or Iron Rolling Mills -Steel work (Steel Making )-PUP</t>
  </si>
  <si>
    <t>1675-Stone and dressing and stone breaking Yards -All other employees-PUP</t>
  </si>
  <si>
    <t>1677-Sugar Sweet mfgrs.-PUP</t>
  </si>
  <si>
    <t>1678-Sugar, Saccharine and Glucose Refiners and/or Mfgrs.incl. sugarcane crushing Factories engaged in preparing Jagree-PUP</t>
  </si>
  <si>
    <t>1686-Tea gardens-Domestic servants on Tea-Estate - Servants (excl. private motor car drivers, attendants and/or cleaners)whose names appear on the factory or garden register and whih are paid wholly by the estate as on page 28-PUP</t>
  </si>
  <si>
    <t>1687-Tea Packing Factories -All other employees-PUP</t>
  </si>
  <si>
    <t>1697-Tin &amp; Steel and Steel Metal Workers (incl. metal boxes and drums)-Where any  mechanically driven machinery is used-PUP</t>
  </si>
  <si>
    <t>1707-Tools and Machine Tools Mfgrs.-Machine tools other than wood-working machinery-PUP</t>
  </si>
  <si>
    <t>1708-Tools and Machine Tools Mfgrs.-Tools for use in machine tools-PUP</t>
  </si>
  <si>
    <t>1709-Tools and Machine Tools Mfgrs.-Wood-working machinery-PUP</t>
  </si>
  <si>
    <t>1731-Vener Mfgrs other than wood working machinists where carried on as separate trade - Wood-working machinists-PUP</t>
  </si>
  <si>
    <t>1734-Veterinary Colleges -Lecturers engaged indoors-PUP</t>
  </si>
  <si>
    <t>1771-Waterworks and Pumping Stations -Construction, alteration maintenance or repair work excl. Use of explosives-PUP</t>
  </si>
  <si>
    <t>1772-Waterworks and Pumping Stations -Construction, alteration maintenance or repair work incl. use of explosives-PUP</t>
  </si>
  <si>
    <t>1773-Waterworks and Pumping Stations -Excl. construction, alteration maintenance or repair work, the sinking or digging of wells and the use of Explosives-PUP</t>
  </si>
  <si>
    <t>1776-Welders at a height not exceeding 60 feet-PUP</t>
  </si>
  <si>
    <t>1777-Welders, where carried on as a separate trade-PUP</t>
  </si>
  <si>
    <t>1793-Wood Ware Mfgrs. and Turners -Wood-working machinists-PUP</t>
  </si>
  <si>
    <t>1800-Woolen and Worsted -Flock, Mungo and Shoddy-PUP</t>
  </si>
  <si>
    <t>1801-Woolen and Worsted -Spinning Weaving, Bleaching, Dyeing and all Processes other than Wool-combing incidental  to the trade carried on in or about the premises-PUP</t>
  </si>
  <si>
    <t>BALASORE</t>
  </si>
  <si>
    <t>ORISSABALASORE</t>
  </si>
  <si>
    <t>CHITTIVALASA</t>
  </si>
  <si>
    <t>ANDHRA PRADESHCHITTIVALASA</t>
  </si>
  <si>
    <t>GOMIA</t>
  </si>
  <si>
    <t>JHARKHANDGOMIA</t>
  </si>
  <si>
    <t>Insured Name*</t>
  </si>
  <si>
    <t>Cat E</t>
  </si>
  <si>
    <t xml:space="preserve"> </t>
  </si>
  <si>
    <t>Cat D</t>
  </si>
  <si>
    <t>Cat B</t>
  </si>
  <si>
    <t>Cat C</t>
  </si>
  <si>
    <t>Cat A</t>
  </si>
  <si>
    <t>Cat B2</t>
  </si>
  <si>
    <t>Cat B1</t>
  </si>
  <si>
    <t>Cat A+</t>
  </si>
  <si>
    <t>Category</t>
  </si>
  <si>
    <t>DHAMARA</t>
  </si>
  <si>
    <t>ORISSADHAMARA</t>
  </si>
  <si>
    <t>JUNAGAD</t>
  </si>
  <si>
    <t>GUJARATJUNAGAD</t>
  </si>
  <si>
    <t>KOSAMBA BAZAR</t>
  </si>
  <si>
    <t>GUJARATKOSAMBA BAZAR</t>
  </si>
  <si>
    <t>Expiring Policy Premium</t>
  </si>
  <si>
    <t>Loading or Discount</t>
  </si>
  <si>
    <t>Difference</t>
  </si>
  <si>
    <t>Applicable Discount</t>
  </si>
  <si>
    <t>Max Dis</t>
  </si>
  <si>
    <t>Max Load</t>
  </si>
  <si>
    <t>Trade Category code</t>
  </si>
  <si>
    <t>Revised Trade category</t>
  </si>
  <si>
    <t>New Trade category desc</t>
  </si>
  <si>
    <t>New Trade category code</t>
  </si>
  <si>
    <t>Location1 Weightage</t>
  </si>
  <si>
    <t>Location2 Weightage</t>
  </si>
  <si>
    <t>Location3 Weightage</t>
  </si>
  <si>
    <t>Old/New UIN</t>
  </si>
  <si>
    <t>Med Prem</t>
  </si>
  <si>
    <t>OD Prem</t>
  </si>
  <si>
    <t>Nearest Premium</t>
  </si>
  <si>
    <t>Claim Loading</t>
  </si>
  <si>
    <t>Revised Expiring Policy Premium</t>
  </si>
  <si>
    <t>Paid Claims</t>
  </si>
  <si>
    <t>Claim Years</t>
  </si>
  <si>
    <t>Claim PUP/NON PUP</t>
  </si>
  <si>
    <t>Open Claims</t>
  </si>
  <si>
    <t>Claims Outstanding Amount</t>
  </si>
  <si>
    <t>Paid Claim Amount</t>
  </si>
  <si>
    <t>=IF(SUM(E5:E26)&gt;0,"Yes","No")</t>
  </si>
  <si>
    <t>Referral Rules</t>
  </si>
  <si>
    <t>Decline Rules</t>
  </si>
  <si>
    <t>Total no of workers</t>
  </si>
  <si>
    <t>Status</t>
  </si>
  <si>
    <t>Reason</t>
  </si>
  <si>
    <t>Old &amp; Discount Cont</t>
  </si>
  <si>
    <t>Old &amp; Loading Contribution</t>
  </si>
  <si>
    <t>Do not touch</t>
  </si>
  <si>
    <t>RNV Cont</t>
  </si>
  <si>
    <t>Negative MedEx Per Person Limit</t>
  </si>
  <si>
    <t>Negative MedEx Aggregate Limit</t>
  </si>
  <si>
    <t>Negative OD Per Person Limit</t>
  </si>
  <si>
    <t>Negative OD Aggregate Limit</t>
  </si>
  <si>
    <t>Trade Category Description</t>
  </si>
  <si>
    <t>New Trade Category Code</t>
  </si>
  <si>
    <t>Cement Industry (Excluding Quarries)</t>
  </si>
  <si>
    <t>Ceramic Tile Manufacturing</t>
  </si>
  <si>
    <t>Civil Construction (excluding blasting and tunneling)</t>
  </si>
  <si>
    <t>Diaries and Milk Processing</t>
  </si>
  <si>
    <t>Distilleries / Breweries / Beverage and Aerated water Manufacturing</t>
  </si>
  <si>
    <t>Domestic Servants &amp; Cook</t>
  </si>
  <si>
    <t>Electrical Contractors (installation / erection works / electrical works, including air conditioning contracts and ducting, excluding transmission lines)</t>
  </si>
  <si>
    <t>Engineering Workshops</t>
  </si>
  <si>
    <t>Office Staff</t>
  </si>
  <si>
    <t>Food Processing (Including Frozen Foods)</t>
  </si>
  <si>
    <t>Carpenters / Furniture manufactring</t>
  </si>
  <si>
    <t>Weaving &amp; Textile</t>
  </si>
  <si>
    <t>Cotton yarn manufacturing</t>
  </si>
  <si>
    <t>Educational Institutions</t>
  </si>
  <si>
    <t>Hospitals</t>
  </si>
  <si>
    <t>Hotels-Indoor</t>
  </si>
  <si>
    <t>Iron and Steel Manufacturers</t>
  </si>
  <si>
    <t>Leather Industry (Including Tanning and Leather Goods Manufacturers.)</t>
  </si>
  <si>
    <t xml:space="preserve">Motor Garages, Showrooms of Motor Vehicles </t>
  </si>
  <si>
    <t>Tea Plantations</t>
  </si>
  <si>
    <t>Sr No</t>
  </si>
  <si>
    <t>Cl_Zone</t>
  </si>
  <si>
    <t>State</t>
  </si>
  <si>
    <t xml:space="preserve">City </t>
  </si>
  <si>
    <t>Pincode</t>
  </si>
  <si>
    <t>Trade_Category_Code</t>
  </si>
  <si>
    <t>Trade_Category</t>
  </si>
  <si>
    <t>MedEx Applicable_yes_No</t>
  </si>
  <si>
    <t xml:space="preserve">MedEx Per Person </t>
  </si>
  <si>
    <t>Medex_Aggregate</t>
  </si>
  <si>
    <t>Medex_Actuals</t>
  </si>
  <si>
    <t>OD Applicable_yes_No</t>
  </si>
  <si>
    <t>OD_Per _Person</t>
  </si>
  <si>
    <t>OD_Actuals</t>
  </si>
  <si>
    <t>OD_Aggregate</t>
  </si>
  <si>
    <t>Renewal Category Status</t>
  </si>
  <si>
    <t>Refer Reason</t>
  </si>
  <si>
    <t>Decline Reason</t>
  </si>
  <si>
    <t>All</t>
  </si>
  <si>
    <t>Refer</t>
  </si>
  <si>
    <t>MedEx Actuals is Yes for this Trade Catgeory. OD cover is opted for this Trade category. Refer to Underwriter</t>
  </si>
  <si>
    <t>MedEx Actuals is Yes for this Trade Catgeory.OD cover is opted for this Trade category.Refer to Underwriter</t>
  </si>
  <si>
    <t>OD cover is opted for this Trade category. Refer to Underwriter</t>
  </si>
  <si>
    <t>Trade Category Code &amp;Desc</t>
  </si>
  <si>
    <t>S.No</t>
  </si>
  <si>
    <t>PUP/Non-PUP</t>
  </si>
  <si>
    <t>MedEx Actuals is Yes for this Trade Catgeory. Refer to Underwriter</t>
  </si>
  <si>
    <t>New Business Premium</t>
  </si>
  <si>
    <t>V1.2</t>
  </si>
  <si>
    <t>Quote</t>
  </si>
  <si>
    <t>Added the Tag for passing the New Business Premium by calling the New Business Calci API</t>
  </si>
  <si>
    <t>-</t>
  </si>
  <si>
    <t>Prashanth</t>
  </si>
  <si>
    <t>Karthick</t>
  </si>
  <si>
    <t>Premium API</t>
  </si>
  <si>
    <t>V1.3</t>
  </si>
  <si>
    <t>Added the Tag for identifying which API to be called(New Business Premium Calci API or Renewal Business Premium API)</t>
  </si>
  <si>
    <t>Expiring Policy Premium after Loading</t>
  </si>
  <si>
    <t>Difference(%)</t>
  </si>
  <si>
    <t>Loading to be applied</t>
  </si>
  <si>
    <t>Loading Amount</t>
  </si>
  <si>
    <t>V1.4</t>
  </si>
  <si>
    <t>Quote and Worker Premium Calc</t>
  </si>
  <si>
    <t>Added the New Business Premium and Loading Logic</t>
  </si>
  <si>
    <t>IPDSV2CL-263</t>
  </si>
  <si>
    <t>V1.5</t>
  </si>
  <si>
    <t>Worker Premium Calc</t>
  </si>
  <si>
    <t>Removed the loading logic as loading masters maintaining at BE and also added tags for NB and Expiry Policy Premium and Loading</t>
  </si>
  <si>
    <t>Max Wages</t>
  </si>
  <si>
    <t>Trade Category NA</t>
  </si>
  <si>
    <t>V1.10</t>
  </si>
  <si>
    <t>Diff premium is converted from percentage to decimal</t>
  </si>
  <si>
    <t>Lakshmi Narasimha C</t>
  </si>
  <si>
    <t>No. of days in Year</t>
  </si>
  <si>
    <t>Renewal Policy Status</t>
  </si>
  <si>
    <t>Added decline rule old/new UIN</t>
  </si>
  <si>
    <t xml:space="preserve">No. of days </t>
  </si>
  <si>
    <t>Annualised Expiry Policy Premium</t>
  </si>
  <si>
    <t>Calculation</t>
  </si>
  <si>
    <t>V1.11</t>
  </si>
  <si>
    <t xml:space="preserve">Annualised the expiry policy premium </t>
  </si>
  <si>
    <t>Per Day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</si>
</sst>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 #,##0.00_ ;_ * \-#,##0.00_ ;_ * &quot;-&quot;??_ ;_ @_ "/>
    <numFmt numFmtId="164" formatCode="[$-14009]dd/mm/yyyy;@"/>
    <numFmt numFmtId="165" formatCode="0.000"/>
    <numFmt numFmtId="166" formatCode="#,##0_ ;\-#,##0\ "/>
    <numFmt numFmtId="167" formatCode="0.0%"/>
    <numFmt numFmtId="168" formatCode="0.00000"/>
    <numFmt numFmtId="169" formatCode="0.000000"/>
    <numFmt numFmtId="170" formatCode="_ * #,##0_ ;_ * \-#,##0_ ;_ * &quot;-&quot;??_ ;_ @_ "/>
    <numFmt numFmtId="171" formatCode="0.00000%"/>
    <numFmt numFmtId="172" formatCode="0.000%"/>
    <numFmt numFmtId="173" formatCode="0.000000%"/>
    <numFmt numFmtId="174" formatCode="0.0000000%"/>
    <numFmt numFmtId="175" formatCode="0.00000000%"/>
    <numFmt numFmtId="176" formatCode="0.0000"/>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i/>
      <sz val="11"/>
      <color theme="1"/>
      <name val="Calibri"/>
      <family val="2"/>
      <scheme val="minor"/>
    </font>
    <font>
      <b/>
      <sz val="11"/>
      <color rgb="FF000000"/>
      <name val="Calibri"/>
      <family val="2"/>
      <scheme val="minor"/>
    </font>
    <font>
      <sz val="11"/>
      <color rgb="FF000000"/>
      <name val="Calibri"/>
      <family val="2"/>
      <scheme val="minor"/>
    </font>
    <font>
      <b/>
      <i/>
      <sz val="12"/>
      <color theme="0"/>
      <name val="Calibri"/>
      <family val="2"/>
      <scheme val="minor"/>
    </font>
    <font>
      <sz val="11"/>
      <color theme="0"/>
      <name val="Calibri"/>
      <family val="2"/>
      <scheme val="minor"/>
    </font>
    <font>
      <sz val="8"/>
      <name val="Calibri"/>
      <family val="2"/>
      <scheme val="minor"/>
    </font>
    <font>
      <b/>
      <i/>
      <sz val="11"/>
      <color theme="0"/>
      <name val="Calibri"/>
      <family val="2"/>
      <scheme val="minor"/>
    </font>
    <font>
      <sz val="8"/>
      <color rgb="FF3D3C40"/>
      <name val="Open Sans"/>
      <family val="2"/>
    </font>
    <font>
      <b/>
      <sz val="10"/>
      <color indexed="64"/>
      <name val="Microsoft Sans Serif"/>
      <family val="2"/>
    </font>
    <font>
      <b/>
      <sz val="10"/>
      <color indexed="64"/>
      <name val="Arial"/>
      <family val="2"/>
    </font>
    <font>
      <sz val="10"/>
      <color indexed="64"/>
      <name val="Microsoft Sans Serif"/>
      <family val="2"/>
    </font>
    <font>
      <sz val="9"/>
      <color theme="1"/>
      <name val="Calibri"/>
      <family val="2"/>
      <scheme val="minor"/>
    </font>
    <font>
      <sz val="5"/>
      <color theme="1"/>
      <name val="Calibri"/>
      <family val="2"/>
      <scheme val="minor"/>
    </font>
    <font>
      <sz val="11"/>
      <color rgb="FFFF0000"/>
      <name val="Calibri"/>
      <family val="2"/>
      <scheme val="minor"/>
    </font>
    <font>
      <b/>
      <sz val="11"/>
      <color rgb="FFFF0000"/>
      <name val="Calibri"/>
      <family val="2"/>
      <scheme val="minor"/>
    </font>
    <font>
      <sz val="11"/>
      <color theme="4"/>
      <name val="Calibri"/>
      <family val="2"/>
      <scheme val="minor"/>
    </font>
    <font>
      <sz val="11"/>
      <color theme="7"/>
      <name val="Calibri"/>
      <family val="2"/>
      <scheme val="minor"/>
    </font>
    <font>
      <sz val="11"/>
      <name val="Calibri"/>
      <family val="2"/>
      <scheme val="minor"/>
    </font>
    <font>
      <b/>
      <sz val="10"/>
      <color theme="1"/>
      <name val="Calibri"/>
      <family val="2"/>
      <scheme val="minor"/>
    </font>
    <font>
      <b/>
      <sz val="9"/>
      <color theme="1"/>
      <name val="Calibri"/>
      <family val="2"/>
      <scheme val="minor"/>
    </font>
    <font>
      <sz val="10"/>
      <color indexed="64"/>
      <name val="Arial"/>
      <family val="2"/>
    </font>
    <font>
      <b/>
      <sz val="11"/>
      <name val="Calibri"/>
      <family val="2"/>
      <scheme val="minor"/>
    </font>
    <font>
      <u/>
      <sz val="11"/>
      <color theme="1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theme="4" tint="-0.499984740745262"/>
        <bgColor indexed="64"/>
      </patternFill>
    </fill>
    <fill>
      <patternFill patternType="solid">
        <fgColor theme="3" tint="-0.499984740745262"/>
        <bgColor indexed="64"/>
      </patternFill>
    </fill>
    <fill>
      <patternFill patternType="solid">
        <fgColor theme="2"/>
        <bgColor indexed="64"/>
      </patternFill>
    </fill>
    <fill>
      <patternFill patternType="solid">
        <fgColor rgb="FFD9D9D9"/>
        <bgColor indexed="64"/>
      </patternFill>
    </fill>
    <fill>
      <patternFill patternType="solid">
        <fgColor theme="0"/>
        <bgColor indexed="64"/>
      </patternFill>
    </fill>
    <fill>
      <patternFill patternType="solid">
        <fgColor rgb="FFFFFF00"/>
        <bgColor indexed="64"/>
      </patternFill>
    </fill>
    <fill>
      <patternFill patternType="solid">
        <fgColor theme="3"/>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9"/>
        <bgColor indexed="64"/>
      </patternFill>
    </fill>
    <fill>
      <patternFill patternType="solid">
        <fgColor theme="4"/>
        <bgColor indexed="64"/>
      </patternFill>
    </fill>
    <fill>
      <patternFill patternType="solid">
        <fgColor theme="4" tint="0.79998168889431442"/>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6">
    <xf numFmtId="164" fontId="0" fillId="0" borderId="0"/>
    <xf numFmtId="164" fontId="1" fillId="0" borderId="0"/>
    <xf numFmtId="9" fontId="1" fillId="0" borderId="0" applyFont="0" applyFill="0" applyBorder="0" applyAlignment="0" applyProtection="0"/>
    <xf numFmtId="43" fontId="1" fillId="0" borderId="0" applyFont="0" applyFill="0" applyBorder="0" applyAlignment="0" applyProtection="0"/>
    <xf numFmtId="43" fontId="24" fillId="0" borderId="0" applyFont="0" applyFill="0" applyBorder="0" applyAlignment="0" applyProtection="0"/>
    <xf numFmtId="164" fontId="26" fillId="0" borderId="0" applyNumberFormat="0" applyFill="0" applyBorder="0" applyAlignment="0" applyProtection="0"/>
  </cellStyleXfs>
  <cellXfs count="225">
    <xf numFmtId="164" fontId="0" fillId="0" borderId="0" xfId="0"/>
    <xf numFmtId="9" fontId="0" fillId="0" borderId="2" xfId="2" applyFont="1" applyBorder="1"/>
    <xf numFmtId="9" fontId="0" fillId="0" borderId="1" xfId="2" applyFont="1" applyBorder="1"/>
    <xf numFmtId="0" fontId="0" fillId="0" borderId="7" xfId="0" applyNumberFormat="1" applyBorder="1"/>
    <xf numFmtId="0" fontId="0" fillId="0" borderId="8" xfId="0" applyNumberFormat="1" applyBorder="1"/>
    <xf numFmtId="0" fontId="0" fillId="0" borderId="9" xfId="0" applyNumberFormat="1" applyBorder="1"/>
    <xf numFmtId="0" fontId="0" fillId="0" borderId="0" xfId="0" applyNumberFormat="1"/>
    <xf numFmtId="0" fontId="0" fillId="0" borderId="3" xfId="0" applyNumberFormat="1" applyBorder="1"/>
    <xf numFmtId="0" fontId="0" fillId="0" borderId="4" xfId="0" applyNumberFormat="1" applyBorder="1"/>
    <xf numFmtId="0" fontId="0" fillId="0" borderId="1" xfId="0" applyNumberFormat="1" applyBorder="1"/>
    <xf numFmtId="0" fontId="0" fillId="0" borderId="5" xfId="0" applyNumberFormat="1" applyBorder="1"/>
    <xf numFmtId="0" fontId="0" fillId="0" borderId="6" xfId="0" applyNumberFormat="1" applyBorder="1"/>
    <xf numFmtId="0" fontId="0" fillId="0" borderId="0" xfId="0" applyNumberFormat="1" applyAlignment="1">
      <alignment wrapText="1"/>
    </xf>
    <xf numFmtId="0" fontId="0" fillId="0" borderId="2" xfId="0" applyNumberFormat="1" applyBorder="1"/>
    <xf numFmtId="0" fontId="0" fillId="0" borderId="1" xfId="2" applyNumberFormat="1" applyFont="1" applyBorder="1"/>
    <xf numFmtId="0" fontId="3" fillId="7" borderId="0" xfId="0" applyNumberFormat="1" applyFont="1" applyFill="1" applyAlignment="1">
      <alignment horizontal="center"/>
    </xf>
    <xf numFmtId="0" fontId="4" fillId="0" borderId="2" xfId="0" applyNumberFormat="1" applyFont="1" applyBorder="1"/>
    <xf numFmtId="0" fontId="0" fillId="2" borderId="2" xfId="0" applyNumberFormat="1" applyFill="1" applyBorder="1"/>
    <xf numFmtId="0" fontId="0" fillId="7" borderId="2" xfId="0" applyNumberFormat="1" applyFill="1" applyBorder="1"/>
    <xf numFmtId="0" fontId="0" fillId="0" borderId="2" xfId="0" applyNumberFormat="1" applyBorder="1" applyAlignment="1">
      <alignment wrapText="1"/>
    </xf>
    <xf numFmtId="0" fontId="0" fillId="0" borderId="2" xfId="3" applyNumberFormat="1" applyFont="1" applyBorder="1"/>
    <xf numFmtId="0" fontId="0" fillId="0" borderId="0" xfId="2" applyNumberFormat="1" applyFont="1"/>
    <xf numFmtId="0" fontId="4" fillId="2" borderId="2" xfId="0" applyNumberFormat="1" applyFont="1" applyFill="1" applyBorder="1"/>
    <xf numFmtId="0" fontId="7" fillId="9" borderId="2" xfId="0" applyNumberFormat="1" applyFont="1" applyFill="1" applyBorder="1" applyAlignment="1">
      <alignment horizontal="center"/>
    </xf>
    <xf numFmtId="0" fontId="0" fillId="0" borderId="2" xfId="0" applyNumberFormat="1" applyBorder="1" applyAlignment="1">
      <alignment horizontal="center"/>
    </xf>
    <xf numFmtId="0" fontId="0" fillId="0" borderId="2" xfId="0" applyNumberFormat="1" applyBorder="1" applyAlignment="1">
      <alignment horizontal="center" vertical="center"/>
    </xf>
    <xf numFmtId="0" fontId="3" fillId="6" borderId="2" xfId="0" applyNumberFormat="1" applyFont="1" applyFill="1" applyBorder="1" applyAlignment="1">
      <alignment horizontal="center" vertical="center"/>
    </xf>
    <xf numFmtId="0" fontId="5" fillId="6" borderId="2" xfId="0" applyNumberFormat="1" applyFont="1" applyFill="1" applyBorder="1" applyAlignment="1">
      <alignment horizontal="center" vertical="center"/>
    </xf>
    <xf numFmtId="0" fontId="0" fillId="0" borderId="0" xfId="3" applyNumberFormat="1" applyFont="1" applyAlignment="1">
      <alignment horizontal="center"/>
    </xf>
    <xf numFmtId="0" fontId="5" fillId="6" borderId="2" xfId="0" applyNumberFormat="1" applyFont="1" applyFill="1" applyBorder="1" applyAlignment="1">
      <alignment vertical="center"/>
    </xf>
    <xf numFmtId="0" fontId="6" fillId="0" borderId="2" xfId="0" applyNumberFormat="1" applyFont="1" applyBorder="1" applyAlignment="1">
      <alignment horizontal="center" vertical="center"/>
    </xf>
    <xf numFmtId="9" fontId="0" fillId="0" borderId="2" xfId="2" applyFont="1" applyBorder="1" applyAlignment="1">
      <alignment horizontal="center" vertical="center"/>
    </xf>
    <xf numFmtId="0" fontId="0" fillId="0" borderId="2" xfId="3" applyNumberFormat="1" applyFont="1" applyBorder="1" applyAlignment="1">
      <alignment horizontal="center"/>
    </xf>
    <xf numFmtId="0" fontId="6" fillId="6" borderId="2" xfId="0" applyNumberFormat="1" applyFont="1" applyFill="1" applyBorder="1" applyAlignment="1">
      <alignment horizontal="center" vertical="center"/>
    </xf>
    <xf numFmtId="0" fontId="2" fillId="3" borderId="2" xfId="0" applyNumberFormat="1" applyFont="1" applyFill="1" applyBorder="1" applyAlignment="1">
      <alignment horizontal="center"/>
    </xf>
    <xf numFmtId="0" fontId="2" fillId="3" borderId="2" xfId="0" applyNumberFormat="1" applyFont="1" applyFill="1" applyBorder="1"/>
    <xf numFmtId="0" fontId="0" fillId="5" borderId="2" xfId="0" applyNumberFormat="1" applyFill="1" applyBorder="1"/>
    <xf numFmtId="0" fontId="0" fillId="5" borderId="2" xfId="0" quotePrefix="1" applyNumberFormat="1" applyFill="1" applyBorder="1"/>
    <xf numFmtId="0" fontId="8" fillId="0" borderId="0" xfId="0" applyNumberFormat="1" applyFont="1"/>
    <xf numFmtId="0" fontId="4" fillId="0" borderId="0" xfId="0" applyNumberFormat="1" applyFont="1"/>
    <xf numFmtId="164" fontId="2" fillId="3" borderId="0" xfId="1" applyFont="1" applyFill="1" applyAlignment="1">
      <alignment horizontal="center"/>
    </xf>
    <xf numFmtId="164" fontId="2" fillId="3" borderId="0" xfId="1" applyFont="1" applyFill="1" applyAlignment="1">
      <alignment horizontal="left"/>
    </xf>
    <xf numFmtId="164" fontId="1" fillId="0" borderId="0" xfId="1"/>
    <xf numFmtId="164" fontId="1" fillId="0" borderId="0" xfId="1" applyAlignment="1">
      <alignment horizontal="left"/>
    </xf>
    <xf numFmtId="164" fontId="0" fillId="0" borderId="0" xfId="0" applyAlignment="1">
      <alignment horizontal="left"/>
    </xf>
    <xf numFmtId="165" fontId="0" fillId="0" borderId="0" xfId="2" applyNumberFormat="1" applyFont="1"/>
    <xf numFmtId="1" fontId="0" fillId="0" borderId="2" xfId="0" applyNumberFormat="1" applyBorder="1"/>
    <xf numFmtId="164" fontId="0" fillId="0" borderId="2" xfId="0" applyBorder="1"/>
    <xf numFmtId="166" fontId="0" fillId="0" borderId="2" xfId="3" applyNumberFormat="1" applyFont="1" applyBorder="1" applyAlignment="1">
      <alignment horizontal="center"/>
    </xf>
    <xf numFmtId="0" fontId="10" fillId="9" borderId="2" xfId="0" applyNumberFormat="1" applyFont="1" applyFill="1" applyBorder="1" applyAlignment="1">
      <alignment horizontal="center"/>
    </xf>
    <xf numFmtId="9" fontId="0" fillId="0" borderId="2" xfId="0" applyNumberFormat="1" applyBorder="1"/>
    <xf numFmtId="9" fontId="0" fillId="0" borderId="0" xfId="0" applyNumberFormat="1"/>
    <xf numFmtId="0" fontId="0" fillId="0" borderId="0" xfId="2" applyNumberFormat="1" applyFont="1" applyBorder="1"/>
    <xf numFmtId="9" fontId="0" fillId="0" borderId="0" xfId="2" applyFont="1"/>
    <xf numFmtId="0" fontId="0" fillId="0" borderId="1" xfId="0" applyNumberFormat="1" applyBorder="1" applyAlignment="1">
      <alignment horizontal="left" vertical="center"/>
    </xf>
    <xf numFmtId="164" fontId="11" fillId="0" borderId="0" xfId="0" applyFont="1"/>
    <xf numFmtId="9" fontId="0" fillId="0" borderId="1" xfId="0" applyNumberFormat="1" applyBorder="1"/>
    <xf numFmtId="49" fontId="0" fillId="12" borderId="0" xfId="0" applyNumberFormat="1" applyFill="1"/>
    <xf numFmtId="49" fontId="0" fillId="10" borderId="0" xfId="0" applyNumberFormat="1" applyFill="1"/>
    <xf numFmtId="49" fontId="0" fillId="11" borderId="0" xfId="0" applyNumberFormat="1" applyFill="1"/>
    <xf numFmtId="49" fontId="0" fillId="13" borderId="0" xfId="0" applyNumberFormat="1" applyFill="1"/>
    <xf numFmtId="1" fontId="0" fillId="0" borderId="0" xfId="0" applyNumberFormat="1"/>
    <xf numFmtId="0" fontId="12" fillId="0" borderId="2" xfId="0" applyNumberFormat="1" applyFont="1" applyBorder="1"/>
    <xf numFmtId="164" fontId="13" fillId="0" borderId="2" xfId="0" applyFont="1" applyBorder="1"/>
    <xf numFmtId="49" fontId="14" fillId="8" borderId="2" xfId="0" applyNumberFormat="1" applyFont="1" applyFill="1" applyBorder="1"/>
    <xf numFmtId="49" fontId="14" fillId="0" borderId="2" xfId="0" applyNumberFormat="1" applyFont="1" applyBorder="1"/>
    <xf numFmtId="0" fontId="0" fillId="0" borderId="10" xfId="0" applyNumberFormat="1" applyBorder="1" applyAlignment="1">
      <alignment horizontal="right"/>
    </xf>
    <xf numFmtId="0" fontId="0" fillId="0" borderId="12" xfId="0" applyNumberFormat="1" applyBorder="1"/>
    <xf numFmtId="0" fontId="0" fillId="0" borderId="2" xfId="2" applyNumberFormat="1" applyFont="1" applyBorder="1"/>
    <xf numFmtId="0" fontId="16" fillId="7" borderId="0" xfId="0" applyNumberFormat="1" applyFont="1" applyFill="1" applyAlignment="1">
      <alignment horizontal="center"/>
    </xf>
    <xf numFmtId="0" fontId="16" fillId="0" borderId="0" xfId="0" applyNumberFormat="1" applyFont="1"/>
    <xf numFmtId="0" fontId="16" fillId="0" borderId="1" xfId="0" applyNumberFormat="1" applyFont="1" applyBorder="1"/>
    <xf numFmtId="2" fontId="0" fillId="0" borderId="0" xfId="0" applyNumberFormat="1"/>
    <xf numFmtId="0" fontId="0" fillId="8" borderId="2" xfId="0" applyNumberFormat="1" applyFill="1" applyBorder="1"/>
    <xf numFmtId="0" fontId="0" fillId="14" borderId="1" xfId="0" applyNumberFormat="1" applyFill="1" applyBorder="1"/>
    <xf numFmtId="0" fontId="0" fillId="14" borderId="2" xfId="0" applyNumberFormat="1" applyFill="1" applyBorder="1"/>
    <xf numFmtId="0" fontId="17" fillId="0" borderId="0" xfId="0" applyNumberFormat="1" applyFont="1"/>
    <xf numFmtId="0" fontId="0" fillId="8" borderId="0" xfId="0" applyNumberFormat="1" applyFill="1"/>
    <xf numFmtId="0" fontId="19" fillId="0" borderId="0" xfId="0" applyNumberFormat="1" applyFont="1"/>
    <xf numFmtId="0" fontId="20" fillId="0" borderId="0" xfId="0" applyNumberFormat="1" applyFont="1"/>
    <xf numFmtId="0" fontId="21" fillId="0" borderId="0" xfId="0" applyNumberFormat="1" applyFont="1"/>
    <xf numFmtId="15" fontId="0" fillId="0" borderId="2" xfId="0" applyNumberFormat="1" applyBorder="1"/>
    <xf numFmtId="164" fontId="2" fillId="3" borderId="2" xfId="1" applyFont="1" applyFill="1" applyBorder="1" applyAlignment="1">
      <alignment horizontal="center"/>
    </xf>
    <xf numFmtId="2" fontId="0" fillId="0" borderId="2" xfId="3" applyNumberFormat="1" applyFont="1" applyBorder="1"/>
    <xf numFmtId="165" fontId="0" fillId="0" borderId="0" xfId="0" applyNumberFormat="1"/>
    <xf numFmtId="2" fontId="0" fillId="0" borderId="2" xfId="0" applyNumberFormat="1" applyBorder="1"/>
    <xf numFmtId="164" fontId="0" fillId="5" borderId="2" xfId="0" applyFill="1" applyBorder="1"/>
    <xf numFmtId="164" fontId="0" fillId="10" borderId="2" xfId="0" applyFill="1" applyBorder="1"/>
    <xf numFmtId="9" fontId="0" fillId="10" borderId="2" xfId="0" applyNumberFormat="1" applyFill="1" applyBorder="1"/>
    <xf numFmtId="9" fontId="0" fillId="0" borderId="2" xfId="0" applyNumberFormat="1" applyBorder="1" applyProtection="1">
      <protection hidden="1"/>
    </xf>
    <xf numFmtId="165" fontId="0" fillId="0" borderId="2" xfId="0" applyNumberFormat="1" applyBorder="1"/>
    <xf numFmtId="168" fontId="0" fillId="0" borderId="0" xfId="0" applyNumberFormat="1"/>
    <xf numFmtId="169" fontId="0" fillId="0" borderId="0" xfId="0" applyNumberFormat="1"/>
    <xf numFmtId="10" fontId="0" fillId="0" borderId="0" xfId="0" applyNumberFormat="1"/>
    <xf numFmtId="10" fontId="0" fillId="0" borderId="0" xfId="2" applyNumberFormat="1" applyFont="1"/>
    <xf numFmtId="170" fontId="0" fillId="0" borderId="2" xfId="3" applyNumberFormat="1" applyFont="1" applyBorder="1"/>
    <xf numFmtId="170" fontId="0" fillId="0" borderId="2" xfId="0" applyNumberFormat="1" applyBorder="1"/>
    <xf numFmtId="167" fontId="0" fillId="0" borderId="2" xfId="0" applyNumberFormat="1" applyBorder="1"/>
    <xf numFmtId="167" fontId="0" fillId="0" borderId="2" xfId="2" applyNumberFormat="1" applyFont="1" applyBorder="1"/>
    <xf numFmtId="10" fontId="0" fillId="0" borderId="1" xfId="0" applyNumberFormat="1" applyBorder="1"/>
    <xf numFmtId="167" fontId="15" fillId="0" borderId="1" xfId="2" applyNumberFormat="1" applyFont="1" applyBorder="1"/>
    <xf numFmtId="10" fontId="0" fillId="0" borderId="8" xfId="0" applyNumberFormat="1" applyBorder="1"/>
    <xf numFmtId="170" fontId="3" fillId="5" borderId="2" xfId="3" applyNumberFormat="1" applyFont="1" applyFill="1" applyBorder="1" applyAlignment="1">
      <alignment horizontal="center" vertical="center" wrapText="1"/>
    </xf>
    <xf numFmtId="164" fontId="3" fillId="5" borderId="2" xfId="0" applyFont="1" applyFill="1" applyBorder="1" applyAlignment="1">
      <alignment wrapText="1"/>
    </xf>
    <xf numFmtId="170" fontId="18" fillId="5" borderId="2" xfId="3" applyNumberFormat="1" applyFont="1" applyFill="1" applyBorder="1" applyAlignment="1">
      <alignment horizontal="center" vertical="center" wrapText="1"/>
    </xf>
    <xf numFmtId="0" fontId="18" fillId="0" borderId="0" xfId="0" applyNumberFormat="1" applyFont="1"/>
    <xf numFmtId="0" fontId="21" fillId="7" borderId="0" xfId="0" applyNumberFormat="1" applyFont="1" applyFill="1"/>
    <xf numFmtId="0" fontId="21" fillId="0" borderId="1" xfId="0" applyNumberFormat="1" applyFont="1" applyBorder="1"/>
    <xf numFmtId="0" fontId="21" fillId="2" borderId="2" xfId="0" applyNumberFormat="1" applyFont="1" applyFill="1" applyBorder="1"/>
    <xf numFmtId="0" fontId="17" fillId="0" borderId="2" xfId="0" applyNumberFormat="1" applyFont="1" applyBorder="1"/>
    <xf numFmtId="0" fontId="19" fillId="0" borderId="2" xfId="0" applyNumberFormat="1" applyFont="1" applyBorder="1"/>
    <xf numFmtId="169" fontId="0" fillId="0" borderId="0" xfId="2" applyNumberFormat="1" applyFont="1" applyBorder="1"/>
    <xf numFmtId="0" fontId="0" fillId="5" borderId="0" xfId="0" applyNumberFormat="1" applyFill="1"/>
    <xf numFmtId="0" fontId="0" fillId="0" borderId="0" xfId="0" applyNumberFormat="1" applyAlignment="1">
      <alignment horizontal="left" vertical="top"/>
    </xf>
    <xf numFmtId="0" fontId="26" fillId="0" borderId="1" xfId="5" applyNumberFormat="1" applyBorder="1"/>
    <xf numFmtId="0" fontId="8" fillId="7" borderId="0" xfId="0" applyNumberFormat="1" applyFont="1" applyFill="1"/>
    <xf numFmtId="0" fontId="0" fillId="0" borderId="0" xfId="0" applyNumberFormat="1" applyAlignment="1">
      <alignment horizontal="center"/>
    </xf>
    <xf numFmtId="2" fontId="0" fillId="0" borderId="0" xfId="0" applyNumberFormat="1" applyAlignment="1">
      <alignment horizontal="center"/>
    </xf>
    <xf numFmtId="0" fontId="3" fillId="0" borderId="2" xfId="0" applyNumberFormat="1" applyFont="1" applyBorder="1"/>
    <xf numFmtId="169" fontId="0" fillId="0" borderId="1" xfId="0" applyNumberFormat="1" applyBorder="1"/>
    <xf numFmtId="171" fontId="0" fillId="0" borderId="0" xfId="0" applyNumberFormat="1" applyAlignment="1">
      <alignment horizontal="center"/>
    </xf>
    <xf numFmtId="0" fontId="0" fillId="7" borderId="0" xfId="0" applyNumberFormat="1" applyFill="1" applyAlignment="1">
      <alignment horizontal="center"/>
    </xf>
    <xf numFmtId="1" fontId="0" fillId="0" borderId="0" xfId="0" applyNumberFormat="1" applyAlignment="1">
      <alignment horizontal="center"/>
    </xf>
    <xf numFmtId="0" fontId="3" fillId="7" borderId="2" xfId="0" applyNumberFormat="1" applyFont="1" applyFill="1" applyBorder="1"/>
    <xf numFmtId="0" fontId="3" fillId="0" borderId="0" xfId="0" applyNumberFormat="1" applyFont="1"/>
    <xf numFmtId="0" fontId="2" fillId="15" borderId="2" xfId="0" applyNumberFormat="1" applyFont="1" applyFill="1" applyBorder="1" applyAlignment="1">
      <alignment horizontal="center"/>
    </xf>
    <xf numFmtId="0" fontId="2" fillId="15" borderId="4" xfId="0" applyNumberFormat="1" applyFont="1" applyFill="1" applyBorder="1" applyAlignment="1">
      <alignment horizontal="center"/>
    </xf>
    <xf numFmtId="0" fontId="0" fillId="0" borderId="2" xfId="0" applyNumberFormat="1" applyBorder="1" applyAlignment="1">
      <alignment horizontal="right"/>
    </xf>
    <xf numFmtId="0" fontId="3" fillId="0" borderId="0" xfId="0" applyNumberFormat="1" applyFont="1" applyAlignment="1">
      <alignment wrapText="1"/>
    </xf>
    <xf numFmtId="0" fontId="3" fillId="2" borderId="2" xfId="0" applyNumberFormat="1" applyFont="1" applyFill="1" applyBorder="1"/>
    <xf numFmtId="1" fontId="0" fillId="0" borderId="2" xfId="3" applyNumberFormat="1" applyFont="1" applyBorder="1"/>
    <xf numFmtId="172" fontId="0" fillId="0" borderId="0" xfId="2" applyNumberFormat="1" applyFont="1" applyBorder="1"/>
    <xf numFmtId="1" fontId="0" fillId="0" borderId="0" xfId="0" applyNumberFormat="1" applyAlignment="1">
      <alignment horizontal="left"/>
    </xf>
    <xf numFmtId="2" fontId="0" fillId="7" borderId="2" xfId="0" applyNumberFormat="1" applyFill="1" applyBorder="1"/>
    <xf numFmtId="0" fontId="0" fillId="0" borderId="2" xfId="2" applyNumberFormat="1" applyFont="1" applyBorder="1" applyAlignment="1">
      <alignment horizontal="center" vertical="center"/>
    </xf>
    <xf numFmtId="164" fontId="3" fillId="0" borderId="2" xfId="0" applyFont="1" applyBorder="1"/>
    <xf numFmtId="2" fontId="0" fillId="0" borderId="2" xfId="2" applyNumberFormat="1" applyFont="1" applyBorder="1" applyAlignment="1">
      <alignment horizontal="center" vertical="center"/>
    </xf>
    <xf numFmtId="0" fontId="3" fillId="0" borderId="2" xfId="0" applyNumberFormat="1" applyFont="1" applyBorder="1" applyAlignment="1">
      <alignment horizontal="center"/>
    </xf>
    <xf numFmtId="0" fontId="0" fillId="0" borderId="2" xfId="0" applyNumberFormat="1" applyBorder="1" applyAlignment="1">
      <alignment horizontal="left"/>
    </xf>
    <xf numFmtId="9" fontId="0" fillId="0" borderId="2" xfId="2" quotePrefix="1" applyFont="1" applyBorder="1"/>
    <xf numFmtId="9" fontId="0" fillId="0" borderId="0" xfId="0" applyNumberFormat="1" applyAlignment="1">
      <alignment horizontal="center"/>
    </xf>
    <xf numFmtId="0" fontId="0" fillId="7" borderId="0" xfId="0" applyNumberFormat="1" applyFill="1"/>
    <xf numFmtId="2" fontId="3" fillId="0" borderId="2" xfId="0" applyNumberFormat="1" applyFont="1" applyBorder="1" applyAlignment="1">
      <alignment horizontal="center"/>
    </xf>
    <xf numFmtId="2" fontId="0" fillId="0" borderId="0" xfId="0" quotePrefix="1" applyNumberFormat="1"/>
    <xf numFmtId="2" fontId="3" fillId="0" borderId="2" xfId="0" applyNumberFormat="1" applyFont="1" applyBorder="1"/>
    <xf numFmtId="2" fontId="0" fillId="0" borderId="2" xfId="0" quotePrefix="1" applyNumberFormat="1" applyBorder="1"/>
    <xf numFmtId="1" fontId="0" fillId="0" borderId="2" xfId="0" quotePrefix="1" applyNumberFormat="1" applyBorder="1"/>
    <xf numFmtId="164" fontId="0" fillId="7" borderId="0" xfId="0" applyFill="1"/>
    <xf numFmtId="0" fontId="2" fillId="15" borderId="2" xfId="0" applyNumberFormat="1" applyFont="1" applyFill="1" applyBorder="1"/>
    <xf numFmtId="0" fontId="0" fillId="0" borderId="13" xfId="0" applyNumberFormat="1" applyBorder="1" applyAlignment="1">
      <alignment wrapText="1"/>
    </xf>
    <xf numFmtId="49" fontId="0" fillId="0" borderId="0" xfId="0" applyNumberFormat="1"/>
    <xf numFmtId="49" fontId="0" fillId="0" borderId="1" xfId="0" applyNumberFormat="1" applyBorder="1" applyAlignment="1">
      <alignment vertical="center"/>
    </xf>
    <xf numFmtId="0" fontId="0" fillId="10" borderId="2" xfId="0" applyNumberFormat="1" applyFill="1" applyBorder="1"/>
    <xf numFmtId="0" fontId="0" fillId="0" borderId="2" xfId="0" quotePrefix="1" applyNumberFormat="1" applyBorder="1" applyAlignment="1">
      <alignment horizontal="center" vertical="center"/>
    </xf>
    <xf numFmtId="0" fontId="0" fillId="0" borderId="10" xfId="0" applyNumberFormat="1" applyBorder="1"/>
    <xf numFmtId="0" fontId="0" fillId="0" borderId="0" xfId="0" applyNumberFormat="1" applyAlignment="1">
      <alignment horizontal="center" vertical="center"/>
    </xf>
    <xf numFmtId="164" fontId="0" fillId="8" borderId="2" xfId="0" applyFill="1" applyBorder="1"/>
    <xf numFmtId="164" fontId="3" fillId="8" borderId="2" xfId="0" applyFont="1" applyFill="1" applyBorder="1"/>
    <xf numFmtId="1" fontId="0" fillId="8" borderId="2" xfId="0" applyNumberFormat="1" applyFill="1" applyBorder="1"/>
    <xf numFmtId="164" fontId="3" fillId="15" borderId="0" xfId="0" applyFont="1" applyFill="1"/>
    <xf numFmtId="164" fontId="0" fillId="0" borderId="0" xfId="0" quotePrefix="1"/>
    <xf numFmtId="164" fontId="3" fillId="16" borderId="2" xfId="0" applyFont="1" applyFill="1" applyBorder="1" applyAlignment="1">
      <alignment horizontal="center" vertical="center"/>
    </xf>
    <xf numFmtId="0" fontId="7" fillId="9" borderId="2" xfId="0" applyNumberFormat="1" applyFont="1" applyFill="1" applyBorder="1" applyAlignment="1">
      <alignment horizontal="center" vertical="center"/>
    </xf>
    <xf numFmtId="164" fontId="0" fillId="0" borderId="2" xfId="0" applyBorder="1" applyAlignment="1">
      <alignment horizontal="center"/>
    </xf>
    <xf numFmtId="0" fontId="3" fillId="16" borderId="2" xfId="0" applyNumberFormat="1" applyFont="1" applyFill="1" applyBorder="1" applyAlignment="1">
      <alignment horizontal="center" vertical="center"/>
    </xf>
    <xf numFmtId="164" fontId="0" fillId="0" borderId="2" xfId="0" quotePrefix="1" applyBorder="1"/>
    <xf numFmtId="164" fontId="3" fillId="5" borderId="2" xfId="0" applyFont="1" applyFill="1" applyBorder="1"/>
    <xf numFmtId="0" fontId="21" fillId="0" borderId="0" xfId="0" quotePrefix="1" applyNumberFormat="1" applyFont="1"/>
    <xf numFmtId="0" fontId="0" fillId="0" borderId="0" xfId="0" quotePrefix="1" applyNumberFormat="1"/>
    <xf numFmtId="0" fontId="7" fillId="7" borderId="0" xfId="0" applyNumberFormat="1" applyFont="1" applyFill="1" applyAlignment="1">
      <alignment horizontal="center"/>
    </xf>
    <xf numFmtId="0" fontId="3" fillId="7" borderId="0" xfId="0" applyNumberFormat="1" applyFont="1" applyFill="1"/>
    <xf numFmtId="2" fontId="0" fillId="8" borderId="2" xfId="0" applyNumberFormat="1" applyFill="1" applyBorder="1"/>
    <xf numFmtId="164" fontId="0" fillId="8" borderId="3" xfId="0" applyFill="1" applyBorder="1"/>
    <xf numFmtId="1" fontId="0" fillId="8" borderId="2" xfId="0" applyNumberFormat="1" applyFill="1" applyBorder="1" applyAlignment="1">
      <alignment horizontal="left"/>
    </xf>
    <xf numFmtId="9" fontId="0" fillId="8" borderId="2" xfId="0" applyNumberFormat="1" applyFill="1" applyBorder="1" applyAlignment="1">
      <alignment horizontal="left"/>
    </xf>
    <xf numFmtId="164" fontId="0" fillId="8" borderId="2" xfId="0" quotePrefix="1" applyFill="1" applyBorder="1"/>
    <xf numFmtId="173" fontId="0" fillId="0" borderId="2" xfId="2" applyNumberFormat="1" applyFont="1" applyBorder="1"/>
    <xf numFmtId="174" fontId="0" fillId="0" borderId="2" xfId="2" applyNumberFormat="1" applyFont="1" applyBorder="1"/>
    <xf numFmtId="175" fontId="0" fillId="0" borderId="2" xfId="2" applyNumberFormat="1" applyFont="1" applyBorder="1"/>
    <xf numFmtId="0" fontId="0" fillId="8" borderId="2" xfId="0" applyNumberFormat="1" applyFill="1" applyBorder="1" applyAlignment="1">
      <alignment horizontal="right"/>
    </xf>
    <xf numFmtId="1" fontId="0" fillId="8" borderId="2" xfId="0" applyNumberFormat="1" applyFill="1" applyBorder="1" applyAlignment="1">
      <alignment horizontal="center" vertical="center"/>
    </xf>
    <xf numFmtId="9" fontId="0" fillId="0" borderId="2" xfId="0" applyNumberFormat="1" applyBorder="1" applyAlignment="1">
      <alignment horizontal="center" vertical="top"/>
    </xf>
    <xf numFmtId="1" fontId="3" fillId="2" borderId="2" xfId="0" applyNumberFormat="1" applyFont="1" applyFill="1" applyBorder="1"/>
    <xf numFmtId="164" fontId="3" fillId="0" borderId="0" xfId="0" applyFont="1" applyAlignment="1">
      <alignment horizontal="center"/>
    </xf>
    <xf numFmtId="9" fontId="0" fillId="0" borderId="0" xfId="0" applyNumberFormat="1" applyAlignment="1">
      <alignment horizontal="center" vertical="top"/>
    </xf>
    <xf numFmtId="49" fontId="0" fillId="0" borderId="0" xfId="0" applyNumberFormat="1" applyAlignment="1">
      <alignment horizontal="center"/>
    </xf>
    <xf numFmtId="0" fontId="0" fillId="7" borderId="2" xfId="0" applyNumberFormat="1" applyFill="1" applyBorder="1" applyAlignment="1">
      <alignment horizontal="right"/>
    </xf>
    <xf numFmtId="176" fontId="0" fillId="0" borderId="1" xfId="2" applyNumberFormat="1" applyFont="1" applyBorder="1"/>
    <xf numFmtId="0" fontId="0" fillId="0" borderId="2" xfId="0" quotePrefix="1" applyNumberFormat="1" applyBorder="1"/>
    <xf numFmtId="0" fontId="0" fillId="7" borderId="4" xfId="0" applyNumberFormat="1" applyFill="1" applyBorder="1"/>
    <xf numFmtId="0" fontId="0" fillId="0" borderId="0" xfId="0" quotePrefix="1" applyNumberFormat="1" applyAlignment="1">
      <alignment horizontal="left"/>
    </xf>
    <xf numFmtId="14" fontId="0" fillId="0" borderId="2" xfId="0" applyNumberFormat="1" applyBorder="1"/>
    <xf numFmtId="0" fontId="0" fillId="0" borderId="2" xfId="0" applyNumberFormat="1" applyBorder="1" applyAlignment="1">
      <alignment vertical="center"/>
    </xf>
    <xf numFmtId="10" fontId="0" fillId="0" borderId="2" xfId="0" applyNumberFormat="1" applyBorder="1" applyAlignment="1">
      <alignment horizontal="center"/>
    </xf>
    <xf numFmtId="2" fontId="0" fillId="0" borderId="2" xfId="0" applyNumberFormat="1" applyBorder="1" applyAlignment="1">
      <alignment horizontal="center"/>
    </xf>
    <xf numFmtId="0" fontId="22" fillId="0" borderId="0" xfId="0" applyNumberFormat="1" applyFont="1" applyAlignment="1">
      <alignment horizontal="center" wrapText="1"/>
    </xf>
    <xf numFmtId="0" fontId="23" fillId="0" borderId="0" xfId="0" applyNumberFormat="1" applyFont="1" applyAlignment="1">
      <alignment horizontal="center" wrapText="1"/>
    </xf>
    <xf numFmtId="0" fontId="3" fillId="0" borderId="0" xfId="0" applyNumberFormat="1" applyFont="1" applyAlignment="1">
      <alignment horizontal="center" wrapText="1"/>
    </xf>
    <xf numFmtId="0" fontId="3" fillId="2" borderId="2" xfId="0" applyNumberFormat="1" applyFont="1" applyFill="1" applyBorder="1" applyAlignment="1">
      <alignment horizontal="center"/>
    </xf>
    <xf numFmtId="0" fontId="25" fillId="2" borderId="2" xfId="0" applyNumberFormat="1" applyFont="1" applyFill="1" applyBorder="1" applyAlignment="1">
      <alignment horizontal="center"/>
    </xf>
    <xf numFmtId="0" fontId="3" fillId="0" borderId="0" xfId="0" applyNumberFormat="1" applyFont="1" applyAlignment="1">
      <alignment horizontal="left"/>
    </xf>
    <xf numFmtId="0" fontId="4" fillId="0" borderId="2" xfId="0" applyNumberFormat="1" applyFont="1" applyBorder="1" applyAlignment="1">
      <alignment horizontal="center"/>
    </xf>
    <xf numFmtId="0" fontId="4" fillId="0" borderId="0" xfId="0" applyNumberFormat="1" applyFont="1" applyAlignment="1">
      <alignment horizontal="center"/>
    </xf>
    <xf numFmtId="0" fontId="18" fillId="2" borderId="2" xfId="0" applyNumberFormat="1" applyFont="1" applyFill="1" applyBorder="1" applyAlignment="1">
      <alignment horizontal="center"/>
    </xf>
    <xf numFmtId="0" fontId="18" fillId="2" borderId="10" xfId="0" applyNumberFormat="1" applyFont="1" applyFill="1" applyBorder="1" applyAlignment="1">
      <alignment horizontal="center"/>
    </xf>
    <xf numFmtId="0" fontId="18" fillId="2" borderId="11" xfId="0" applyNumberFormat="1" applyFont="1" applyFill="1" applyBorder="1" applyAlignment="1">
      <alignment horizontal="center"/>
    </xf>
    <xf numFmtId="0" fontId="18" fillId="2" borderId="12" xfId="0" applyNumberFormat="1" applyFont="1" applyFill="1" applyBorder="1" applyAlignment="1">
      <alignment horizontal="center"/>
    </xf>
    <xf numFmtId="164" fontId="3" fillId="0" borderId="0" xfId="0" applyFont="1" applyAlignment="1">
      <alignment horizontal="center"/>
    </xf>
    <xf numFmtId="0" fontId="7" fillId="9" borderId="10" xfId="0" applyNumberFormat="1" applyFont="1" applyFill="1" applyBorder="1" applyAlignment="1">
      <alignment horizontal="center" vertical="center"/>
    </xf>
    <xf numFmtId="0" fontId="7" fillId="9" borderId="12" xfId="0" applyNumberFormat="1" applyFont="1" applyFill="1" applyBorder="1" applyAlignment="1">
      <alignment horizontal="center" vertical="center"/>
    </xf>
    <xf numFmtId="0" fontId="0" fillId="0" borderId="2" xfId="0" applyNumberFormat="1" applyBorder="1" applyAlignment="1">
      <alignment vertical="center" wrapText="1"/>
    </xf>
    <xf numFmtId="0" fontId="2" fillId="4" borderId="2" xfId="0" applyNumberFormat="1" applyFont="1" applyFill="1" applyBorder="1" applyAlignment="1">
      <alignment horizontal="center"/>
    </xf>
    <xf numFmtId="0" fontId="0" fillId="5" borderId="2" xfId="0" applyNumberFormat="1" applyFill="1" applyBorder="1" applyAlignment="1">
      <alignment vertical="center" wrapText="1"/>
    </xf>
    <xf numFmtId="164" fontId="0" fillId="10" borderId="13" xfId="0" applyFill="1" applyBorder="1" applyAlignment="1">
      <alignment vertical="center" wrapText="1"/>
    </xf>
    <xf numFmtId="164" fontId="0" fillId="10" borderId="14" xfId="0" applyFill="1" applyBorder="1" applyAlignment="1">
      <alignment vertical="center" wrapText="1"/>
    </xf>
    <xf numFmtId="0" fontId="0" fillId="5" borderId="10" xfId="0" applyNumberFormat="1" applyFill="1" applyBorder="1" applyAlignment="1">
      <alignment horizontal="left"/>
    </xf>
    <xf numFmtId="0" fontId="0" fillId="5" borderId="12" xfId="0" applyNumberFormat="1" applyFill="1" applyBorder="1" applyAlignment="1">
      <alignment horizontal="left"/>
    </xf>
    <xf numFmtId="164" fontId="0" fillId="5" borderId="13" xfId="0" applyFill="1" applyBorder="1" applyAlignment="1">
      <alignment vertical="center" wrapText="1"/>
    </xf>
    <xf numFmtId="164" fontId="0" fillId="5" borderId="14" xfId="0" applyFill="1" applyBorder="1" applyAlignment="1">
      <alignment vertical="center" wrapText="1"/>
    </xf>
    <xf numFmtId="164" fontId="0" fillId="5" borderId="15" xfId="0" applyFill="1" applyBorder="1" applyAlignment="1">
      <alignment vertical="center" wrapText="1"/>
    </xf>
    <xf numFmtId="164" fontId="0" fillId="0" borderId="13" xfId="0" applyBorder="1" applyAlignment="1" applyProtection="1">
      <alignment vertical="top" wrapText="1"/>
      <protection hidden="1"/>
    </xf>
    <xf numFmtId="164" fontId="0" fillId="0" borderId="14" xfId="0" applyBorder="1" applyAlignment="1" applyProtection="1">
      <alignment vertical="top" wrapText="1"/>
      <protection hidden="1"/>
    </xf>
    <xf numFmtId="0" fontId="0" fillId="0" borderId="0" xfId="3" applyNumberFormat="1" applyFont="1" applyAlignment="1">
      <alignment horizontal="center"/>
    </xf>
    <xf numFmtId="0" fontId="5" fillId="6" borderId="2" xfId="0" applyNumberFormat="1" applyFont="1" applyFill="1" applyBorder="1" applyAlignment="1">
      <alignment horizontal="center" vertical="center"/>
    </xf>
    <xf numFmtId="0" fontId="0" fillId="0" borderId="2" xfId="3" applyNumberFormat="1" applyFont="1" applyBorder="1" applyAlignment="1">
      <alignment horizontal="center"/>
    </xf>
  </cellXfs>
  <cellStyles count="6">
    <cellStyle name="Comma" xfId="3" builtinId="3"/>
    <cellStyle name="Comma 5" xfId="4" xr:uid="{0E7136F4-3509-43CB-989D-29D1EF984A93}"/>
    <cellStyle name="Hyperlink" xfId="5" builtinId="8"/>
    <cellStyle name="Normal" xfId="0" builtinId="0"/>
    <cellStyle name="Normal 6" xfId="1" xr:uid="{00000000-0005-0000-0000-000002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T412"/>
  <sheetViews>
    <sheetView showGridLines="0" tabSelected="1" topLeftCell="B26" zoomScale="70" zoomScaleNormal="70" workbookViewId="0">
      <selection activeCell="K35" sqref="K35"/>
    </sheetView>
  </sheetViews>
  <sheetFormatPr defaultRowHeight="14.4" x14ac:dyDescent="0.3"/>
  <cols>
    <col min="1" max="1" width="8.88671875" style="6"/>
    <col min="2" max="2" width="17.44140625" style="6" customWidth="1"/>
    <col min="3" max="3" width="23.21875" style="6" customWidth="1"/>
    <col min="4" max="4" width="70.77734375" style="6" bestFit="1" customWidth="1"/>
    <col min="5" max="5" width="26.33203125" style="6" bestFit="1" customWidth="1"/>
    <col min="6" max="6" width="22.88671875" style="6" customWidth="1"/>
    <col min="7" max="7" width="65.88671875" style="6" bestFit="1" customWidth="1"/>
    <col min="8" max="8" width="18.77734375" style="6" customWidth="1"/>
    <col min="9" max="9" width="20" style="6" bestFit="1" customWidth="1"/>
    <col min="10" max="10" width="24.33203125" style="6" bestFit="1" customWidth="1"/>
    <col min="11" max="11" width="8.88671875" style="6"/>
    <col min="12" max="12" width="11.88671875" style="6" bestFit="1" customWidth="1"/>
    <col min="13" max="16" width="8.88671875" style="6"/>
    <col min="17" max="17" width="15.6640625" style="6" bestFit="1" customWidth="1"/>
    <col min="18" max="18" width="18.44140625" style="6" bestFit="1" customWidth="1"/>
    <col min="19" max="19" width="10.44140625" style="6" customWidth="1"/>
    <col min="20" max="20" width="14.21875" style="6" bestFit="1" customWidth="1"/>
    <col min="21" max="16384" width="8.88671875" style="6"/>
  </cols>
  <sheetData>
    <row r="3" spans="2:10" x14ac:dyDescent="0.3">
      <c r="B3" s="3"/>
      <c r="C3" s="4"/>
      <c r="D3" s="4"/>
      <c r="E3" s="4"/>
      <c r="F3" s="4"/>
      <c r="G3" s="4"/>
      <c r="H3" s="4"/>
      <c r="I3" s="4"/>
      <c r="J3" s="5"/>
    </row>
    <row r="4" spans="2:10" x14ac:dyDescent="0.3">
      <c r="B4" s="7"/>
      <c r="C4" s="6" t="s">
        <v>5733</v>
      </c>
      <c r="E4" s="6" t="s">
        <v>5734</v>
      </c>
      <c r="G4" s="6" t="s">
        <v>5735</v>
      </c>
      <c r="I4" s="6" t="s">
        <v>11327</v>
      </c>
      <c r="J4" s="8"/>
    </row>
    <row r="5" spans="2:10" x14ac:dyDescent="0.3">
      <c r="B5" s="7"/>
      <c r="C5" s="9" t="str">
        <f>"Renewal_Notice"</f>
        <v>Renewal_Notice</v>
      </c>
      <c r="E5" s="9">
        <f>1409</f>
        <v>1409</v>
      </c>
      <c r="G5" s="9" t="str">
        <f>"Employees Compensation"</f>
        <v>Employees Compensation</v>
      </c>
      <c r="I5" s="9" t="str">
        <f>IFERROR(IF(channel_payment&lt;&gt;"",channel_payment,VLOOKUP(channel,Master!$AQ$2:$AR$105,2,0)),"")</f>
        <v/>
      </c>
      <c r="J5" s="189"/>
    </row>
    <row r="6" spans="2:10" x14ac:dyDescent="0.3">
      <c r="B6" s="10"/>
      <c r="C6" s="9"/>
      <c r="D6" s="9"/>
      <c r="E6" s="9"/>
      <c r="F6" s="9"/>
      <c r="G6" s="9"/>
      <c r="H6" s="9"/>
      <c r="I6" s="9" t="str">
        <f>IF(calc_channel_mapper_name="Banca","Bank",calc_channel_mapper_name)</f>
        <v/>
      </c>
      <c r="J6" s="11"/>
    </row>
    <row r="7" spans="2:10" x14ac:dyDescent="0.3">
      <c r="I7" s="6" t="str">
        <f>IF(calc_channel_mapper_name="Banca","Bank",calc_channel_mapper_name)</f>
        <v/>
      </c>
    </row>
    <row r="9" spans="2:10" x14ac:dyDescent="0.3">
      <c r="B9" s="3"/>
      <c r="C9" s="4"/>
      <c r="D9" s="4"/>
      <c r="E9" s="4"/>
      <c r="F9" s="4"/>
      <c r="G9" s="4"/>
      <c r="H9" s="4"/>
      <c r="I9" s="4"/>
      <c r="J9" s="5"/>
    </row>
    <row r="10" spans="2:10" x14ac:dyDescent="0.3">
      <c r="B10" s="7"/>
      <c r="C10" s="198" t="s">
        <v>2</v>
      </c>
      <c r="D10" s="198"/>
      <c r="E10" s="198"/>
      <c r="F10" s="198"/>
      <c r="G10" s="198"/>
      <c r="H10" s="198"/>
      <c r="I10" s="198"/>
      <c r="J10" s="8"/>
    </row>
    <row r="11" spans="2:10" x14ac:dyDescent="0.3">
      <c r="B11" s="7"/>
      <c r="J11" s="8"/>
    </row>
    <row r="12" spans="2:10" x14ac:dyDescent="0.3">
      <c r="B12" s="7"/>
      <c r="C12" s="6" t="s">
        <v>13195</v>
      </c>
      <c r="E12" s="6" t="s">
        <v>3</v>
      </c>
      <c r="G12" s="6" t="s">
        <v>4</v>
      </c>
      <c r="I12" s="6" t="s">
        <v>12340</v>
      </c>
      <c r="J12" s="8"/>
    </row>
    <row r="13" spans="2:10" x14ac:dyDescent="0.3">
      <c r="B13" s="7"/>
      <c r="C13" s="9"/>
      <c r="E13" s="9" t="s">
        <v>220</v>
      </c>
      <c r="G13" s="9"/>
      <c r="I13" s="9" t="s">
        <v>12339</v>
      </c>
      <c r="J13" s="8"/>
    </row>
    <row r="14" spans="2:10" x14ac:dyDescent="0.3">
      <c r="B14" s="7"/>
      <c r="J14" s="8"/>
    </row>
    <row r="15" spans="2:10" x14ac:dyDescent="0.3">
      <c r="B15" s="7"/>
      <c r="C15" s="6" t="s">
        <v>8</v>
      </c>
      <c r="E15" s="6" t="s">
        <v>9</v>
      </c>
      <c r="G15" s="6" t="s">
        <v>10</v>
      </c>
      <c r="J15" s="8"/>
    </row>
    <row r="16" spans="2:10" x14ac:dyDescent="0.3">
      <c r="B16" s="7"/>
      <c r="C16" s="9"/>
      <c r="E16" s="9"/>
      <c r="G16" s="9"/>
      <c r="J16" s="8"/>
    </row>
    <row r="17" spans="2:10" x14ac:dyDescent="0.3">
      <c r="B17" s="7"/>
      <c r="J17" s="8"/>
    </row>
    <row r="18" spans="2:10" x14ac:dyDescent="0.3">
      <c r="B18" s="7"/>
      <c r="C18" s="6" t="s">
        <v>5</v>
      </c>
      <c r="E18" s="6" t="s">
        <v>6</v>
      </c>
      <c r="G18" s="6" t="s">
        <v>7</v>
      </c>
      <c r="J18" s="8"/>
    </row>
    <row r="19" spans="2:10" x14ac:dyDescent="0.3">
      <c r="B19" s="7"/>
      <c r="C19" s="9"/>
      <c r="E19" s="9"/>
      <c r="G19" s="9"/>
      <c r="I19" s="9"/>
      <c r="J19" s="8"/>
    </row>
    <row r="20" spans="2:10" x14ac:dyDescent="0.3">
      <c r="B20" s="7"/>
      <c r="C20" s="6">
        <f>C19</f>
        <v>0</v>
      </c>
      <c r="E20" s="6">
        <f>E19</f>
        <v>0</v>
      </c>
      <c r="G20" s="6">
        <f>G19</f>
        <v>0</v>
      </c>
      <c r="J20" s="8"/>
    </row>
    <row r="21" spans="2:10" x14ac:dyDescent="0.3">
      <c r="B21" s="7"/>
      <c r="C21" s="6" t="s">
        <v>13</v>
      </c>
      <c r="E21" s="6" t="s">
        <v>11</v>
      </c>
      <c r="G21" s="6" t="s">
        <v>12</v>
      </c>
      <c r="J21" s="8"/>
    </row>
    <row r="22" spans="2:10" x14ac:dyDescent="0.3">
      <c r="B22" s="7"/>
      <c r="C22" s="74"/>
      <c r="E22" s="9"/>
      <c r="G22" s="114"/>
      <c r="J22" s="8"/>
    </row>
    <row r="23" spans="2:10" x14ac:dyDescent="0.3">
      <c r="B23" s="10"/>
      <c r="C23" s="9"/>
      <c r="D23" s="9"/>
      <c r="E23" s="9"/>
      <c r="F23" s="9"/>
      <c r="G23" s="9"/>
      <c r="H23" s="9"/>
      <c r="I23" s="9"/>
      <c r="J23" s="11"/>
    </row>
    <row r="25" spans="2:10" x14ac:dyDescent="0.3">
      <c r="B25" s="3"/>
      <c r="C25" s="4"/>
      <c r="D25" s="4"/>
      <c r="E25" s="4"/>
      <c r="F25" s="4"/>
      <c r="G25" s="4"/>
      <c r="H25" s="4"/>
      <c r="I25" s="4"/>
      <c r="J25" s="5"/>
    </row>
    <row r="26" spans="2:10" x14ac:dyDescent="0.3">
      <c r="B26" s="7"/>
      <c r="C26" s="198" t="s">
        <v>14</v>
      </c>
      <c r="D26" s="198"/>
      <c r="E26" s="198"/>
      <c r="F26" s="198"/>
      <c r="G26" s="198"/>
      <c r="H26" s="198"/>
      <c r="I26" s="198"/>
      <c r="J26" s="8"/>
    </row>
    <row r="27" spans="2:10" x14ac:dyDescent="0.3">
      <c r="B27" s="7"/>
      <c r="J27" s="8"/>
    </row>
    <row r="28" spans="2:10" x14ac:dyDescent="0.3">
      <c r="B28" s="7"/>
      <c r="C28" s="6" t="s">
        <v>16</v>
      </c>
      <c r="E28" s="6" t="s">
        <v>15</v>
      </c>
      <c r="G28" s="76" t="s">
        <v>26</v>
      </c>
      <c r="I28" s="76" t="s">
        <v>15</v>
      </c>
      <c r="J28" s="8"/>
    </row>
    <row r="29" spans="2:10" ht="21" customHeight="1" x14ac:dyDescent="0.3">
      <c r="B29" s="7"/>
      <c r="C29" s="151"/>
      <c r="D29" s="150"/>
      <c r="E29" s="54" t="str">
        <f>location_type_uw</f>
        <v>All over India</v>
      </c>
      <c r="G29" s="9" t="s">
        <v>220</v>
      </c>
      <c r="I29" s="9" t="s">
        <v>120</v>
      </c>
      <c r="J29" s="8"/>
    </row>
    <row r="30" spans="2:10" x14ac:dyDescent="0.3">
      <c r="B30" s="7"/>
      <c r="J30" s="8"/>
    </row>
    <row r="31" spans="2:10" x14ac:dyDescent="0.3">
      <c r="B31" s="7"/>
      <c r="C31" s="6" t="s">
        <v>11431</v>
      </c>
      <c r="J31" s="8"/>
    </row>
    <row r="32" spans="2:10" x14ac:dyDescent="0.3">
      <c r="B32" s="7"/>
      <c r="C32" s="9">
        <v>1</v>
      </c>
      <c r="J32" s="8"/>
    </row>
    <row r="33" spans="2:10" x14ac:dyDescent="0.3">
      <c r="B33" s="7"/>
      <c r="J33" s="8"/>
    </row>
    <row r="34" spans="2:10" x14ac:dyDescent="0.3">
      <c r="B34" s="7"/>
      <c r="C34" s="3"/>
      <c r="D34" s="4"/>
      <c r="E34" s="4"/>
      <c r="F34" s="4"/>
      <c r="G34" s="4"/>
      <c r="H34" s="4"/>
      <c r="I34" s="5"/>
      <c r="J34" s="8"/>
    </row>
    <row r="35" spans="2:10" x14ac:dyDescent="0.3">
      <c r="B35" s="7"/>
      <c r="C35" s="7" t="s">
        <v>17</v>
      </c>
      <c r="E35" s="6" t="s">
        <v>18</v>
      </c>
      <c r="G35" s="6" t="s">
        <v>19</v>
      </c>
      <c r="I35" s="8"/>
      <c r="J35" s="8"/>
    </row>
    <row r="36" spans="2:10" x14ac:dyDescent="0.3">
      <c r="B36" s="7"/>
      <c r="C36" s="10"/>
      <c r="E36" s="9"/>
      <c r="G36" s="9"/>
      <c r="I36" s="8"/>
      <c r="J36" s="8"/>
    </row>
    <row r="37" spans="2:10" x14ac:dyDescent="0.3">
      <c r="B37" s="7"/>
      <c r="C37" s="7"/>
      <c r="I37" s="8"/>
      <c r="J37" s="8"/>
    </row>
    <row r="38" spans="2:10" x14ac:dyDescent="0.3">
      <c r="B38" s="7"/>
      <c r="C38" s="7" t="s">
        <v>20</v>
      </c>
      <c r="E38" s="6" t="s">
        <v>21</v>
      </c>
      <c r="G38" s="6" t="s">
        <v>22</v>
      </c>
      <c r="I38" s="8"/>
      <c r="J38" s="8"/>
    </row>
    <row r="39" spans="2:10" x14ac:dyDescent="0.3">
      <c r="B39" s="7"/>
      <c r="C39" s="10"/>
      <c r="E39" s="9"/>
      <c r="G39" s="9"/>
      <c r="I39" s="11"/>
      <c r="J39" s="8"/>
    </row>
    <row r="40" spans="2:10" x14ac:dyDescent="0.3">
      <c r="B40" s="7"/>
      <c r="C40" s="10">
        <f>C39</f>
        <v>0</v>
      </c>
      <c r="D40" s="9"/>
      <c r="E40" s="9">
        <f>E39</f>
        <v>0</v>
      </c>
      <c r="F40" s="9"/>
      <c r="G40" s="9">
        <f>G39</f>
        <v>0</v>
      </c>
      <c r="H40" s="9"/>
      <c r="I40" s="11"/>
      <c r="J40" s="8"/>
    </row>
    <row r="41" spans="2:10" x14ac:dyDescent="0.3">
      <c r="B41" s="7"/>
      <c r="J41" s="8"/>
    </row>
    <row r="42" spans="2:10" x14ac:dyDescent="0.3">
      <c r="B42" s="7"/>
      <c r="C42" s="3"/>
      <c r="D42" s="4"/>
      <c r="E42" s="4"/>
      <c r="F42" s="4"/>
      <c r="G42" s="4"/>
      <c r="H42" s="4"/>
      <c r="I42" s="5"/>
      <c r="J42" s="8"/>
    </row>
    <row r="43" spans="2:10" x14ac:dyDescent="0.3">
      <c r="B43" s="7"/>
      <c r="C43" s="7" t="s">
        <v>11280</v>
      </c>
      <c r="E43" s="6" t="s">
        <v>18</v>
      </c>
      <c r="G43" s="6" t="s">
        <v>19</v>
      </c>
      <c r="I43" s="8"/>
      <c r="J43" s="8"/>
    </row>
    <row r="44" spans="2:10" x14ac:dyDescent="0.3">
      <c r="B44" s="7"/>
      <c r="C44" s="10"/>
      <c r="E44" s="9"/>
      <c r="G44" s="9"/>
      <c r="I44" s="8"/>
      <c r="J44" s="8"/>
    </row>
    <row r="45" spans="2:10" x14ac:dyDescent="0.3">
      <c r="B45" s="7"/>
      <c r="C45" s="7"/>
      <c r="I45" s="8"/>
      <c r="J45" s="8"/>
    </row>
    <row r="46" spans="2:10" x14ac:dyDescent="0.3">
      <c r="B46" s="7"/>
      <c r="C46" s="7" t="s">
        <v>11281</v>
      </c>
      <c r="E46" s="6" t="s">
        <v>21</v>
      </c>
      <c r="G46" s="6" t="s">
        <v>22</v>
      </c>
      <c r="I46" s="8"/>
      <c r="J46" s="8"/>
    </row>
    <row r="47" spans="2:10" x14ac:dyDescent="0.3">
      <c r="B47" s="7"/>
      <c r="C47" s="10"/>
      <c r="E47" s="9"/>
      <c r="G47" s="9"/>
      <c r="I47" s="11"/>
      <c r="J47" s="8"/>
    </row>
    <row r="48" spans="2:10" x14ac:dyDescent="0.3">
      <c r="B48" s="7"/>
      <c r="C48" s="10">
        <f>C47</f>
        <v>0</v>
      </c>
      <c r="D48" s="9"/>
      <c r="E48" s="9">
        <f>E47</f>
        <v>0</v>
      </c>
      <c r="F48" s="9"/>
      <c r="G48" s="9">
        <f>G47</f>
        <v>0</v>
      </c>
      <c r="H48" s="9"/>
      <c r="I48" s="11"/>
      <c r="J48" s="8"/>
    </row>
    <row r="49" spans="2:10" x14ac:dyDescent="0.3">
      <c r="B49" s="7"/>
      <c r="J49" s="8"/>
    </row>
    <row r="50" spans="2:10" x14ac:dyDescent="0.3">
      <c r="B50" s="7"/>
      <c r="C50" s="3"/>
      <c r="D50" s="4"/>
      <c r="E50" s="4"/>
      <c r="F50" s="4"/>
      <c r="G50" s="4"/>
      <c r="H50" s="4"/>
      <c r="I50" s="5"/>
      <c r="J50" s="8"/>
    </row>
    <row r="51" spans="2:10" x14ac:dyDescent="0.3">
      <c r="B51" s="7"/>
      <c r="C51" s="7" t="s">
        <v>11280</v>
      </c>
      <c r="E51" s="6" t="s">
        <v>18</v>
      </c>
      <c r="G51" s="6" t="s">
        <v>19</v>
      </c>
      <c r="I51" s="8"/>
      <c r="J51" s="8"/>
    </row>
    <row r="52" spans="2:10" x14ac:dyDescent="0.3">
      <c r="B52" s="7"/>
      <c r="C52" s="10"/>
      <c r="E52" s="9"/>
      <c r="G52" s="9"/>
      <c r="I52" s="8"/>
      <c r="J52" s="8"/>
    </row>
    <row r="53" spans="2:10" x14ac:dyDescent="0.3">
      <c r="B53" s="7"/>
      <c r="C53" s="7"/>
      <c r="I53" s="8"/>
      <c r="J53" s="8"/>
    </row>
    <row r="54" spans="2:10" x14ac:dyDescent="0.3">
      <c r="B54" s="7"/>
      <c r="C54" s="7" t="s">
        <v>11281</v>
      </c>
      <c r="E54" s="6" t="s">
        <v>21</v>
      </c>
      <c r="G54" s="6" t="s">
        <v>22</v>
      </c>
      <c r="I54" s="8"/>
      <c r="J54" s="8"/>
    </row>
    <row r="55" spans="2:10" x14ac:dyDescent="0.3">
      <c r="B55" s="7"/>
      <c r="C55" s="10"/>
      <c r="E55" s="9"/>
      <c r="G55" s="9"/>
      <c r="I55" s="11"/>
      <c r="J55" s="8"/>
    </row>
    <row r="56" spans="2:10" x14ac:dyDescent="0.3">
      <c r="B56" s="7"/>
      <c r="C56" s="10">
        <f>C55</f>
        <v>0</v>
      </c>
      <c r="D56" s="9"/>
      <c r="E56" s="9">
        <f>E55</f>
        <v>0</v>
      </c>
      <c r="F56" s="9"/>
      <c r="G56" s="9">
        <f>G55</f>
        <v>0</v>
      </c>
      <c r="H56" s="9"/>
      <c r="I56" s="11"/>
      <c r="J56" s="8"/>
    </row>
    <row r="57" spans="2:10" x14ac:dyDescent="0.3">
      <c r="B57" s="7"/>
      <c r="J57" s="8"/>
    </row>
    <row r="58" spans="2:10" x14ac:dyDescent="0.3">
      <c r="B58" s="7"/>
      <c r="C58" s="3"/>
      <c r="D58" s="4"/>
      <c r="E58" s="4"/>
      <c r="F58" s="4"/>
      <c r="G58" s="4"/>
      <c r="H58" s="4"/>
      <c r="I58" s="5"/>
      <c r="J58" s="8"/>
    </row>
    <row r="59" spans="2:10" x14ac:dyDescent="0.3">
      <c r="B59" s="7"/>
      <c r="C59" s="7" t="s">
        <v>11280</v>
      </c>
      <c r="E59" s="6" t="s">
        <v>18</v>
      </c>
      <c r="G59" s="6" t="s">
        <v>19</v>
      </c>
      <c r="I59" s="8"/>
      <c r="J59" s="8"/>
    </row>
    <row r="60" spans="2:10" x14ac:dyDescent="0.3">
      <c r="B60" s="7"/>
      <c r="C60" s="10"/>
      <c r="E60" s="9"/>
      <c r="G60" s="9"/>
      <c r="I60" s="8"/>
      <c r="J60" s="8"/>
    </row>
    <row r="61" spans="2:10" x14ac:dyDescent="0.3">
      <c r="B61" s="7"/>
      <c r="C61" s="7"/>
      <c r="I61" s="8"/>
      <c r="J61" s="8"/>
    </row>
    <row r="62" spans="2:10" x14ac:dyDescent="0.3">
      <c r="B62" s="7"/>
      <c r="C62" s="7" t="s">
        <v>11281</v>
      </c>
      <c r="E62" s="6" t="s">
        <v>21</v>
      </c>
      <c r="G62" s="6" t="s">
        <v>22</v>
      </c>
      <c r="I62" s="8"/>
      <c r="J62" s="8"/>
    </row>
    <row r="63" spans="2:10" x14ac:dyDescent="0.3">
      <c r="B63" s="7"/>
      <c r="C63" s="10"/>
      <c r="E63" s="9"/>
      <c r="G63" s="9"/>
      <c r="I63" s="11"/>
      <c r="J63" s="8"/>
    </row>
    <row r="64" spans="2:10" x14ac:dyDescent="0.3">
      <c r="B64" s="7"/>
      <c r="C64" s="10">
        <f>C63</f>
        <v>0</v>
      </c>
      <c r="D64" s="9"/>
      <c r="E64" s="9">
        <f>E63</f>
        <v>0</v>
      </c>
      <c r="F64" s="9"/>
      <c r="G64" s="9">
        <f>G63</f>
        <v>0</v>
      </c>
      <c r="H64" s="9"/>
      <c r="I64" s="11"/>
      <c r="J64" s="8"/>
    </row>
    <row r="65" spans="2:10" x14ac:dyDescent="0.3">
      <c r="B65" s="7"/>
      <c r="J65" s="8"/>
    </row>
    <row r="66" spans="2:10" x14ac:dyDescent="0.3">
      <c r="B66" s="7"/>
      <c r="C66" s="3"/>
      <c r="D66" s="4"/>
      <c r="E66" s="4"/>
      <c r="F66" s="4"/>
      <c r="G66" s="4"/>
      <c r="H66" s="4"/>
      <c r="I66" s="5"/>
      <c r="J66" s="8"/>
    </row>
    <row r="67" spans="2:10" x14ac:dyDescent="0.3">
      <c r="B67" s="7"/>
      <c r="C67" s="7" t="s">
        <v>11280</v>
      </c>
      <c r="E67" s="6" t="s">
        <v>18</v>
      </c>
      <c r="G67" s="6" t="s">
        <v>19</v>
      </c>
      <c r="I67" s="8"/>
      <c r="J67" s="8"/>
    </row>
    <row r="68" spans="2:10" x14ac:dyDescent="0.3">
      <c r="B68" s="7"/>
      <c r="C68" s="10"/>
      <c r="E68" s="9"/>
      <c r="G68" s="9"/>
      <c r="I68" s="8"/>
      <c r="J68" s="8"/>
    </row>
    <row r="69" spans="2:10" x14ac:dyDescent="0.3">
      <c r="B69" s="7"/>
      <c r="C69" s="7"/>
      <c r="I69" s="8"/>
      <c r="J69" s="8"/>
    </row>
    <row r="70" spans="2:10" x14ac:dyDescent="0.3">
      <c r="B70" s="7"/>
      <c r="C70" s="7" t="s">
        <v>11281</v>
      </c>
      <c r="E70" s="6" t="s">
        <v>21</v>
      </c>
      <c r="G70" s="6" t="s">
        <v>22</v>
      </c>
      <c r="I70" s="8"/>
      <c r="J70" s="8"/>
    </row>
    <row r="71" spans="2:10" x14ac:dyDescent="0.3">
      <c r="B71" s="7"/>
      <c r="C71" s="10"/>
      <c r="E71" s="9"/>
      <c r="G71" s="9"/>
      <c r="I71" s="11"/>
      <c r="J71" s="8"/>
    </row>
    <row r="72" spans="2:10" x14ac:dyDescent="0.3">
      <c r="B72" s="7"/>
      <c r="C72" s="10">
        <f>C71</f>
        <v>0</v>
      </c>
      <c r="D72" s="9"/>
      <c r="E72" s="9">
        <f>E71</f>
        <v>0</v>
      </c>
      <c r="F72" s="9"/>
      <c r="G72" s="9">
        <f>G71</f>
        <v>0</v>
      </c>
      <c r="H72" s="9"/>
      <c r="I72" s="11"/>
      <c r="J72" s="8"/>
    </row>
    <row r="73" spans="2:10" x14ac:dyDescent="0.3">
      <c r="B73" s="7"/>
      <c r="J73" s="8"/>
    </row>
    <row r="74" spans="2:10" x14ac:dyDescent="0.3">
      <c r="B74" s="3"/>
      <c r="C74" s="4"/>
      <c r="D74" s="4"/>
      <c r="E74" s="4"/>
      <c r="F74" s="4"/>
      <c r="G74" s="4"/>
      <c r="H74" s="4"/>
      <c r="I74" s="4"/>
      <c r="J74" s="5"/>
    </row>
    <row r="75" spans="2:10" x14ac:dyDescent="0.3">
      <c r="B75" s="7"/>
      <c r="C75" s="6" t="s">
        <v>23</v>
      </c>
      <c r="E75" s="6" t="s">
        <v>24</v>
      </c>
      <c r="G75" s="12" t="s">
        <v>25</v>
      </c>
      <c r="J75" s="8"/>
    </row>
    <row r="76" spans="2:10" x14ac:dyDescent="0.3">
      <c r="B76" s="7"/>
      <c r="C76" s="9"/>
      <c r="E76" s="9">
        <v>12</v>
      </c>
      <c r="G76" s="9" t="s">
        <v>219</v>
      </c>
      <c r="J76" s="8"/>
    </row>
    <row r="77" spans="2:10" x14ac:dyDescent="0.3">
      <c r="B77" s="7"/>
      <c r="J77" s="8"/>
    </row>
    <row r="78" spans="2:10" x14ac:dyDescent="0.3">
      <c r="B78" s="7"/>
      <c r="C78" s="6" t="s">
        <v>27</v>
      </c>
      <c r="E78" s="6" t="s">
        <v>28</v>
      </c>
      <c r="J78" s="8"/>
    </row>
    <row r="79" spans="2:10" x14ac:dyDescent="0.3">
      <c r="B79" s="7"/>
      <c r="C79" s="9" t="s">
        <v>220</v>
      </c>
      <c r="E79" s="9"/>
      <c r="J79" s="8"/>
    </row>
    <row r="80" spans="2:10" x14ac:dyDescent="0.3">
      <c r="B80" s="7"/>
      <c r="J80" s="8"/>
    </row>
    <row r="81" spans="2:10" x14ac:dyDescent="0.3">
      <c r="B81" s="7"/>
      <c r="C81" s="13" t="s">
        <v>86</v>
      </c>
      <c r="D81" s="13" t="s">
        <v>30</v>
      </c>
      <c r="E81" s="13" t="s">
        <v>31</v>
      </c>
      <c r="F81" s="13" t="s">
        <v>32</v>
      </c>
      <c r="G81" s="38" t="s">
        <v>218</v>
      </c>
      <c r="J81" s="8"/>
    </row>
    <row r="82" spans="2:10" x14ac:dyDescent="0.3">
      <c r="B82" s="7"/>
      <c r="C82" s="13"/>
      <c r="D82" s="13"/>
      <c r="E82" s="13"/>
      <c r="F82" s="13"/>
      <c r="J82" s="8"/>
    </row>
    <row r="83" spans="2:10" x14ac:dyDescent="0.3">
      <c r="B83" s="7"/>
      <c r="C83" s="13"/>
      <c r="D83" s="13"/>
      <c r="E83" s="13"/>
      <c r="F83" s="13"/>
      <c r="J83" s="8"/>
    </row>
    <row r="84" spans="2:10" x14ac:dyDescent="0.3">
      <c r="B84" s="7"/>
      <c r="C84" s="13"/>
      <c r="D84" s="13"/>
      <c r="E84" s="13"/>
      <c r="F84" s="13"/>
      <c r="J84" s="8"/>
    </row>
    <row r="85" spans="2:10" x14ac:dyDescent="0.3">
      <c r="B85" s="7"/>
      <c r="C85" s="13" t="s">
        <v>29</v>
      </c>
      <c r="D85" s="13">
        <f>SUM(D82:D84)</f>
        <v>0</v>
      </c>
      <c r="E85" s="13">
        <f>SUM(E82:E84)</f>
        <v>0</v>
      </c>
      <c r="F85" s="13">
        <f>SUM(F82:F84)</f>
        <v>0</v>
      </c>
      <c r="J85" s="8"/>
    </row>
    <row r="86" spans="2:10" x14ac:dyDescent="0.3">
      <c r="B86" s="7"/>
      <c r="F86" s="6">
        <f>IF(loss_history="Yes",IF(COUNTA(C82:F82)=4,0,1),0)</f>
        <v>0</v>
      </c>
      <c r="J86" s="8"/>
    </row>
    <row r="87" spans="2:10" x14ac:dyDescent="0.3">
      <c r="B87" s="7"/>
      <c r="C87" s="6" t="s">
        <v>33</v>
      </c>
      <c r="E87" s="6" t="s">
        <v>34</v>
      </c>
      <c r="F87" s="70">
        <f t="shared" ref="F87:I89" si="0">C82</f>
        <v>0</v>
      </c>
      <c r="G87" s="70">
        <f t="shared" si="0"/>
        <v>0</v>
      </c>
      <c r="H87" s="70">
        <f t="shared" si="0"/>
        <v>0</v>
      </c>
      <c r="I87" s="70">
        <f t="shared" si="0"/>
        <v>0</v>
      </c>
      <c r="J87" s="8"/>
    </row>
    <row r="88" spans="2:10" x14ac:dyDescent="0.3">
      <c r="B88" s="7"/>
      <c r="C88" s="14">
        <f>IFERROR(SUM(D85/E85),0)</f>
        <v>0</v>
      </c>
      <c r="E88" s="14">
        <f>IF(AND(F85&gt;3,claim_ratio&gt;100%,claim_ratio&lt;=120%),10%,IF(AND(F85&gt;3,claim_ratio&gt;120%,claim_ratio&lt;=150%),20%,IF(AND(F85&gt;3,claim_ratio&gt;150%),30%,0%)))</f>
        <v>0</v>
      </c>
      <c r="F88" s="70">
        <f t="shared" si="0"/>
        <v>0</v>
      </c>
      <c r="G88" s="70">
        <f t="shared" si="0"/>
        <v>0</v>
      </c>
      <c r="H88" s="70">
        <f t="shared" si="0"/>
        <v>0</v>
      </c>
      <c r="I88" s="70">
        <f t="shared" si="0"/>
        <v>0</v>
      </c>
      <c r="J88" s="8"/>
    </row>
    <row r="89" spans="2:10" x14ac:dyDescent="0.3">
      <c r="B89" s="10"/>
      <c r="C89" s="9"/>
      <c r="D89" s="9"/>
      <c r="E89" s="9"/>
      <c r="F89" s="71">
        <f t="shared" si="0"/>
        <v>0</v>
      </c>
      <c r="G89" s="71">
        <f t="shared" si="0"/>
        <v>0</v>
      </c>
      <c r="H89" s="71">
        <f t="shared" si="0"/>
        <v>0</v>
      </c>
      <c r="I89" s="71">
        <f t="shared" si="0"/>
        <v>0</v>
      </c>
      <c r="J89" s="11"/>
    </row>
    <row r="91" spans="2:10" x14ac:dyDescent="0.3">
      <c r="B91" s="3"/>
      <c r="C91" s="4"/>
      <c r="D91" s="4"/>
      <c r="E91" s="4"/>
      <c r="F91" s="4"/>
      <c r="G91" s="4"/>
      <c r="H91" s="4"/>
      <c r="I91" s="4"/>
      <c r="J91" s="5"/>
    </row>
    <row r="92" spans="2:10" x14ac:dyDescent="0.3">
      <c r="B92" s="7"/>
      <c r="C92" s="198" t="s">
        <v>35</v>
      </c>
      <c r="D92" s="198"/>
      <c r="E92" s="198"/>
      <c r="F92" s="198"/>
      <c r="G92" s="198"/>
      <c r="H92" s="198"/>
      <c r="I92" s="198"/>
      <c r="J92" s="8"/>
    </row>
    <row r="93" spans="2:10" x14ac:dyDescent="0.3">
      <c r="B93" s="7"/>
      <c r="J93" s="8"/>
    </row>
    <row r="94" spans="2:10" x14ac:dyDescent="0.3">
      <c r="B94" s="7"/>
      <c r="C94" s="198" t="s">
        <v>176</v>
      </c>
      <c r="D94" s="198"/>
      <c r="E94" s="198"/>
      <c r="J94" s="8"/>
    </row>
    <row r="95" spans="2:10" x14ac:dyDescent="0.3">
      <c r="B95" s="7"/>
      <c r="J95" s="8"/>
    </row>
    <row r="96" spans="2:10" x14ac:dyDescent="0.3">
      <c r="B96" s="7"/>
      <c r="C96" s="106" t="s">
        <v>36</v>
      </c>
      <c r="E96" s="6" t="s">
        <v>37</v>
      </c>
      <c r="G96" s="6" t="s">
        <v>38</v>
      </c>
      <c r="J96" s="8"/>
    </row>
    <row r="97" spans="2:10" x14ac:dyDescent="0.3">
      <c r="B97" s="7"/>
      <c r="C97" s="107"/>
      <c r="E97" s="9"/>
      <c r="G97" s="9">
        <v>0</v>
      </c>
      <c r="J97" s="8"/>
    </row>
    <row r="98" spans="2:10" x14ac:dyDescent="0.3">
      <c r="B98" s="7"/>
      <c r="J98" s="8"/>
    </row>
    <row r="99" spans="2:10" x14ac:dyDescent="0.3">
      <c r="B99" s="7"/>
      <c r="C99" s="6" t="s">
        <v>39</v>
      </c>
      <c r="E99" s="6" t="s">
        <v>40</v>
      </c>
      <c r="G99" s="6" t="s">
        <v>41</v>
      </c>
      <c r="J99" s="8"/>
    </row>
    <row r="100" spans="2:10" x14ac:dyDescent="0.3">
      <c r="B100" s="7"/>
      <c r="C100" s="9" t="s">
        <v>220</v>
      </c>
      <c r="E100" s="2">
        <f>IFERROR('Medex Loading%'!I3,0)</f>
        <v>0</v>
      </c>
      <c r="G100" s="9" t="str">
        <f>IFERROR(VLOOKUP(CONCATENATE(loc_1_state,loc_1_city),'City State Location'!$C$2:$F$5200,4,0),"")</f>
        <v/>
      </c>
      <c r="J100" s="8"/>
    </row>
    <row r="101" spans="2:10" x14ac:dyDescent="0.3">
      <c r="B101" s="7"/>
      <c r="J101" s="8"/>
    </row>
    <row r="102" spans="2:10" x14ac:dyDescent="0.3">
      <c r="B102" s="3"/>
      <c r="C102" s="4"/>
      <c r="D102" s="4"/>
      <c r="E102" s="4"/>
      <c r="F102" s="4"/>
      <c r="G102" s="4"/>
      <c r="H102" s="4"/>
      <c r="I102" s="4"/>
      <c r="J102" s="5"/>
    </row>
    <row r="103" spans="2:10" x14ac:dyDescent="0.3">
      <c r="B103" s="7"/>
      <c r="C103" s="199" t="s">
        <v>5732</v>
      </c>
      <c r="D103" s="199"/>
      <c r="E103" s="199"/>
      <c r="J103" s="8"/>
    </row>
    <row r="104" spans="2:10" x14ac:dyDescent="0.3">
      <c r="B104" s="7"/>
      <c r="J104" s="8"/>
    </row>
    <row r="105" spans="2:10" x14ac:dyDescent="0.3">
      <c r="B105" s="7"/>
      <c r="C105" s="80" t="s">
        <v>37</v>
      </c>
      <c r="E105" s="80" t="s">
        <v>38</v>
      </c>
      <c r="G105" s="80" t="s">
        <v>39</v>
      </c>
      <c r="I105" s="80" t="s">
        <v>40</v>
      </c>
      <c r="J105" s="8"/>
    </row>
    <row r="106" spans="2:10" x14ac:dyDescent="0.3">
      <c r="B106" s="7"/>
      <c r="C106" s="9"/>
      <c r="E106" s="9"/>
      <c r="G106" s="9" t="s">
        <v>220</v>
      </c>
      <c r="I106" s="2">
        <f>'OD Loading%'!H3</f>
        <v>0</v>
      </c>
      <c r="J106" s="8"/>
    </row>
    <row r="107" spans="2:10" x14ac:dyDescent="0.3">
      <c r="B107" s="10"/>
      <c r="C107" s="9"/>
      <c r="D107" s="9"/>
      <c r="E107" s="9"/>
      <c r="F107" s="9"/>
      <c r="G107" s="9"/>
      <c r="H107" s="9"/>
      <c r="I107" s="9"/>
      <c r="J107" s="11"/>
    </row>
    <row r="109" spans="2:10" x14ac:dyDescent="0.3">
      <c r="B109" s="3"/>
      <c r="C109" s="4"/>
      <c r="D109" s="4"/>
      <c r="E109" s="4"/>
      <c r="F109" s="4"/>
      <c r="G109" s="4"/>
      <c r="H109" s="4"/>
      <c r="I109" s="4"/>
      <c r="J109" s="5"/>
    </row>
    <row r="110" spans="2:10" x14ac:dyDescent="0.3">
      <c r="B110" s="7"/>
      <c r="C110" s="198" t="s">
        <v>42</v>
      </c>
      <c r="D110" s="198"/>
      <c r="E110" s="198"/>
      <c r="F110" s="198"/>
      <c r="G110" s="198"/>
      <c r="H110" s="198"/>
      <c r="I110" s="198"/>
      <c r="J110" s="8"/>
    </row>
    <row r="111" spans="2:10" x14ac:dyDescent="0.3">
      <c r="B111" s="7"/>
      <c r="C111" s="15"/>
      <c r="D111" s="15"/>
      <c r="E111" s="15"/>
      <c r="F111" s="69">
        <f>IFERROR(INDEX('Trade Category'!$A$2:$A$830,MATCH(Quote!B114,trade_list_master,0)),0)</f>
        <v>0</v>
      </c>
      <c r="G111" s="69">
        <f>IFERROR(INDEX('Trade Category'!$B$2:$B$830,MATCH(Quote!B114,trade_list_master,0)),0)</f>
        <v>0</v>
      </c>
      <c r="H111" s="69">
        <f>IFERROR(INDEX('Trade Category'!$C$2:$C$830,MATCH(Quote!B114,trade_list_master,0)),0)</f>
        <v>0</v>
      </c>
      <c r="I111" s="15"/>
      <c r="J111" s="8"/>
    </row>
    <row r="112" spans="2:10" x14ac:dyDescent="0.3">
      <c r="B112" s="7"/>
      <c r="C112" s="15" t="s">
        <v>45</v>
      </c>
      <c r="D112" s="200"/>
      <c r="E112" s="200"/>
      <c r="F112" s="200"/>
      <c r="G112" s="200"/>
      <c r="H112" s="200"/>
      <c r="I112" s="200"/>
      <c r="J112" s="8"/>
    </row>
    <row r="113" spans="2:10" x14ac:dyDescent="0.3">
      <c r="B113" s="13" t="s">
        <v>44</v>
      </c>
      <c r="C113" s="13" t="s">
        <v>45</v>
      </c>
      <c r="D113" s="13" t="s">
        <v>46</v>
      </c>
      <c r="J113" s="8"/>
    </row>
    <row r="114" spans="2:10" x14ac:dyDescent="0.3">
      <c r="B114" s="13"/>
      <c r="C114" s="13"/>
      <c r="D114" s="13"/>
      <c r="F114" s="6">
        <f>IFERROR(INDEX('Trade Category'!$A$2:$A$830,MATCH(Quote!B114,trade_list_master,0)),0)</f>
        <v>0</v>
      </c>
      <c r="G114" s="6">
        <f>IFERROR(INDEX('Trade Category'!$B$2:$B$830,MATCH(Quote!B114,trade_list_master,0)),0)</f>
        <v>0</v>
      </c>
      <c r="H114" s="6">
        <f>IFERROR(INDEX('Trade Category'!$C$2:$C$830,MATCH(Quote!B114,trade_list_master,0)),0)</f>
        <v>0</v>
      </c>
      <c r="J114" s="8"/>
    </row>
    <row r="115" spans="2:10" x14ac:dyDescent="0.3">
      <c r="B115" s="13"/>
      <c r="C115" s="13"/>
      <c r="D115" s="13"/>
      <c r="F115" s="6">
        <f>IFERROR(INDEX('Trade Category'!$A$2:$A$830,MATCH(Quote!B115,trade_list_master,0)),0)</f>
        <v>0</v>
      </c>
      <c r="G115" s="6">
        <f>IFERROR(INDEX('Trade Category'!$B$2:$B$830,MATCH(Quote!B115,trade_list_master,0)),0)</f>
        <v>0</v>
      </c>
      <c r="H115" s="6">
        <f>IFERROR(INDEX('Trade Category'!$C$2:$C$830,MATCH(Quote!B115,trade_list_master,0)),0)</f>
        <v>0</v>
      </c>
      <c r="J115" s="8"/>
    </row>
    <row r="116" spans="2:10" x14ac:dyDescent="0.3">
      <c r="B116" s="13"/>
      <c r="C116" s="13"/>
      <c r="D116" s="13"/>
      <c r="F116" s="6">
        <f>IFERROR(INDEX('Trade Category'!$A$2:$A$830,MATCH(Quote!B116,trade_list_master,0)),0)</f>
        <v>0</v>
      </c>
      <c r="G116" s="6">
        <f>IFERROR(INDEX('Trade Category'!$B$2:$B$830,MATCH(Quote!B116,trade_list_master,0)),0)</f>
        <v>0</v>
      </c>
      <c r="H116" s="6">
        <f>IFERROR(INDEX('Trade Category'!$C$2:$C$830,MATCH(Quote!B116,trade_list_master,0)),0)</f>
        <v>0</v>
      </c>
      <c r="J116" s="8"/>
    </row>
    <row r="117" spans="2:10" x14ac:dyDescent="0.3">
      <c r="B117" s="13"/>
      <c r="C117" s="13"/>
      <c r="D117" s="13"/>
      <c r="F117" s="6">
        <f>IFERROR(INDEX('Trade Category'!$A$2:$A$830,MATCH(Quote!B117,trade_list_master,0)),0)</f>
        <v>0</v>
      </c>
      <c r="G117" s="6">
        <f>IFERROR(INDEX('Trade Category'!$B$2:$B$830,MATCH(Quote!B117,trade_list_master,0)),0)</f>
        <v>0</v>
      </c>
      <c r="H117" s="6">
        <f>IFERROR(INDEX('Trade Category'!$C$2:$C$830,MATCH(Quote!B117,trade_list_master,0)),0)</f>
        <v>0</v>
      </c>
      <c r="J117" s="8"/>
    </row>
    <row r="118" spans="2:10" x14ac:dyDescent="0.3">
      <c r="B118" s="13"/>
      <c r="C118" s="13"/>
      <c r="D118" s="13"/>
      <c r="F118" s="6">
        <f>IFERROR(INDEX('Trade Category'!$A$2:$A$830,MATCH(Quote!B118,trade_list_master,0)),0)</f>
        <v>0</v>
      </c>
      <c r="G118" s="6">
        <f>IFERROR(INDEX('Trade Category'!$B$2:$B$830,MATCH(Quote!B118,trade_list_master,0)),0)</f>
        <v>0</v>
      </c>
      <c r="H118" s="6">
        <f>IFERROR(INDEX('Trade Category'!$C$2:$C$830,MATCH(Quote!B118,trade_list_master,0)),0)</f>
        <v>0</v>
      </c>
      <c r="J118" s="8"/>
    </row>
    <row r="119" spans="2:10" x14ac:dyDescent="0.3">
      <c r="B119" s="13"/>
      <c r="C119" s="13"/>
      <c r="D119" s="13"/>
      <c r="F119" s="6">
        <f>IFERROR(INDEX('Trade Category'!$A$2:$A$830,MATCH(Quote!B119,trade_list_master,0)),0)</f>
        <v>0</v>
      </c>
      <c r="G119" s="6">
        <f>IFERROR(INDEX('Trade Category'!$B$2:$B$830,MATCH(Quote!B119,trade_list_master,0)),0)</f>
        <v>0</v>
      </c>
      <c r="H119" s="6">
        <f>IFERROR(INDEX('Trade Category'!$C$2:$C$830,MATCH(Quote!B119,trade_list_master,0)),0)</f>
        <v>0</v>
      </c>
      <c r="J119" s="8"/>
    </row>
    <row r="120" spans="2:10" x14ac:dyDescent="0.3">
      <c r="B120" s="13"/>
      <c r="C120" s="13"/>
      <c r="D120" s="13"/>
      <c r="F120" s="6">
        <f>IFERROR(INDEX('Trade Category'!$A$2:$A$830,MATCH(Quote!B120,trade_list_master,0)),0)</f>
        <v>0</v>
      </c>
      <c r="G120" s="6">
        <f>IFERROR(INDEX('Trade Category'!$B$2:$B$830,MATCH(Quote!B120,trade_list_master,0)),0)</f>
        <v>0</v>
      </c>
      <c r="H120" s="6">
        <f>IFERROR(INDEX('Trade Category'!$C$2:$C$830,MATCH(Quote!B120,trade_list_master,0)),0)</f>
        <v>0</v>
      </c>
      <c r="J120" s="8"/>
    </row>
    <row r="121" spans="2:10" x14ac:dyDescent="0.3">
      <c r="B121" s="13"/>
      <c r="C121" s="13"/>
      <c r="D121" s="13"/>
      <c r="F121" s="6">
        <f>IFERROR(INDEX('Trade Category'!$A$2:$A$830,MATCH(Quote!B121,trade_list_master,0)),0)</f>
        <v>0</v>
      </c>
      <c r="G121" s="6">
        <f>IFERROR(INDEX('Trade Category'!$B$2:$B$830,MATCH(Quote!B121,trade_list_master,0)),0)</f>
        <v>0</v>
      </c>
      <c r="H121" s="6">
        <f>IFERROR(INDEX('Trade Category'!$C$2:$C$830,MATCH(Quote!B121,trade_list_master,0)),0)</f>
        <v>0</v>
      </c>
      <c r="J121" s="8"/>
    </row>
    <row r="122" spans="2:10" x14ac:dyDescent="0.3">
      <c r="B122" s="13"/>
      <c r="C122" s="13"/>
      <c r="D122" s="13"/>
      <c r="F122" s="6">
        <f>IFERROR(INDEX('Trade Category'!$A$2:$A$830,MATCH(Quote!B122,trade_list_master,0)),0)</f>
        <v>0</v>
      </c>
      <c r="G122" s="6">
        <f>IFERROR(INDEX('Trade Category'!$B$2:$B$830,MATCH(Quote!B122,trade_list_master,0)),0)</f>
        <v>0</v>
      </c>
      <c r="H122" s="6">
        <f>IFERROR(INDEX('Trade Category'!$C$2:$C$830,MATCH(Quote!B122,trade_list_master,0)),0)</f>
        <v>0</v>
      </c>
      <c r="J122" s="8"/>
    </row>
    <row r="123" spans="2:10" x14ac:dyDescent="0.3">
      <c r="B123" s="13"/>
      <c r="C123" s="13"/>
      <c r="D123" s="13"/>
      <c r="F123" s="6">
        <f>IFERROR(INDEX('Trade Category'!$A$2:$A$830,MATCH(Quote!B123,trade_list_master,0)),0)</f>
        <v>0</v>
      </c>
      <c r="G123" s="6">
        <f>IFERROR(INDEX('Trade Category'!$B$2:$B$830,MATCH(Quote!B123,trade_list_master,0)),0)</f>
        <v>0</v>
      </c>
      <c r="H123" s="6">
        <f>IFERROR(INDEX('Trade Category'!$C$2:$C$830,MATCH(Quote!B123,trade_list_master,0)),0)</f>
        <v>0</v>
      </c>
      <c r="J123" s="8"/>
    </row>
    <row r="124" spans="2:10" x14ac:dyDescent="0.3">
      <c r="B124" s="10">
        <f>COUNTA(B114:B123)</f>
        <v>0</v>
      </c>
      <c r="C124" s="9"/>
      <c r="D124" s="9">
        <f>IF(COUNTIF(D114:D123,"NONPUP")&gt;0,1,0)</f>
        <v>0</v>
      </c>
      <c r="J124" s="8"/>
    </row>
    <row r="125" spans="2:10" x14ac:dyDescent="0.3">
      <c r="B125" s="10"/>
      <c r="C125" s="9"/>
      <c r="D125" s="9"/>
      <c r="E125" s="9"/>
      <c r="F125" s="9"/>
      <c r="G125" s="9"/>
      <c r="H125" s="9"/>
      <c r="I125" s="9"/>
      <c r="J125" s="11"/>
    </row>
    <row r="127" spans="2:10" x14ac:dyDescent="0.3">
      <c r="B127" s="3"/>
      <c r="C127" s="4"/>
      <c r="D127" s="4"/>
      <c r="E127" s="4"/>
      <c r="F127" s="4"/>
      <c r="G127" s="4"/>
      <c r="H127" s="4"/>
      <c r="I127" s="4"/>
      <c r="J127" s="5"/>
    </row>
    <row r="128" spans="2:10" x14ac:dyDescent="0.3">
      <c r="B128" s="7"/>
      <c r="C128" s="199" t="s">
        <v>47</v>
      </c>
      <c r="D128" s="199"/>
      <c r="E128" s="199"/>
      <c r="F128" s="199"/>
      <c r="G128" s="199"/>
      <c r="H128" s="199"/>
      <c r="I128" s="199"/>
      <c r="J128" s="8"/>
    </row>
    <row r="129" spans="2:10" x14ac:dyDescent="0.3">
      <c r="B129" s="7"/>
      <c r="J129" s="8"/>
    </row>
    <row r="130" spans="2:10" x14ac:dyDescent="0.3">
      <c r="B130" s="7"/>
      <c r="C130" s="105" t="s">
        <v>11305</v>
      </c>
      <c r="E130" s="105" t="s">
        <v>11308</v>
      </c>
      <c r="G130" s="105" t="s">
        <v>11311</v>
      </c>
      <c r="J130" s="8"/>
    </row>
    <row r="131" spans="2:10" x14ac:dyDescent="0.3">
      <c r="B131" s="7"/>
      <c r="C131" s="9"/>
      <c r="E131" s="9"/>
      <c r="G131" s="9"/>
      <c r="J131" s="8"/>
    </row>
    <row r="132" spans="2:10" x14ac:dyDescent="0.3">
      <c r="B132" s="7"/>
      <c r="J132" s="8"/>
    </row>
    <row r="133" spans="2:10" x14ac:dyDescent="0.3">
      <c r="B133" s="7"/>
      <c r="C133" s="16" t="s">
        <v>16</v>
      </c>
      <c r="D133" s="16" t="s">
        <v>41</v>
      </c>
      <c r="E133" s="16" t="s">
        <v>48</v>
      </c>
      <c r="F133" s="16" t="s">
        <v>199</v>
      </c>
      <c r="G133" s="16" t="s">
        <v>11282</v>
      </c>
      <c r="J133" s="8"/>
    </row>
    <row r="134" spans="2:10" x14ac:dyDescent="0.3">
      <c r="B134" s="7"/>
      <c r="C134" s="13">
        <f>cl_zone</f>
        <v>0</v>
      </c>
      <c r="D134" s="13" t="str">
        <f>"Ahmedabad"</f>
        <v>Ahmedabad</v>
      </c>
      <c r="E134" s="13" t="str">
        <f>CONCATENATE(C134,D134)</f>
        <v>0Ahmedabad</v>
      </c>
      <c r="F134" s="68"/>
      <c r="G134" s="139">
        <f ca="1">IF(uw_cont_1&lt;&gt;"",uw_cont_1/100,IF('Worker Premium Calc'!$AA$4="",new_cont1,IF('Worker Premium Calc'!$AA$4="Discount",cont_1,IF('Worker Premium Calc'!$AA$4="Loading",'Worker Premium Calc'!G58))))</f>
        <v>0</v>
      </c>
      <c r="H134" s="51"/>
      <c r="J134" s="8"/>
    </row>
    <row r="135" spans="2:10" x14ac:dyDescent="0.3">
      <c r="B135" s="7"/>
      <c r="C135" s="13">
        <f>cl_zone</f>
        <v>0</v>
      </c>
      <c r="D135" s="13" t="str">
        <f>"Bangalore-Delhi-Mumbai"</f>
        <v>Bangalore-Delhi-Mumbai</v>
      </c>
      <c r="E135" s="13" t="str">
        <f>CONCATENATE(C135,D135)</f>
        <v>0Bangalore-Delhi-Mumbai</v>
      </c>
      <c r="F135" s="68"/>
      <c r="G135" s="139">
        <f ca="1">IF(uw_cont_2&lt;&gt;"",uw_cont_2/100,IF('Worker Premium Calc'!$AA$4="",new_cont2,IF('Worker Premium Calc'!$AA$4="Discount",cont_2,IF('Worker Premium Calc'!$AA$4="Loading",'Worker Premium Calc'!G59))))</f>
        <v>0</v>
      </c>
      <c r="H135" s="51"/>
      <c r="J135" s="8"/>
    </row>
    <row r="136" spans="2:10" x14ac:dyDescent="0.3">
      <c r="B136" s="7"/>
      <c r="C136" s="13">
        <f>cl_zone</f>
        <v>0</v>
      </c>
      <c r="D136" s="13" t="str">
        <f>"Others"</f>
        <v>Others</v>
      </c>
      <c r="E136" s="13" t="str">
        <f>CONCATENATE(C136,D136)</f>
        <v>0Others</v>
      </c>
      <c r="F136" s="68"/>
      <c r="G136" s="139">
        <f ca="1">IF(uw_cont_3&lt;&gt;"",uw_cont_3/100,IF('Worker Premium Calc'!$AA$4="",new_cont3,IF('Worker Premium Calc'!$AA$4="Discount",cont_3,IF('Worker Premium Calc'!$AA$4="Loading",'Worker Premium Calc'!G60))))</f>
        <v>0</v>
      </c>
      <c r="H136" s="51"/>
      <c r="I136" s="6">
        <f>IF(COUNT(Quote!F134:F136)&gt;0,IF(uw_location_percentages_number=100,0,1),0)</f>
        <v>0</v>
      </c>
      <c r="J136" s="8"/>
    </row>
    <row r="137" spans="2:10" x14ac:dyDescent="0.3">
      <c r="B137" s="7"/>
      <c r="J137" s="8"/>
    </row>
    <row r="138" spans="2:10" x14ac:dyDescent="0.3">
      <c r="B138" s="7"/>
      <c r="C138" s="108" t="s">
        <v>210</v>
      </c>
      <c r="E138" s="80" t="s">
        <v>64</v>
      </c>
      <c r="F138" s="51"/>
      <c r="H138" s="78" t="s">
        <v>65</v>
      </c>
      <c r="J138" s="8"/>
    </row>
    <row r="139" spans="2:10" x14ac:dyDescent="0.3">
      <c r="B139" s="7"/>
      <c r="C139" s="17">
        <f>SUM(Quote!F134:F136)/100</f>
        <v>0</v>
      </c>
      <c r="E139" s="14">
        <f>IF(old_new_uin="new",IF(loading_discount="",0,loading_discount),0)</f>
        <v>0</v>
      </c>
      <c r="F139" s="51"/>
      <c r="H139" s="9">
        <v>0</v>
      </c>
      <c r="J139" s="8"/>
    </row>
    <row r="140" spans="2:10" x14ac:dyDescent="0.3">
      <c r="B140" s="7"/>
      <c r="C140" s="6">
        <f>uw_location_percentages*100</f>
        <v>0</v>
      </c>
      <c r="E140" s="131">
        <f>general_risk_protection/100</f>
        <v>0</v>
      </c>
      <c r="F140" s="51"/>
      <c r="H140" s="52"/>
      <c r="J140" s="8"/>
    </row>
    <row r="141" spans="2:10" x14ac:dyDescent="0.3">
      <c r="B141" s="10"/>
      <c r="C141" s="9"/>
      <c r="D141" s="9"/>
      <c r="E141" s="9"/>
      <c r="F141" s="9"/>
      <c r="G141" s="9"/>
      <c r="H141" s="9"/>
      <c r="I141" s="9"/>
      <c r="J141" s="11"/>
    </row>
    <row r="143" spans="2:10" x14ac:dyDescent="0.3">
      <c r="B143" s="3"/>
      <c r="C143" s="4"/>
      <c r="D143" s="4"/>
      <c r="E143" s="4"/>
      <c r="F143" s="4"/>
      <c r="G143" s="4"/>
      <c r="H143" s="4"/>
      <c r="I143" s="4"/>
      <c r="J143" s="5"/>
    </row>
    <row r="144" spans="2:10" x14ac:dyDescent="0.3">
      <c r="B144" s="7"/>
      <c r="C144" s="198" t="s">
        <v>167</v>
      </c>
      <c r="D144" s="198"/>
      <c r="E144" s="198"/>
      <c r="F144" s="198"/>
      <c r="G144" s="198"/>
      <c r="H144" s="198"/>
      <c r="I144" s="198"/>
      <c r="J144" s="8"/>
    </row>
    <row r="145" spans="2:10" x14ac:dyDescent="0.3">
      <c r="B145" s="7"/>
      <c r="J145" s="8"/>
    </row>
    <row r="146" spans="2:10" x14ac:dyDescent="0.3">
      <c r="B146" s="7"/>
      <c r="C146" s="13" t="s">
        <v>50</v>
      </c>
      <c r="D146" s="13" t="s">
        <v>51</v>
      </c>
      <c r="E146" s="13" t="s">
        <v>52</v>
      </c>
      <c r="J146" s="8"/>
    </row>
    <row r="147" spans="2:10" ht="29.4" customHeight="1" x14ac:dyDescent="0.3">
      <c r="B147" s="7"/>
      <c r="C147" s="19" t="s">
        <v>53</v>
      </c>
      <c r="D147" s="13" t="s">
        <v>160</v>
      </c>
      <c r="E147" s="1">
        <f>IFERROR(IF(C147="",0%,VLOOKUP(option_1,Master!$R$2:$S$3,2,0)),0%)</f>
        <v>0</v>
      </c>
      <c r="J147" s="8"/>
    </row>
    <row r="148" spans="2:10" ht="29.4" customHeight="1" x14ac:dyDescent="0.3">
      <c r="B148" s="7"/>
      <c r="C148" s="19" t="s">
        <v>54</v>
      </c>
      <c r="D148" s="13" t="s">
        <v>220</v>
      </c>
      <c r="E148" s="1">
        <f>IFERROR(IF(C148="",0%,VLOOKUP(option_2,Master!$R$4:$S$5,2,0)),0%)</f>
        <v>0</v>
      </c>
      <c r="J148" s="8"/>
    </row>
    <row r="149" spans="2:10" ht="29.4" customHeight="1" x14ac:dyDescent="0.3">
      <c r="B149" s="7"/>
      <c r="C149" s="19" t="s">
        <v>55</v>
      </c>
      <c r="D149" s="13" t="s">
        <v>220</v>
      </c>
      <c r="E149" s="1">
        <f>IFERROR(IF(C149="",0%,VLOOKUP(option_3,Master!$R$6:$S$7,2,0)),0%)</f>
        <v>0</v>
      </c>
      <c r="J149" s="8"/>
    </row>
    <row r="150" spans="2:10" ht="29.4" customHeight="1" x14ac:dyDescent="0.3">
      <c r="B150" s="7"/>
      <c r="C150" s="19" t="s">
        <v>56</v>
      </c>
      <c r="D150" s="13" t="s">
        <v>161</v>
      </c>
      <c r="E150" s="1">
        <f>IFERROR(IF(C150="",0%,VLOOKUP(option_4,Master!$R$8:$S$9,2,0)),0%)</f>
        <v>0</v>
      </c>
      <c r="J150" s="8"/>
    </row>
    <row r="151" spans="2:10" ht="29.4" customHeight="1" x14ac:dyDescent="0.3">
      <c r="B151" s="7"/>
      <c r="C151" s="19" t="s">
        <v>57</v>
      </c>
      <c r="D151" s="13" t="s">
        <v>220</v>
      </c>
      <c r="E151" s="1">
        <f>IFERROR(IF(C151="",0%,VLOOKUP(option_5,Master!$R$10:$S$11,2,0)),0%)</f>
        <v>0</v>
      </c>
      <c r="J151" s="8"/>
    </row>
    <row r="152" spans="2:10" ht="43.95" customHeight="1" x14ac:dyDescent="0.3">
      <c r="B152" s="7"/>
      <c r="C152" s="19" t="s">
        <v>58</v>
      </c>
      <c r="D152" s="13" t="s">
        <v>163</v>
      </c>
      <c r="E152" s="1">
        <f>IFERROR(IF(C152="",0%,VLOOKUP(option_6,Master!$R$12:$S$15,2,0)),0%)</f>
        <v>0</v>
      </c>
      <c r="J152" s="8"/>
    </row>
    <row r="153" spans="2:10" ht="57" customHeight="1" x14ac:dyDescent="0.3">
      <c r="B153" s="7"/>
      <c r="C153" s="19" t="s">
        <v>12324</v>
      </c>
      <c r="D153" s="13" t="s">
        <v>220</v>
      </c>
      <c r="E153" s="1">
        <f>IF(D153="yes",Master!S16,0%)</f>
        <v>0</v>
      </c>
      <c r="G153"/>
      <c r="J153" s="8"/>
    </row>
    <row r="154" spans="2:10" ht="59.4" customHeight="1" x14ac:dyDescent="0.3">
      <c r="B154" s="7"/>
      <c r="C154" s="19" t="s">
        <v>12325</v>
      </c>
      <c r="D154" s="13" t="s">
        <v>220</v>
      </c>
      <c r="E154" s="1">
        <f>IF(D154="yes",Master!S18,0%)</f>
        <v>0</v>
      </c>
      <c r="G154"/>
      <c r="J154" s="8"/>
    </row>
    <row r="155" spans="2:10" ht="43.95" customHeight="1" x14ac:dyDescent="0.3">
      <c r="B155" s="7"/>
      <c r="C155" s="19" t="s">
        <v>12326</v>
      </c>
      <c r="D155" s="13" t="s">
        <v>220</v>
      </c>
      <c r="E155" s="1">
        <f>IF(D155="yes",Master!S22,0%)</f>
        <v>0</v>
      </c>
      <c r="G155"/>
      <c r="J155" s="8"/>
    </row>
    <row r="156" spans="2:10" ht="60" customHeight="1" x14ac:dyDescent="0.3">
      <c r="B156" s="7"/>
      <c r="C156" s="19" t="s">
        <v>12327</v>
      </c>
      <c r="D156" s="13" t="s">
        <v>220</v>
      </c>
      <c r="E156" s="1">
        <f>IF(D156="yes",Master!S20,0%)</f>
        <v>0</v>
      </c>
      <c r="G156"/>
      <c r="J156" s="8"/>
    </row>
    <row r="157" spans="2:10" ht="43.95" customHeight="1" x14ac:dyDescent="0.3">
      <c r="B157" s="7"/>
      <c r="C157" s="19" t="s">
        <v>12328</v>
      </c>
      <c r="D157" s="13" t="s">
        <v>220</v>
      </c>
      <c r="E157" s="1">
        <f>IF(D157="yes",Master!S24,0%)</f>
        <v>0</v>
      </c>
      <c r="G157"/>
      <c r="J157" s="8"/>
    </row>
    <row r="158" spans="2:10" ht="43.95" customHeight="1" x14ac:dyDescent="0.3">
      <c r="B158" s="7"/>
      <c r="C158" s="19" t="s">
        <v>12329</v>
      </c>
      <c r="D158" s="13" t="s">
        <v>220</v>
      </c>
      <c r="E158" s="1">
        <f>IF(D158="yes",Master!S26,0%)</f>
        <v>0</v>
      </c>
      <c r="G158"/>
      <c r="J158" s="8"/>
    </row>
    <row r="159" spans="2:10" ht="43.95" customHeight="1" x14ac:dyDescent="0.3">
      <c r="B159" s="7"/>
      <c r="C159" s="19" t="s">
        <v>12330</v>
      </c>
      <c r="D159" s="13" t="s">
        <v>220</v>
      </c>
      <c r="E159" s="1">
        <f>IF(D159="yes",Master!S28,0%)</f>
        <v>0</v>
      </c>
      <c r="G159"/>
      <c r="J159" s="8"/>
    </row>
    <row r="160" spans="2:10" x14ac:dyDescent="0.3">
      <c r="B160" s="10"/>
      <c r="C160" s="9"/>
      <c r="D160" s="9"/>
      <c r="E160" s="9"/>
      <c r="F160" s="9"/>
      <c r="G160" s="9"/>
      <c r="H160" s="9"/>
      <c r="I160" s="9"/>
      <c r="J160" s="11"/>
    </row>
    <row r="162" spans="2:10" x14ac:dyDescent="0.3">
      <c r="C162" s="13" t="s">
        <v>11295</v>
      </c>
      <c r="D162" s="13" t="s">
        <v>51</v>
      </c>
      <c r="E162" s="13" t="s">
        <v>52</v>
      </c>
    </row>
    <row r="163" spans="2:10" x14ac:dyDescent="0.3">
      <c r="C163" s="19" t="s">
        <v>59</v>
      </c>
      <c r="D163" s="13" t="s">
        <v>220</v>
      </c>
      <c r="E163" s="1">
        <f>IFERROR(IF(C163="",0%,VLOOKUP(lp_option_option_1,Master!$V$2:$W$3,2,0)),0%)</f>
        <v>0</v>
      </c>
    </row>
    <row r="164" spans="2:10" x14ac:dyDescent="0.3">
      <c r="C164" s="19" t="s">
        <v>60</v>
      </c>
      <c r="D164" s="13" t="s">
        <v>220</v>
      </c>
      <c r="E164" s="1">
        <f>IFERROR(IF(C164="",0%,VLOOKUP(lp_option_option_2,Master!$V$4:$W$5,2,0)),0%)</f>
        <v>0</v>
      </c>
    </row>
    <row r="165" spans="2:10" ht="28.8" x14ac:dyDescent="0.3">
      <c r="C165" s="19" t="s">
        <v>61</v>
      </c>
      <c r="D165" s="13" t="s">
        <v>220</v>
      </c>
      <c r="E165" s="1">
        <f>IFERROR(IF(C165="",0%,VLOOKUP(lp_option_option_3,Master!$V$6:$W$7,2,0)),0%)</f>
        <v>0</v>
      </c>
    </row>
    <row r="166" spans="2:10" x14ac:dyDescent="0.3">
      <c r="C166" s="19" t="s">
        <v>62</v>
      </c>
      <c r="D166" s="13" t="s">
        <v>170</v>
      </c>
      <c r="E166" s="1">
        <f>IFERROR(IF(C166="",0%,VLOOKUP(lp_option_option_4,Master!$V$8:$W$9,2,0)),0%)</f>
        <v>0</v>
      </c>
    </row>
    <row r="167" spans="2:10" x14ac:dyDescent="0.3">
      <c r="C167" s="19" t="s">
        <v>63</v>
      </c>
      <c r="D167" s="13" t="s">
        <v>172</v>
      </c>
      <c r="E167" s="1">
        <f>IFERROR(IF(C167="",0%,VLOOKUP(lp_option_option_5,Master!$V$10:$W$11,2,0)),0%)</f>
        <v>0</v>
      </c>
    </row>
    <row r="168" spans="2:10" ht="54" customHeight="1" x14ac:dyDescent="0.3">
      <c r="C168" s="19" t="s">
        <v>12331</v>
      </c>
      <c r="D168" s="13" t="s">
        <v>220</v>
      </c>
      <c r="E168" s="1">
        <f>IF(D168="yes",Master!W10,0%)</f>
        <v>0</v>
      </c>
      <c r="G168"/>
    </row>
    <row r="169" spans="2:10" ht="43.2" x14ac:dyDescent="0.3">
      <c r="C169" s="19" t="s">
        <v>12332</v>
      </c>
      <c r="D169" s="13" t="s">
        <v>220</v>
      </c>
      <c r="E169" s="1">
        <f>IF(D169="yes",Master!W14,0%)</f>
        <v>0</v>
      </c>
      <c r="G169"/>
    </row>
    <row r="170" spans="2:10" ht="43.2" x14ac:dyDescent="0.3">
      <c r="C170" s="19" t="s">
        <v>12333</v>
      </c>
      <c r="D170" s="13" t="s">
        <v>220</v>
      </c>
      <c r="E170" s="1">
        <f>IF(D170="yes",Master!W16,0%)</f>
        <v>0</v>
      </c>
      <c r="G170"/>
    </row>
    <row r="172" spans="2:10" x14ac:dyDescent="0.3">
      <c r="B172" s="3"/>
      <c r="C172" s="4"/>
      <c r="D172" s="4"/>
      <c r="E172" s="4"/>
      <c r="F172" s="4"/>
      <c r="G172" s="4"/>
      <c r="H172" s="4"/>
      <c r="I172" s="4"/>
      <c r="J172" s="5"/>
    </row>
    <row r="173" spans="2:10" x14ac:dyDescent="0.3">
      <c r="B173" s="7"/>
      <c r="C173" s="198" t="s">
        <v>66</v>
      </c>
      <c r="D173" s="198"/>
      <c r="E173" s="198"/>
      <c r="F173" s="198"/>
      <c r="G173" s="198"/>
      <c r="H173" s="198"/>
      <c r="I173" s="198"/>
      <c r="J173" s="8"/>
    </row>
    <row r="174" spans="2:10" x14ac:dyDescent="0.3">
      <c r="B174" s="7"/>
      <c r="J174" s="8"/>
    </row>
    <row r="175" spans="2:10" x14ac:dyDescent="0.3">
      <c r="B175" s="7"/>
      <c r="C175" s="6" t="s">
        <v>11279</v>
      </c>
      <c r="J175" s="8"/>
    </row>
    <row r="176" spans="2:10" x14ac:dyDescent="0.3">
      <c r="B176" s="7"/>
      <c r="C176" s="9">
        <v>1</v>
      </c>
      <c r="J176" s="8"/>
    </row>
    <row r="177" spans="2:10" x14ac:dyDescent="0.3">
      <c r="B177" s="7"/>
      <c r="J177" s="8"/>
    </row>
    <row r="178" spans="2:10" x14ac:dyDescent="0.3">
      <c r="B178" s="7"/>
      <c r="C178" s="13" t="s">
        <v>67</v>
      </c>
      <c r="D178" s="13" t="s">
        <v>45</v>
      </c>
      <c r="E178" s="13" t="s">
        <v>68</v>
      </c>
      <c r="F178" s="13" t="s">
        <v>69</v>
      </c>
      <c r="G178" s="13" t="s">
        <v>70</v>
      </c>
      <c r="H178" s="13" t="s">
        <v>71</v>
      </c>
      <c r="I178" s="13" t="s">
        <v>11421</v>
      </c>
      <c r="J178" s="8"/>
    </row>
    <row r="179" spans="2:10" x14ac:dyDescent="0.3">
      <c r="B179" s="7"/>
      <c r="C179" s="13"/>
      <c r="D179" s="13" t="str">
        <f>'Trade Category Identification'!F5</f>
        <v>-</v>
      </c>
      <c r="E179" s="13"/>
      <c r="F179" s="75"/>
      <c r="G179" s="13">
        <f>SUM(C179*F179*policy_term)</f>
        <v>0</v>
      </c>
      <c r="H179" s="46">
        <f ca="1">'Worker Premium Calc'!S5</f>
        <v>0</v>
      </c>
      <c r="I179" s="13">
        <f ca="1">IFERROR(ROUND(H179/G179*1000,2),0)</f>
        <v>0</v>
      </c>
      <c r="J179" s="8" t="str">
        <f>IFERROR(INDEX('Trade Category'!$C$2:$C$830,MATCH(D179,'Trade Category'!$F$2:$F$830,0)),"")</f>
        <v/>
      </c>
    </row>
    <row r="180" spans="2:10" x14ac:dyDescent="0.3">
      <c r="B180" s="7"/>
      <c r="C180" s="13"/>
      <c r="D180" s="13" t="str">
        <f>'Trade Category Identification'!F6</f>
        <v>-</v>
      </c>
      <c r="E180" s="13"/>
      <c r="F180" s="13"/>
      <c r="G180" s="13">
        <f t="shared" ref="G180:G210" si="1">SUM(C180*F180*policy_term)</f>
        <v>0</v>
      </c>
      <c r="H180" s="46">
        <f ca="1">'Worker Premium Calc'!S6</f>
        <v>0</v>
      </c>
      <c r="I180" s="13">
        <f t="shared" ref="I180:I229" ca="1" si="2">IFERROR(ROUND(H180/G180*1000,2),0)</f>
        <v>0</v>
      </c>
      <c r="J180" s="8" t="str">
        <f>IFERROR(INDEX('Trade Category'!$C$2:$C$830,MATCH(D180,'Trade Category'!$F$2:$F$830,0)),"")</f>
        <v/>
      </c>
    </row>
    <row r="181" spans="2:10" x14ac:dyDescent="0.3">
      <c r="B181" s="7"/>
      <c r="C181" s="13"/>
      <c r="D181" s="13" t="str">
        <f>'Trade Category Identification'!F7</f>
        <v>-</v>
      </c>
      <c r="E181" s="13"/>
      <c r="F181" s="13"/>
      <c r="G181" s="13">
        <f t="shared" si="1"/>
        <v>0</v>
      </c>
      <c r="H181" s="46">
        <f ca="1">'Worker Premium Calc'!S7</f>
        <v>0</v>
      </c>
      <c r="I181" s="13">
        <f t="shared" ca="1" si="2"/>
        <v>0</v>
      </c>
      <c r="J181" s="8" t="str">
        <f>IFERROR(INDEX('Trade Category'!$C$2:$C$830,MATCH(D181,'Trade Category'!$F$2:$F$830,0)),"")</f>
        <v/>
      </c>
    </row>
    <row r="182" spans="2:10" x14ac:dyDescent="0.3">
      <c r="B182" s="7"/>
      <c r="C182" s="13"/>
      <c r="D182" s="13" t="str">
        <f>'Trade Category Identification'!F8</f>
        <v>-</v>
      </c>
      <c r="E182" s="13"/>
      <c r="F182" s="13"/>
      <c r="G182" s="13">
        <f t="shared" si="1"/>
        <v>0</v>
      </c>
      <c r="H182" s="46">
        <f ca="1">'Worker Premium Calc'!S8</f>
        <v>0</v>
      </c>
      <c r="I182" s="13">
        <f t="shared" ca="1" si="2"/>
        <v>0</v>
      </c>
      <c r="J182" s="8" t="str">
        <f>IFERROR(INDEX('Trade Category'!$C$2:$C$830,MATCH(D182,'Trade Category'!$F$2:$F$830,0)),"")</f>
        <v/>
      </c>
    </row>
    <row r="183" spans="2:10" x14ac:dyDescent="0.3">
      <c r="B183" s="7"/>
      <c r="C183" s="13"/>
      <c r="D183" s="13" t="str">
        <f>'Trade Category Identification'!F9</f>
        <v>-</v>
      </c>
      <c r="E183" s="13"/>
      <c r="F183" s="13"/>
      <c r="G183" s="13">
        <f t="shared" si="1"/>
        <v>0</v>
      </c>
      <c r="H183" s="46">
        <f ca="1">'Worker Premium Calc'!S9</f>
        <v>0</v>
      </c>
      <c r="I183" s="13">
        <f t="shared" ca="1" si="2"/>
        <v>0</v>
      </c>
      <c r="J183" s="8" t="str">
        <f>IFERROR(INDEX('Trade Category'!$C$2:$C$830,MATCH(D183,'Trade Category'!$F$2:$F$830,0)),"")</f>
        <v/>
      </c>
    </row>
    <row r="184" spans="2:10" x14ac:dyDescent="0.3">
      <c r="B184" s="7"/>
      <c r="C184" s="13"/>
      <c r="D184" s="13" t="str">
        <f>'Trade Category Identification'!F10</f>
        <v>-</v>
      </c>
      <c r="E184" s="13"/>
      <c r="F184" s="13"/>
      <c r="G184" s="13">
        <f t="shared" si="1"/>
        <v>0</v>
      </c>
      <c r="H184" s="46">
        <f ca="1">'Worker Premium Calc'!S10</f>
        <v>0</v>
      </c>
      <c r="I184" s="13">
        <f t="shared" ca="1" si="2"/>
        <v>0</v>
      </c>
      <c r="J184" s="8" t="str">
        <f>IFERROR(INDEX('Trade Category'!$C$2:$C$830,MATCH(D184,'Trade Category'!$F$2:$F$830,0)),"")</f>
        <v/>
      </c>
    </row>
    <row r="185" spans="2:10" x14ac:dyDescent="0.3">
      <c r="B185" s="7"/>
      <c r="C185" s="13"/>
      <c r="D185" s="13" t="str">
        <f>'Trade Category Identification'!F11</f>
        <v>-</v>
      </c>
      <c r="E185" s="13"/>
      <c r="F185" s="13"/>
      <c r="G185" s="13">
        <f t="shared" si="1"/>
        <v>0</v>
      </c>
      <c r="H185" s="46">
        <f ca="1">'Worker Premium Calc'!S11</f>
        <v>0</v>
      </c>
      <c r="I185" s="13">
        <f t="shared" ca="1" si="2"/>
        <v>0</v>
      </c>
      <c r="J185" s="8" t="str">
        <f>IFERROR(INDEX('Trade Category'!$C$2:$C$830,MATCH(D185,'Trade Category'!$F$2:$F$830,0)),"")</f>
        <v/>
      </c>
    </row>
    <row r="186" spans="2:10" x14ac:dyDescent="0.3">
      <c r="B186" s="7"/>
      <c r="C186" s="13"/>
      <c r="D186" s="13" t="str">
        <f>'Trade Category Identification'!F12</f>
        <v>-</v>
      </c>
      <c r="E186" s="13"/>
      <c r="F186" s="13"/>
      <c r="G186" s="13">
        <f t="shared" si="1"/>
        <v>0</v>
      </c>
      <c r="H186" s="46">
        <f ca="1">'Worker Premium Calc'!S12</f>
        <v>0</v>
      </c>
      <c r="I186" s="13">
        <f t="shared" ca="1" si="2"/>
        <v>0</v>
      </c>
      <c r="J186" s="8" t="str">
        <f>IFERROR(INDEX('Trade Category'!$C$2:$C$830,MATCH(D186,'Trade Category'!$F$2:$F$830,0)),"")</f>
        <v/>
      </c>
    </row>
    <row r="187" spans="2:10" x14ac:dyDescent="0.3">
      <c r="B187" s="7"/>
      <c r="C187" s="13"/>
      <c r="D187" s="13" t="str">
        <f>'Trade Category Identification'!F13</f>
        <v>-</v>
      </c>
      <c r="E187" s="13"/>
      <c r="F187" s="13"/>
      <c r="G187" s="13">
        <f t="shared" si="1"/>
        <v>0</v>
      </c>
      <c r="H187" s="46">
        <f ca="1">'Worker Premium Calc'!S13</f>
        <v>0</v>
      </c>
      <c r="I187" s="13">
        <f t="shared" ca="1" si="2"/>
        <v>0</v>
      </c>
      <c r="J187" s="8" t="str">
        <f>IFERROR(INDEX('Trade Category'!$C$2:$C$830,MATCH(D187,'Trade Category'!$F$2:$F$830,0)),"")</f>
        <v/>
      </c>
    </row>
    <row r="188" spans="2:10" x14ac:dyDescent="0.3">
      <c r="B188" s="7"/>
      <c r="C188" s="13"/>
      <c r="D188" s="13" t="str">
        <f>'Trade Category Identification'!F14</f>
        <v>-</v>
      </c>
      <c r="E188" s="13"/>
      <c r="F188" s="13"/>
      <c r="G188" s="13">
        <f t="shared" si="1"/>
        <v>0</v>
      </c>
      <c r="H188" s="46">
        <f ca="1">'Worker Premium Calc'!S14</f>
        <v>0</v>
      </c>
      <c r="I188" s="13">
        <f t="shared" ca="1" si="2"/>
        <v>0</v>
      </c>
      <c r="J188" s="8" t="str">
        <f>IFERROR(INDEX('Trade Category'!$C$2:$C$830,MATCH(D188,'Trade Category'!$F$2:$F$830,0)),"")</f>
        <v/>
      </c>
    </row>
    <row r="189" spans="2:10" x14ac:dyDescent="0.3">
      <c r="B189" s="7"/>
      <c r="C189" s="13"/>
      <c r="D189" s="13" t="str">
        <f>'Trade Category Identification'!F15</f>
        <v>-</v>
      </c>
      <c r="E189" s="13"/>
      <c r="F189" s="13"/>
      <c r="G189" s="13">
        <f t="shared" si="1"/>
        <v>0</v>
      </c>
      <c r="H189" s="46">
        <f ca="1">'Worker Premium Calc'!S15</f>
        <v>0</v>
      </c>
      <c r="I189" s="13">
        <f t="shared" ca="1" si="2"/>
        <v>0</v>
      </c>
      <c r="J189" s="8" t="str">
        <f>IFERROR(INDEX('Trade Category'!$C$2:$C$830,MATCH(D189,'Trade Category'!$F$2:$F$830,0)),"")</f>
        <v/>
      </c>
    </row>
    <row r="190" spans="2:10" x14ac:dyDescent="0.3">
      <c r="B190" s="7"/>
      <c r="C190" s="13"/>
      <c r="D190" s="13" t="str">
        <f>'Trade Category Identification'!F16</f>
        <v>-</v>
      </c>
      <c r="E190" s="13"/>
      <c r="F190" s="13"/>
      <c r="G190" s="13">
        <f t="shared" si="1"/>
        <v>0</v>
      </c>
      <c r="H190" s="46">
        <f ca="1">'Worker Premium Calc'!S16</f>
        <v>0</v>
      </c>
      <c r="I190" s="13">
        <f t="shared" ca="1" si="2"/>
        <v>0</v>
      </c>
      <c r="J190" s="8" t="str">
        <f>IFERROR(INDEX('Trade Category'!$C$2:$C$830,MATCH(D190,'Trade Category'!$F$2:$F$830,0)),"")</f>
        <v/>
      </c>
    </row>
    <row r="191" spans="2:10" x14ac:dyDescent="0.3">
      <c r="B191" s="7"/>
      <c r="C191" s="13"/>
      <c r="D191" s="13" t="str">
        <f>'Trade Category Identification'!F17</f>
        <v>-</v>
      </c>
      <c r="E191" s="13"/>
      <c r="F191" s="13"/>
      <c r="G191" s="13">
        <f t="shared" si="1"/>
        <v>0</v>
      </c>
      <c r="H191" s="46">
        <f ca="1">'Worker Premium Calc'!S17</f>
        <v>0</v>
      </c>
      <c r="I191" s="13">
        <f t="shared" ca="1" si="2"/>
        <v>0</v>
      </c>
      <c r="J191" s="8" t="str">
        <f>IFERROR(INDEX('Trade Category'!$C$2:$C$830,MATCH(D191,'Trade Category'!$F$2:$F$830,0)),"")</f>
        <v/>
      </c>
    </row>
    <row r="192" spans="2:10" x14ac:dyDescent="0.3">
      <c r="B192" s="7"/>
      <c r="C192" s="13"/>
      <c r="D192" s="13" t="str">
        <f>'Trade Category Identification'!F18</f>
        <v>-</v>
      </c>
      <c r="E192" s="13"/>
      <c r="F192" s="13"/>
      <c r="G192" s="13">
        <f t="shared" si="1"/>
        <v>0</v>
      </c>
      <c r="H192" s="46">
        <f ca="1">'Worker Premium Calc'!S18</f>
        <v>0</v>
      </c>
      <c r="I192" s="13">
        <f t="shared" ca="1" si="2"/>
        <v>0</v>
      </c>
      <c r="J192" s="8" t="str">
        <f>IFERROR(INDEX('Trade Category'!$C$2:$C$830,MATCH(D192,'Trade Category'!$F$2:$F$830,0)),"")</f>
        <v/>
      </c>
    </row>
    <row r="193" spans="2:10" x14ac:dyDescent="0.3">
      <c r="B193" s="7"/>
      <c r="C193" s="13"/>
      <c r="D193" s="13" t="str">
        <f>'Trade Category Identification'!F19</f>
        <v>-</v>
      </c>
      <c r="E193" s="13"/>
      <c r="F193" s="13"/>
      <c r="G193" s="13">
        <f t="shared" si="1"/>
        <v>0</v>
      </c>
      <c r="H193" s="46">
        <f ca="1">'Worker Premium Calc'!S19</f>
        <v>0</v>
      </c>
      <c r="I193" s="13">
        <f t="shared" ca="1" si="2"/>
        <v>0</v>
      </c>
      <c r="J193" s="8" t="str">
        <f>IFERROR(INDEX('Trade Category'!$C$2:$C$830,MATCH(D193,'Trade Category'!$F$2:$F$830,0)),"")</f>
        <v/>
      </c>
    </row>
    <row r="194" spans="2:10" x14ac:dyDescent="0.3">
      <c r="B194" s="7"/>
      <c r="C194" s="13"/>
      <c r="D194" s="13" t="str">
        <f>'Trade Category Identification'!F20</f>
        <v>-</v>
      </c>
      <c r="E194" s="13"/>
      <c r="F194" s="13"/>
      <c r="G194" s="13">
        <f t="shared" si="1"/>
        <v>0</v>
      </c>
      <c r="H194" s="46">
        <f ca="1">'Worker Premium Calc'!S20</f>
        <v>0</v>
      </c>
      <c r="I194" s="13">
        <f t="shared" ca="1" si="2"/>
        <v>0</v>
      </c>
      <c r="J194" s="8" t="str">
        <f>IFERROR(INDEX('Trade Category'!$C$2:$C$830,MATCH(D194,'Trade Category'!$F$2:$F$830,0)),"")</f>
        <v/>
      </c>
    </row>
    <row r="195" spans="2:10" x14ac:dyDescent="0.3">
      <c r="B195" s="7"/>
      <c r="C195" s="13"/>
      <c r="D195" s="13" t="str">
        <f>'Trade Category Identification'!F21</f>
        <v>-</v>
      </c>
      <c r="E195" s="13"/>
      <c r="F195" s="13"/>
      <c r="G195" s="13">
        <f t="shared" si="1"/>
        <v>0</v>
      </c>
      <c r="H195" s="46">
        <f ca="1">'Worker Premium Calc'!S21</f>
        <v>0</v>
      </c>
      <c r="I195" s="13">
        <f t="shared" ca="1" si="2"/>
        <v>0</v>
      </c>
      <c r="J195" s="8" t="str">
        <f>IFERROR(INDEX('Trade Category'!$C$2:$C$830,MATCH(D195,'Trade Category'!$F$2:$F$830,0)),"")</f>
        <v/>
      </c>
    </row>
    <row r="196" spans="2:10" x14ac:dyDescent="0.3">
      <c r="B196" s="7"/>
      <c r="C196" s="13"/>
      <c r="D196" s="13" t="str">
        <f>'Trade Category Identification'!F22</f>
        <v>-</v>
      </c>
      <c r="E196" s="13"/>
      <c r="F196" s="13"/>
      <c r="G196" s="13">
        <f t="shared" si="1"/>
        <v>0</v>
      </c>
      <c r="H196" s="46">
        <f ca="1">'Worker Premium Calc'!S22</f>
        <v>0</v>
      </c>
      <c r="I196" s="13">
        <f t="shared" ca="1" si="2"/>
        <v>0</v>
      </c>
      <c r="J196" s="8" t="str">
        <f>IFERROR(INDEX('Trade Category'!$C$2:$C$830,MATCH(D196,'Trade Category'!$F$2:$F$830,0)),"")</f>
        <v/>
      </c>
    </row>
    <row r="197" spans="2:10" x14ac:dyDescent="0.3">
      <c r="B197" s="7"/>
      <c r="C197" s="13"/>
      <c r="D197" s="13" t="str">
        <f>'Trade Category Identification'!F23</f>
        <v>-</v>
      </c>
      <c r="E197" s="13"/>
      <c r="F197" s="13"/>
      <c r="G197" s="13">
        <f t="shared" si="1"/>
        <v>0</v>
      </c>
      <c r="H197" s="46">
        <f ca="1">'Worker Premium Calc'!S23</f>
        <v>0</v>
      </c>
      <c r="I197" s="13">
        <f t="shared" ca="1" si="2"/>
        <v>0</v>
      </c>
      <c r="J197" s="8" t="str">
        <f>IFERROR(INDEX('Trade Category'!$C$2:$C$830,MATCH(D197,'Trade Category'!$F$2:$F$830,0)),"")</f>
        <v/>
      </c>
    </row>
    <row r="198" spans="2:10" x14ac:dyDescent="0.3">
      <c r="B198" s="7"/>
      <c r="C198" s="13"/>
      <c r="D198" s="13" t="str">
        <f>'Trade Category Identification'!F24</f>
        <v>-</v>
      </c>
      <c r="E198" s="13"/>
      <c r="F198" s="13"/>
      <c r="G198" s="13">
        <f t="shared" si="1"/>
        <v>0</v>
      </c>
      <c r="H198" s="46">
        <f ca="1">'Worker Premium Calc'!S24</f>
        <v>0</v>
      </c>
      <c r="I198" s="13">
        <f t="shared" ca="1" si="2"/>
        <v>0</v>
      </c>
      <c r="J198" s="8" t="str">
        <f>IFERROR(INDEX('Trade Category'!$C$2:$C$830,MATCH(D198,'Trade Category'!$F$2:$F$830,0)),"")</f>
        <v/>
      </c>
    </row>
    <row r="199" spans="2:10" x14ac:dyDescent="0.3">
      <c r="B199" s="7"/>
      <c r="C199" s="13"/>
      <c r="D199" s="13" t="str">
        <f>'Trade Category Identification'!F25</f>
        <v>-</v>
      </c>
      <c r="E199" s="13"/>
      <c r="F199" s="13"/>
      <c r="G199" s="13">
        <f t="shared" si="1"/>
        <v>0</v>
      </c>
      <c r="H199" s="46">
        <f ca="1">'Worker Premium Calc'!S25</f>
        <v>0</v>
      </c>
      <c r="I199" s="13">
        <f t="shared" ca="1" si="2"/>
        <v>0</v>
      </c>
      <c r="J199" s="8" t="str">
        <f>IFERROR(INDEX('Trade Category'!$C$2:$C$830,MATCH(D199,'Trade Category'!$F$2:$F$830,0)),"")</f>
        <v/>
      </c>
    </row>
    <row r="200" spans="2:10" x14ac:dyDescent="0.3">
      <c r="B200" s="7"/>
      <c r="C200" s="13"/>
      <c r="D200" s="13" t="str">
        <f>'Trade Category Identification'!F26</f>
        <v>-</v>
      </c>
      <c r="E200" s="13"/>
      <c r="F200" s="13"/>
      <c r="G200" s="13">
        <f t="shared" si="1"/>
        <v>0</v>
      </c>
      <c r="H200" s="46">
        <f ca="1">'Worker Premium Calc'!S26</f>
        <v>0</v>
      </c>
      <c r="I200" s="13">
        <f t="shared" ca="1" si="2"/>
        <v>0</v>
      </c>
      <c r="J200" s="8" t="str">
        <f>IFERROR(INDEX('Trade Category'!$C$2:$C$830,MATCH(D200,'Trade Category'!$F$2:$F$830,0)),"")</f>
        <v/>
      </c>
    </row>
    <row r="201" spans="2:10" x14ac:dyDescent="0.3">
      <c r="B201" s="7"/>
      <c r="C201" s="13"/>
      <c r="D201" s="13" t="str">
        <f>'Trade Category Identification'!F27</f>
        <v>-</v>
      </c>
      <c r="E201" s="13"/>
      <c r="F201" s="13"/>
      <c r="G201" s="13">
        <f t="shared" si="1"/>
        <v>0</v>
      </c>
      <c r="H201" s="46">
        <f ca="1">'Worker Premium Calc'!S27</f>
        <v>0</v>
      </c>
      <c r="I201" s="13">
        <f t="shared" ca="1" si="2"/>
        <v>0</v>
      </c>
      <c r="J201" s="8" t="str">
        <f>IFERROR(INDEX('Trade Category'!$C$2:$C$830,MATCH(D201,'Trade Category'!$F$2:$F$830,0)),"")</f>
        <v/>
      </c>
    </row>
    <row r="202" spans="2:10" x14ac:dyDescent="0.3">
      <c r="B202" s="7"/>
      <c r="C202" s="13"/>
      <c r="D202" s="13" t="str">
        <f>'Trade Category Identification'!F28</f>
        <v>-</v>
      </c>
      <c r="E202" s="13"/>
      <c r="F202" s="13"/>
      <c r="G202" s="13">
        <f t="shared" si="1"/>
        <v>0</v>
      </c>
      <c r="H202" s="46">
        <f ca="1">'Worker Premium Calc'!S28</f>
        <v>0</v>
      </c>
      <c r="I202" s="13">
        <f t="shared" ca="1" si="2"/>
        <v>0</v>
      </c>
      <c r="J202" s="8" t="str">
        <f>IFERROR(INDEX('Trade Category'!$C$2:$C$830,MATCH(D202,'Trade Category'!$F$2:$F$830,0)),"")</f>
        <v/>
      </c>
    </row>
    <row r="203" spans="2:10" x14ac:dyDescent="0.3">
      <c r="B203" s="7"/>
      <c r="C203" s="13"/>
      <c r="D203" s="13" t="str">
        <f>'Trade Category Identification'!F29</f>
        <v>-</v>
      </c>
      <c r="E203" s="13"/>
      <c r="F203" s="13"/>
      <c r="G203" s="13">
        <f t="shared" si="1"/>
        <v>0</v>
      </c>
      <c r="H203" s="46">
        <f ca="1">'Worker Premium Calc'!S29</f>
        <v>0</v>
      </c>
      <c r="I203" s="13">
        <f t="shared" ca="1" si="2"/>
        <v>0</v>
      </c>
      <c r="J203" s="8" t="str">
        <f>IFERROR(INDEX('Trade Category'!$C$2:$C$830,MATCH(D203,'Trade Category'!$F$2:$F$830,0)),"")</f>
        <v/>
      </c>
    </row>
    <row r="204" spans="2:10" x14ac:dyDescent="0.3">
      <c r="B204" s="7"/>
      <c r="C204" s="13"/>
      <c r="D204" s="13" t="str">
        <f>'Trade Category Identification'!F30</f>
        <v>-</v>
      </c>
      <c r="E204" s="13"/>
      <c r="F204" s="13"/>
      <c r="G204" s="13">
        <f t="shared" si="1"/>
        <v>0</v>
      </c>
      <c r="H204" s="46">
        <f ca="1">'Worker Premium Calc'!S30</f>
        <v>0</v>
      </c>
      <c r="I204" s="13">
        <f t="shared" ca="1" si="2"/>
        <v>0</v>
      </c>
      <c r="J204" s="8" t="str">
        <f>IFERROR(INDEX('Trade Category'!$C$2:$C$830,MATCH(D204,'Trade Category'!$F$2:$F$830,0)),"")</f>
        <v/>
      </c>
    </row>
    <row r="205" spans="2:10" x14ac:dyDescent="0.3">
      <c r="B205" s="7"/>
      <c r="C205" s="13"/>
      <c r="D205" s="13" t="str">
        <f>'Trade Category Identification'!F31</f>
        <v>-</v>
      </c>
      <c r="E205" s="13"/>
      <c r="F205" s="13"/>
      <c r="G205" s="13">
        <f t="shared" si="1"/>
        <v>0</v>
      </c>
      <c r="H205" s="46">
        <f ca="1">'Worker Premium Calc'!S31</f>
        <v>0</v>
      </c>
      <c r="I205" s="13">
        <f t="shared" ca="1" si="2"/>
        <v>0</v>
      </c>
      <c r="J205" s="8" t="str">
        <f>IFERROR(INDEX('Trade Category'!$C$2:$C$830,MATCH(D205,'Trade Category'!$F$2:$F$830,0)),"")</f>
        <v/>
      </c>
    </row>
    <row r="206" spans="2:10" x14ac:dyDescent="0.3">
      <c r="B206" s="7"/>
      <c r="C206" s="13"/>
      <c r="D206" s="13" t="str">
        <f>'Trade Category Identification'!F32</f>
        <v>-</v>
      </c>
      <c r="E206" s="13"/>
      <c r="F206" s="13"/>
      <c r="G206" s="13">
        <f t="shared" si="1"/>
        <v>0</v>
      </c>
      <c r="H206" s="46">
        <f ca="1">'Worker Premium Calc'!S32</f>
        <v>0</v>
      </c>
      <c r="I206" s="13">
        <f t="shared" ca="1" si="2"/>
        <v>0</v>
      </c>
      <c r="J206" s="8" t="str">
        <f>IFERROR(INDEX('Trade Category'!$C$2:$C$830,MATCH(D206,'Trade Category'!$F$2:$F$830,0)),"")</f>
        <v/>
      </c>
    </row>
    <row r="207" spans="2:10" x14ac:dyDescent="0.3">
      <c r="B207" s="7"/>
      <c r="C207" s="13"/>
      <c r="D207" s="13" t="str">
        <f>'Trade Category Identification'!F33</f>
        <v>-</v>
      </c>
      <c r="E207" s="13"/>
      <c r="F207" s="13"/>
      <c r="G207" s="13">
        <f t="shared" si="1"/>
        <v>0</v>
      </c>
      <c r="H207" s="46">
        <f ca="1">'Worker Premium Calc'!S33</f>
        <v>0</v>
      </c>
      <c r="I207" s="13">
        <f t="shared" ca="1" si="2"/>
        <v>0</v>
      </c>
      <c r="J207" s="8" t="str">
        <f>IFERROR(INDEX('Trade Category'!$C$2:$C$830,MATCH(D207,'Trade Category'!$F$2:$F$830,0)),"")</f>
        <v/>
      </c>
    </row>
    <row r="208" spans="2:10" x14ac:dyDescent="0.3">
      <c r="B208" s="7"/>
      <c r="C208" s="13"/>
      <c r="D208" s="13" t="str">
        <f>'Trade Category Identification'!F34</f>
        <v>-</v>
      </c>
      <c r="E208" s="13"/>
      <c r="F208" s="13"/>
      <c r="G208" s="13">
        <f t="shared" si="1"/>
        <v>0</v>
      </c>
      <c r="H208" s="46">
        <f ca="1">'Worker Premium Calc'!S34</f>
        <v>0</v>
      </c>
      <c r="I208" s="13">
        <f t="shared" ca="1" si="2"/>
        <v>0</v>
      </c>
      <c r="J208" s="8" t="str">
        <f>IFERROR(INDEX('Trade Category'!$C$2:$C$830,MATCH(D208,'Trade Category'!$F$2:$F$830,0)),"")</f>
        <v/>
      </c>
    </row>
    <row r="209" spans="2:10" x14ac:dyDescent="0.3">
      <c r="B209" s="7"/>
      <c r="C209" s="13"/>
      <c r="D209" s="13" t="str">
        <f>'Trade Category Identification'!F35</f>
        <v>-</v>
      </c>
      <c r="E209" s="13"/>
      <c r="F209" s="13"/>
      <c r="G209" s="13">
        <f t="shared" si="1"/>
        <v>0</v>
      </c>
      <c r="H209" s="46">
        <f ca="1">'Worker Premium Calc'!S35</f>
        <v>0</v>
      </c>
      <c r="I209" s="13">
        <f t="shared" ca="1" si="2"/>
        <v>0</v>
      </c>
      <c r="J209" s="8" t="str">
        <f>IFERROR(INDEX('Trade Category'!$C$2:$C$830,MATCH(D209,'Trade Category'!$F$2:$F$830,0)),"")</f>
        <v/>
      </c>
    </row>
    <row r="210" spans="2:10" x14ac:dyDescent="0.3">
      <c r="B210" s="7"/>
      <c r="C210" s="13"/>
      <c r="D210" s="13" t="str">
        <f>'Trade Category Identification'!F36</f>
        <v>-</v>
      </c>
      <c r="E210" s="13"/>
      <c r="F210" s="13"/>
      <c r="G210" s="13">
        <f t="shared" si="1"/>
        <v>0</v>
      </c>
      <c r="H210" s="46">
        <f ca="1">'Worker Premium Calc'!S36</f>
        <v>0</v>
      </c>
      <c r="I210" s="13">
        <f t="shared" ca="1" si="2"/>
        <v>0</v>
      </c>
      <c r="J210" s="8" t="str">
        <f>IFERROR(INDEX('Trade Category'!$C$2:$C$830,MATCH(D210,'Trade Category'!$F$2:$F$830,0)),"")</f>
        <v/>
      </c>
    </row>
    <row r="211" spans="2:10" x14ac:dyDescent="0.3">
      <c r="B211" s="7"/>
      <c r="C211" s="13"/>
      <c r="D211" s="13" t="str">
        <f>'Trade Category Identification'!F37</f>
        <v>-</v>
      </c>
      <c r="E211" s="13"/>
      <c r="F211" s="13"/>
      <c r="G211" s="13">
        <f t="shared" ref="G211:G228" si="3">SUM(C211*F211*policy_term)</f>
        <v>0</v>
      </c>
      <c r="H211" s="46">
        <f ca="1">'Worker Premium Calc'!S37</f>
        <v>0</v>
      </c>
      <c r="I211" s="13">
        <f t="shared" ca="1" si="2"/>
        <v>0</v>
      </c>
      <c r="J211" s="8" t="str">
        <f>IFERROR(INDEX('Trade Category'!$C$2:$C$830,MATCH(D211,'Trade Category'!$F$2:$F$830,0)),"")</f>
        <v/>
      </c>
    </row>
    <row r="212" spans="2:10" x14ac:dyDescent="0.3">
      <c r="B212" s="7"/>
      <c r="C212" s="13"/>
      <c r="D212" s="13" t="str">
        <f>'Trade Category Identification'!F38</f>
        <v>-</v>
      </c>
      <c r="E212" s="13"/>
      <c r="F212" s="13"/>
      <c r="G212" s="13">
        <f t="shared" si="3"/>
        <v>0</v>
      </c>
      <c r="H212" s="46">
        <f ca="1">'Worker Premium Calc'!S38</f>
        <v>0</v>
      </c>
      <c r="I212" s="13">
        <f t="shared" ca="1" si="2"/>
        <v>0</v>
      </c>
      <c r="J212" s="8" t="str">
        <f>IFERROR(INDEX('Trade Category'!$C$2:$C$830,MATCH(D212,'Trade Category'!$F$2:$F$830,0)),"")</f>
        <v/>
      </c>
    </row>
    <row r="213" spans="2:10" x14ac:dyDescent="0.3">
      <c r="B213" s="7"/>
      <c r="C213" s="13"/>
      <c r="D213" s="13" t="str">
        <f>'Trade Category Identification'!F39</f>
        <v>-</v>
      </c>
      <c r="E213" s="13"/>
      <c r="F213" s="13"/>
      <c r="G213" s="13">
        <f t="shared" si="3"/>
        <v>0</v>
      </c>
      <c r="H213" s="46">
        <f ca="1">'Worker Premium Calc'!S39</f>
        <v>0</v>
      </c>
      <c r="I213" s="13">
        <f t="shared" ca="1" si="2"/>
        <v>0</v>
      </c>
      <c r="J213" s="8" t="str">
        <f>IFERROR(INDEX('Trade Category'!$C$2:$C$830,MATCH(D213,'Trade Category'!$F$2:$F$830,0)),"")</f>
        <v/>
      </c>
    </row>
    <row r="214" spans="2:10" x14ac:dyDescent="0.3">
      <c r="B214" s="7"/>
      <c r="C214" s="13"/>
      <c r="D214" s="13" t="str">
        <f>'Trade Category Identification'!F40</f>
        <v>-</v>
      </c>
      <c r="E214" s="13"/>
      <c r="F214" s="13"/>
      <c r="G214" s="13">
        <f t="shared" si="3"/>
        <v>0</v>
      </c>
      <c r="H214" s="46">
        <f ca="1">'Worker Premium Calc'!S40</f>
        <v>0</v>
      </c>
      <c r="I214" s="13">
        <f t="shared" ca="1" si="2"/>
        <v>0</v>
      </c>
      <c r="J214" s="8" t="str">
        <f>IFERROR(INDEX('Trade Category'!$C$2:$C$830,MATCH(D214,'Trade Category'!$F$2:$F$830,0)),"")</f>
        <v/>
      </c>
    </row>
    <row r="215" spans="2:10" x14ac:dyDescent="0.3">
      <c r="B215" s="7"/>
      <c r="C215" s="13"/>
      <c r="D215" s="13" t="str">
        <f>'Trade Category Identification'!F41</f>
        <v>-</v>
      </c>
      <c r="E215" s="13"/>
      <c r="F215" s="13"/>
      <c r="G215" s="13">
        <f t="shared" si="3"/>
        <v>0</v>
      </c>
      <c r="H215" s="46">
        <f ca="1">'Worker Premium Calc'!S41</f>
        <v>0</v>
      </c>
      <c r="I215" s="13">
        <f t="shared" ca="1" si="2"/>
        <v>0</v>
      </c>
      <c r="J215" s="8" t="str">
        <f>IFERROR(INDEX('Trade Category'!$C$2:$C$830,MATCH(D215,'Trade Category'!$F$2:$F$830,0)),"")</f>
        <v/>
      </c>
    </row>
    <row r="216" spans="2:10" x14ac:dyDescent="0.3">
      <c r="B216" s="7"/>
      <c r="C216" s="13"/>
      <c r="D216" s="13" t="str">
        <f>'Trade Category Identification'!F42</f>
        <v>-</v>
      </c>
      <c r="E216" s="13"/>
      <c r="F216" s="13"/>
      <c r="G216" s="13">
        <f t="shared" si="3"/>
        <v>0</v>
      </c>
      <c r="H216" s="46">
        <f ca="1">'Worker Premium Calc'!S42</f>
        <v>0</v>
      </c>
      <c r="I216" s="13">
        <f t="shared" ca="1" si="2"/>
        <v>0</v>
      </c>
      <c r="J216" s="8" t="str">
        <f>IFERROR(INDEX('Trade Category'!$C$2:$C$830,MATCH(D216,'Trade Category'!$F$2:$F$830,0)),"")</f>
        <v/>
      </c>
    </row>
    <row r="217" spans="2:10" x14ac:dyDescent="0.3">
      <c r="B217" s="7"/>
      <c r="C217" s="13"/>
      <c r="D217" s="13" t="str">
        <f>'Trade Category Identification'!F43</f>
        <v>-</v>
      </c>
      <c r="E217" s="13"/>
      <c r="F217" s="13"/>
      <c r="G217" s="13">
        <f t="shared" si="3"/>
        <v>0</v>
      </c>
      <c r="H217" s="46">
        <f ca="1">'Worker Premium Calc'!S43</f>
        <v>0</v>
      </c>
      <c r="I217" s="13">
        <f t="shared" ca="1" si="2"/>
        <v>0</v>
      </c>
      <c r="J217" s="8" t="str">
        <f>IFERROR(INDEX('Trade Category'!$C$2:$C$830,MATCH(D217,'Trade Category'!$F$2:$F$830,0)),"")</f>
        <v/>
      </c>
    </row>
    <row r="218" spans="2:10" x14ac:dyDescent="0.3">
      <c r="B218" s="7"/>
      <c r="C218" s="13"/>
      <c r="D218" s="13" t="str">
        <f>'Trade Category Identification'!F44</f>
        <v>-</v>
      </c>
      <c r="E218" s="13"/>
      <c r="F218" s="13"/>
      <c r="G218" s="13">
        <f t="shared" si="3"/>
        <v>0</v>
      </c>
      <c r="H218" s="46">
        <f ca="1">'Worker Premium Calc'!S44</f>
        <v>0</v>
      </c>
      <c r="I218" s="13">
        <f t="shared" ca="1" si="2"/>
        <v>0</v>
      </c>
      <c r="J218" s="8" t="str">
        <f>IFERROR(INDEX('Trade Category'!$C$2:$C$830,MATCH(D218,'Trade Category'!$F$2:$F$830,0)),"")</f>
        <v/>
      </c>
    </row>
    <row r="219" spans="2:10" x14ac:dyDescent="0.3">
      <c r="B219" s="7"/>
      <c r="C219" s="13"/>
      <c r="D219" s="13" t="str">
        <f>'Trade Category Identification'!F45</f>
        <v>-</v>
      </c>
      <c r="E219" s="13"/>
      <c r="F219" s="13"/>
      <c r="G219" s="13">
        <f t="shared" si="3"/>
        <v>0</v>
      </c>
      <c r="H219" s="46">
        <f ca="1">'Worker Premium Calc'!S45</f>
        <v>0</v>
      </c>
      <c r="I219" s="13">
        <f t="shared" ca="1" si="2"/>
        <v>0</v>
      </c>
      <c r="J219" s="8" t="str">
        <f>IFERROR(INDEX('Trade Category'!$C$2:$C$830,MATCH(D219,'Trade Category'!$F$2:$F$830,0)),"")</f>
        <v/>
      </c>
    </row>
    <row r="220" spans="2:10" x14ac:dyDescent="0.3">
      <c r="B220" s="7"/>
      <c r="C220" s="13"/>
      <c r="D220" s="13" t="str">
        <f>'Trade Category Identification'!F46</f>
        <v>-</v>
      </c>
      <c r="E220" s="13"/>
      <c r="F220" s="13"/>
      <c r="G220" s="13">
        <f t="shared" si="3"/>
        <v>0</v>
      </c>
      <c r="H220" s="46">
        <f ca="1">'Worker Premium Calc'!S46</f>
        <v>0</v>
      </c>
      <c r="I220" s="13">
        <f t="shared" ca="1" si="2"/>
        <v>0</v>
      </c>
      <c r="J220" s="8" t="str">
        <f>IFERROR(INDEX('Trade Category'!$C$2:$C$830,MATCH(D220,'Trade Category'!$F$2:$F$830,0)),"")</f>
        <v/>
      </c>
    </row>
    <row r="221" spans="2:10" x14ac:dyDescent="0.3">
      <c r="B221" s="7"/>
      <c r="C221" s="13"/>
      <c r="D221" s="13" t="str">
        <f>'Trade Category Identification'!F47</f>
        <v>-</v>
      </c>
      <c r="E221" s="13"/>
      <c r="F221" s="13"/>
      <c r="G221" s="13">
        <f t="shared" si="3"/>
        <v>0</v>
      </c>
      <c r="H221" s="46">
        <f ca="1">'Worker Premium Calc'!S47</f>
        <v>0</v>
      </c>
      <c r="I221" s="13">
        <f t="shared" ca="1" si="2"/>
        <v>0</v>
      </c>
      <c r="J221" s="8" t="str">
        <f>IFERROR(INDEX('Trade Category'!$C$2:$C$830,MATCH(D221,'Trade Category'!$F$2:$F$830,0)),"")</f>
        <v/>
      </c>
    </row>
    <row r="222" spans="2:10" x14ac:dyDescent="0.3">
      <c r="B222" s="7"/>
      <c r="C222" s="13"/>
      <c r="D222" s="13" t="str">
        <f>'Trade Category Identification'!F48</f>
        <v>-</v>
      </c>
      <c r="E222" s="13"/>
      <c r="F222" s="13"/>
      <c r="G222" s="13">
        <f t="shared" si="3"/>
        <v>0</v>
      </c>
      <c r="H222" s="46">
        <f ca="1">'Worker Premium Calc'!S48</f>
        <v>0</v>
      </c>
      <c r="I222" s="13">
        <f t="shared" ca="1" si="2"/>
        <v>0</v>
      </c>
      <c r="J222" s="8" t="str">
        <f>IFERROR(INDEX('Trade Category'!$C$2:$C$830,MATCH(D222,'Trade Category'!$F$2:$F$830,0)),"")</f>
        <v/>
      </c>
    </row>
    <row r="223" spans="2:10" x14ac:dyDescent="0.3">
      <c r="B223" s="7"/>
      <c r="C223" s="13"/>
      <c r="D223" s="13" t="str">
        <f>'Trade Category Identification'!F49</f>
        <v>-</v>
      </c>
      <c r="E223" s="13"/>
      <c r="F223" s="13"/>
      <c r="G223" s="13">
        <f t="shared" si="3"/>
        <v>0</v>
      </c>
      <c r="H223" s="46">
        <f ca="1">'Worker Premium Calc'!S49</f>
        <v>0</v>
      </c>
      <c r="I223" s="13">
        <f t="shared" ca="1" si="2"/>
        <v>0</v>
      </c>
      <c r="J223" s="8" t="str">
        <f>IFERROR(INDEX('Trade Category'!$C$2:$C$830,MATCH(D223,'Trade Category'!$F$2:$F$830,0)),"")</f>
        <v/>
      </c>
    </row>
    <row r="224" spans="2:10" x14ac:dyDescent="0.3">
      <c r="B224" s="7"/>
      <c r="C224" s="13"/>
      <c r="D224" s="13" t="str">
        <f>'Trade Category Identification'!F50</f>
        <v>-</v>
      </c>
      <c r="E224" s="13"/>
      <c r="F224" s="13"/>
      <c r="G224" s="13">
        <f t="shared" si="3"/>
        <v>0</v>
      </c>
      <c r="H224" s="46">
        <f ca="1">'Worker Premium Calc'!S50</f>
        <v>0</v>
      </c>
      <c r="I224" s="13">
        <f t="shared" ca="1" si="2"/>
        <v>0</v>
      </c>
      <c r="J224" s="8" t="str">
        <f>IFERROR(INDEX('Trade Category'!$C$2:$C$830,MATCH(D224,'Trade Category'!$F$2:$F$830,0)),"")</f>
        <v/>
      </c>
    </row>
    <row r="225" spans="2:10" x14ac:dyDescent="0.3">
      <c r="B225" s="7"/>
      <c r="C225" s="13"/>
      <c r="D225" s="13" t="str">
        <f>'Trade Category Identification'!F51</f>
        <v>-</v>
      </c>
      <c r="E225" s="13"/>
      <c r="F225" s="13"/>
      <c r="G225" s="13">
        <f t="shared" si="3"/>
        <v>0</v>
      </c>
      <c r="H225" s="46">
        <f ca="1">'Worker Premium Calc'!S51</f>
        <v>0</v>
      </c>
      <c r="I225" s="13">
        <f t="shared" ca="1" si="2"/>
        <v>0</v>
      </c>
      <c r="J225" s="8" t="str">
        <f>IFERROR(INDEX('Trade Category'!$C$2:$C$830,MATCH(D225,'Trade Category'!$F$2:$F$830,0)),"")</f>
        <v/>
      </c>
    </row>
    <row r="226" spans="2:10" x14ac:dyDescent="0.3">
      <c r="B226" s="7"/>
      <c r="C226" s="13"/>
      <c r="D226" s="13" t="str">
        <f>'Trade Category Identification'!F52</f>
        <v>-</v>
      </c>
      <c r="E226" s="13"/>
      <c r="F226" s="13"/>
      <c r="G226" s="13">
        <f t="shared" si="3"/>
        <v>0</v>
      </c>
      <c r="H226" s="46">
        <f ca="1">'Worker Premium Calc'!S52</f>
        <v>0</v>
      </c>
      <c r="I226" s="13">
        <f t="shared" ca="1" si="2"/>
        <v>0</v>
      </c>
      <c r="J226" s="8" t="str">
        <f>IFERROR(INDEX('Trade Category'!$C$2:$C$830,MATCH(D226,'Trade Category'!$F$2:$F$830,0)),"")</f>
        <v/>
      </c>
    </row>
    <row r="227" spans="2:10" x14ac:dyDescent="0.3">
      <c r="B227" s="7"/>
      <c r="C227" s="13"/>
      <c r="D227" s="13" t="str">
        <f>'Trade Category Identification'!F53</f>
        <v>-</v>
      </c>
      <c r="E227" s="13"/>
      <c r="F227" s="13"/>
      <c r="G227" s="13">
        <f t="shared" si="3"/>
        <v>0</v>
      </c>
      <c r="H227" s="46">
        <f ca="1">'Worker Premium Calc'!S53</f>
        <v>0</v>
      </c>
      <c r="I227" s="13">
        <f t="shared" ca="1" si="2"/>
        <v>0</v>
      </c>
      <c r="J227" s="8" t="str">
        <f>IFERROR(INDEX('Trade Category'!$C$2:$C$830,MATCH(D227,'Trade Category'!$F$2:$F$830,0)),"")</f>
        <v/>
      </c>
    </row>
    <row r="228" spans="2:10" x14ac:dyDescent="0.3">
      <c r="B228" s="7"/>
      <c r="C228" s="13"/>
      <c r="D228" s="13" t="str">
        <f>'Trade Category Identification'!F54</f>
        <v>-</v>
      </c>
      <c r="E228" s="13"/>
      <c r="F228" s="13"/>
      <c r="G228" s="13">
        <f t="shared" si="3"/>
        <v>0</v>
      </c>
      <c r="H228" s="46">
        <f ca="1">'Worker Premium Calc'!S54</f>
        <v>0</v>
      </c>
      <c r="I228" s="13">
        <f t="shared" ca="1" si="2"/>
        <v>0</v>
      </c>
      <c r="J228" s="8" t="str">
        <f>IFERROR(INDEX('Trade Category'!$C$2:$C$830,MATCH(D228,'Trade Category'!$F$2:$F$830,0)),"")</f>
        <v/>
      </c>
    </row>
    <row r="229" spans="2:10" x14ac:dyDescent="0.3">
      <c r="B229" s="7"/>
      <c r="C229" s="13">
        <f>SUM(C179:C228)</f>
        <v>0</v>
      </c>
      <c r="D229" s="13"/>
      <c r="E229" s="13"/>
      <c r="F229" s="73">
        <f>SUM(F179:F228)</f>
        <v>0</v>
      </c>
      <c r="G229" s="13">
        <f>SUM(G179:G228)</f>
        <v>0</v>
      </c>
      <c r="H229" s="46">
        <f ca="1">SUM(H179:H228)</f>
        <v>0</v>
      </c>
      <c r="I229" s="13">
        <f t="shared" ca="1" si="2"/>
        <v>0</v>
      </c>
      <c r="J229" s="8"/>
    </row>
    <row r="230" spans="2:10" x14ac:dyDescent="0.3">
      <c r="B230" s="10"/>
      <c r="C230" s="9"/>
      <c r="D230" s="9"/>
      <c r="E230" s="9"/>
      <c r="F230" s="9"/>
      <c r="G230" s="9"/>
      <c r="H230" s="9"/>
      <c r="I230" s="9"/>
      <c r="J230" s="11"/>
    </row>
    <row r="232" spans="2:10" x14ac:dyDescent="0.3">
      <c r="B232" s="3"/>
      <c r="C232" s="4"/>
      <c r="D232" s="4"/>
      <c r="E232" s="4"/>
      <c r="F232" s="4"/>
      <c r="G232" s="4"/>
      <c r="H232" s="4"/>
      <c r="I232" s="4"/>
      <c r="J232" s="5"/>
    </row>
    <row r="233" spans="2:10" x14ac:dyDescent="0.3">
      <c r="B233" s="7"/>
      <c r="C233" s="6" t="s">
        <v>11300</v>
      </c>
      <c r="E233" s="6" t="s">
        <v>11301</v>
      </c>
      <c r="J233" s="8"/>
    </row>
    <row r="234" spans="2:10" x14ac:dyDescent="0.3">
      <c r="B234" s="7"/>
      <c r="C234" s="9" t="s">
        <v>220</v>
      </c>
      <c r="E234" s="9"/>
      <c r="J234" s="8"/>
    </row>
    <row r="235" spans="2:10" x14ac:dyDescent="0.3">
      <c r="B235" s="10"/>
      <c r="C235" s="9"/>
      <c r="D235" s="9"/>
      <c r="E235" s="9"/>
      <c r="F235" s="9"/>
      <c r="G235" s="9"/>
      <c r="H235" s="9"/>
      <c r="I235" s="9"/>
      <c r="J235" s="11"/>
    </row>
    <row r="237" spans="2:10" x14ac:dyDescent="0.3">
      <c r="B237" s="3"/>
      <c r="C237" s="4"/>
      <c r="D237" s="4"/>
      <c r="E237" s="4"/>
      <c r="F237" s="4"/>
      <c r="G237" s="4"/>
      <c r="H237" s="4"/>
      <c r="I237" s="4"/>
      <c r="J237" s="5"/>
    </row>
    <row r="238" spans="2:10" x14ac:dyDescent="0.3">
      <c r="B238" s="7"/>
      <c r="C238" s="76" t="s">
        <v>13088</v>
      </c>
      <c r="E238" s="76" t="s">
        <v>13089</v>
      </c>
      <c r="G238" s="80" t="s">
        <v>11444</v>
      </c>
      <c r="J238" s="8"/>
    </row>
    <row r="239" spans="2:10" x14ac:dyDescent="0.3">
      <c r="B239" s="7"/>
      <c r="C239" s="9"/>
      <c r="E239" s="9"/>
      <c r="G239" s="119"/>
      <c r="J239" s="8"/>
    </row>
    <row r="240" spans="2:10" x14ac:dyDescent="0.3">
      <c r="B240" s="10"/>
      <c r="C240" s="9"/>
      <c r="D240" s="9"/>
      <c r="E240" s="9"/>
      <c r="F240" s="9"/>
      <c r="G240" s="100">
        <f>IF(old_new_uin="new",loading_discount/100,0%)</f>
        <v>0</v>
      </c>
      <c r="H240" s="9">
        <f>IF(IFERROR(FIND(".",loading_discount),0)&gt;0,0,0)</f>
        <v>0</v>
      </c>
      <c r="I240" s="9"/>
      <c r="J240" s="11"/>
    </row>
    <row r="242" spans="2:10" x14ac:dyDescent="0.3">
      <c r="B242" s="3"/>
      <c r="C242" s="4"/>
      <c r="D242" s="4"/>
      <c r="E242" s="4"/>
      <c r="F242" s="4"/>
      <c r="G242" s="4"/>
      <c r="H242" s="4"/>
      <c r="I242" s="4"/>
      <c r="J242" s="5"/>
    </row>
    <row r="243" spans="2:10" x14ac:dyDescent="0.3">
      <c r="B243" s="7"/>
      <c r="C243" s="6" t="s">
        <v>12338</v>
      </c>
      <c r="E243" s="6" t="s">
        <v>12364</v>
      </c>
      <c r="H243" s="111">
        <f>IF(Quote!C245="",wc_dis_ec_prem,wc_dis_adj)</f>
        <v>0</v>
      </c>
      <c r="J243" s="8"/>
    </row>
    <row r="244" spans="2:10" x14ac:dyDescent="0.3">
      <c r="B244" s="7"/>
      <c r="C244" s="9"/>
      <c r="E244" s="99">
        <f>IFERROR(IF(C245=0,load_disc_perc,((C245/(1+medex_loading+od_loading))/net_premium)-1),0%)</f>
        <v>0</v>
      </c>
      <c r="H244" s="72">
        <f>wc_tariff_calc*100</f>
        <v>0</v>
      </c>
      <c r="J244" s="8"/>
    </row>
    <row r="245" spans="2:10" x14ac:dyDescent="0.3">
      <c r="B245" s="10"/>
      <c r="C245" s="9">
        <f>required_premium</f>
        <v>0</v>
      </c>
      <c r="D245" s="9"/>
      <c r="E245" s="99">
        <f>IFERROR(IF(loading_discount="",0%,IF(required_premium="",CONCATENATE(loading_discount,"%"),required_premium/net_premium-1)),0%)</f>
        <v>0</v>
      </c>
      <c r="F245" s="9"/>
      <c r="G245" s="9"/>
      <c r="H245" s="9" t="str">
        <f ca="1">CONCATENATE("Statutory Premium : ",ROUND(statutory_premium,0)," &amp; ","WC Tariff : ",ROUND(H244,2),"%"," &amp; ","Net Premium : ",ROUND(final_premium,0))</f>
        <v>Statutory Premium : 0 &amp; WC Tariff : 0% &amp; Net Premium : 0</v>
      </c>
      <c r="I245" s="9"/>
      <c r="J245" s="11"/>
    </row>
    <row r="246" spans="2:10" x14ac:dyDescent="0.3">
      <c r="H246" s="93"/>
    </row>
    <row r="247" spans="2:10" x14ac:dyDescent="0.3">
      <c r="B247" s="3"/>
      <c r="C247" s="4"/>
      <c r="D247" s="4"/>
      <c r="E247" s="4"/>
      <c r="F247" s="4"/>
      <c r="G247" s="4"/>
      <c r="H247" s="101"/>
      <c r="I247" s="4"/>
      <c r="J247" s="5"/>
    </row>
    <row r="248" spans="2:10" x14ac:dyDescent="0.3">
      <c r="B248" s="7"/>
      <c r="C248" s="76" t="s">
        <v>12365</v>
      </c>
      <c r="H248" s="93"/>
      <c r="J248" s="8"/>
    </row>
    <row r="249" spans="2:10" x14ac:dyDescent="0.3">
      <c r="B249" s="7"/>
      <c r="C249" s="9"/>
      <c r="H249" s="93"/>
      <c r="J249" s="8"/>
    </row>
    <row r="250" spans="2:10" x14ac:dyDescent="0.3">
      <c r="B250" s="10"/>
      <c r="C250" s="9"/>
      <c r="D250" s="9"/>
      <c r="E250" s="9"/>
      <c r="F250" s="9"/>
      <c r="G250" s="9"/>
      <c r="H250" s="99"/>
      <c r="I250" s="9"/>
      <c r="J250" s="11"/>
    </row>
    <row r="251" spans="2:10" x14ac:dyDescent="0.3">
      <c r="H251" s="93"/>
    </row>
    <row r="252" spans="2:10" x14ac:dyDescent="0.3">
      <c r="B252" s="3"/>
      <c r="C252" s="4"/>
      <c r="D252" s="4"/>
      <c r="E252" s="4"/>
      <c r="F252" s="4"/>
      <c r="G252" s="4"/>
      <c r="H252" s="4"/>
      <c r="I252" s="4"/>
      <c r="J252" s="5"/>
    </row>
    <row r="253" spans="2:10" x14ac:dyDescent="0.3">
      <c r="B253" s="7"/>
      <c r="C253" s="203" t="s">
        <v>12280</v>
      </c>
      <c r="D253" s="203"/>
      <c r="E253" s="203"/>
      <c r="F253" s="203"/>
      <c r="G253" s="203"/>
      <c r="H253" s="203"/>
      <c r="I253" s="203"/>
      <c r="J253" s="8"/>
    </row>
    <row r="254" spans="2:10" x14ac:dyDescent="0.3">
      <c r="B254" s="7"/>
      <c r="J254" s="8"/>
    </row>
    <row r="255" spans="2:10" x14ac:dyDescent="0.3">
      <c r="B255" s="7"/>
      <c r="C255" s="105" t="s">
        <v>11296</v>
      </c>
      <c r="J255" s="8"/>
    </row>
    <row r="256" spans="2:10" x14ac:dyDescent="0.3">
      <c r="B256" s="7"/>
      <c r="C256" s="9"/>
      <c r="J256" s="8"/>
    </row>
    <row r="257" spans="2:15" x14ac:dyDescent="0.3">
      <c r="B257" s="7"/>
      <c r="J257" s="8"/>
    </row>
    <row r="258" spans="2:15" x14ac:dyDescent="0.3">
      <c r="B258" s="7"/>
      <c r="C258" s="105" t="s">
        <v>11303</v>
      </c>
      <c r="E258" s="105" t="s">
        <v>11304</v>
      </c>
      <c r="G258" s="105" t="s">
        <v>11313</v>
      </c>
      <c r="I258" s="105" t="s">
        <v>11320</v>
      </c>
      <c r="J258" s="8"/>
    </row>
    <row r="259" spans="2:15" x14ac:dyDescent="0.3">
      <c r="B259" s="7"/>
      <c r="C259" s="9"/>
      <c r="E259" s="9"/>
      <c r="G259" s="9"/>
      <c r="I259" s="9"/>
      <c r="J259" s="8"/>
    </row>
    <row r="260" spans="2:15" x14ac:dyDescent="0.3">
      <c r="B260" s="7"/>
      <c r="J260" s="8"/>
    </row>
    <row r="261" spans="2:15" x14ac:dyDescent="0.3">
      <c r="B261" s="7"/>
      <c r="C261" s="105" t="s">
        <v>11306</v>
      </c>
      <c r="E261" s="105" t="s">
        <v>11307</v>
      </c>
      <c r="G261" s="105" t="s">
        <v>11316</v>
      </c>
      <c r="I261" s="105" t="s">
        <v>11322</v>
      </c>
      <c r="J261" s="8"/>
    </row>
    <row r="262" spans="2:15" x14ac:dyDescent="0.3">
      <c r="B262" s="7"/>
      <c r="C262" s="9"/>
      <c r="E262" s="9"/>
      <c r="G262" s="9"/>
      <c r="I262" s="9"/>
      <c r="J262" s="8"/>
    </row>
    <row r="263" spans="2:15" x14ac:dyDescent="0.3">
      <c r="B263" s="7"/>
      <c r="J263" s="8"/>
    </row>
    <row r="264" spans="2:15" x14ac:dyDescent="0.3">
      <c r="B264" s="7"/>
      <c r="C264" s="105" t="s">
        <v>11309</v>
      </c>
      <c r="E264" s="105" t="s">
        <v>11310</v>
      </c>
      <c r="G264" s="105" t="s">
        <v>11319</v>
      </c>
      <c r="I264" s="105" t="s">
        <v>11323</v>
      </c>
      <c r="J264" s="8"/>
    </row>
    <row r="265" spans="2:15" x14ac:dyDescent="0.3">
      <c r="B265" s="7"/>
      <c r="C265" s="9"/>
      <c r="E265" s="9"/>
      <c r="G265" s="9"/>
      <c r="I265" s="9"/>
      <c r="J265" s="8"/>
    </row>
    <row r="266" spans="2:15" x14ac:dyDescent="0.3">
      <c r="B266" s="7"/>
      <c r="J266" s="8"/>
    </row>
    <row r="267" spans="2:15" x14ac:dyDescent="0.3">
      <c r="B267" s="7"/>
      <c r="C267" s="105" t="s">
        <v>11312</v>
      </c>
      <c r="E267" s="105" t="s">
        <v>11318</v>
      </c>
      <c r="G267" s="105" t="s">
        <v>11314</v>
      </c>
      <c r="I267" s="105" t="s">
        <v>11317</v>
      </c>
      <c r="J267" s="8"/>
    </row>
    <row r="268" spans="2:15" x14ac:dyDescent="0.3">
      <c r="B268" s="7"/>
      <c r="C268" s="9"/>
      <c r="E268" s="9"/>
      <c r="G268" s="9"/>
      <c r="I268" s="9"/>
      <c r="J268" s="8"/>
    </row>
    <row r="269" spans="2:15" x14ac:dyDescent="0.3">
      <c r="B269" s="7"/>
      <c r="J269" s="8"/>
    </row>
    <row r="270" spans="2:15" x14ac:dyDescent="0.3">
      <c r="B270" s="7"/>
      <c r="C270" s="105" t="s">
        <v>11315</v>
      </c>
      <c r="E270" s="105" t="s">
        <v>11321</v>
      </c>
      <c r="J270" s="8"/>
    </row>
    <row r="271" spans="2:15" x14ac:dyDescent="0.3">
      <c r="B271" s="7"/>
      <c r="C271" s="9"/>
      <c r="E271" s="9"/>
      <c r="J271" s="8"/>
    </row>
    <row r="272" spans="2:15" x14ac:dyDescent="0.3">
      <c r="B272" s="10"/>
      <c r="C272" s="9"/>
      <c r="D272" s="9"/>
      <c r="E272" s="9"/>
      <c r="F272" s="9"/>
      <c r="G272" s="9"/>
      <c r="H272" s="9"/>
      <c r="I272" s="9"/>
      <c r="J272" s="11"/>
      <c r="N272" s="72">
        <f ca="1">M292</f>
        <v>0</v>
      </c>
      <c r="O272" s="72"/>
    </row>
    <row r="273" spans="2:20" x14ac:dyDescent="0.3">
      <c r="N273" s="72">
        <f ca="1">IF(N293=0,0,N293-N272)</f>
        <v>0</v>
      </c>
      <c r="O273" s="72"/>
    </row>
    <row r="274" spans="2:20" x14ac:dyDescent="0.3">
      <c r="B274" s="3"/>
      <c r="C274" s="4"/>
      <c r="D274" s="4"/>
      <c r="E274" s="4"/>
      <c r="F274" s="4"/>
      <c r="G274" s="4"/>
      <c r="H274" s="4"/>
      <c r="I274" s="4"/>
      <c r="J274" s="5"/>
      <c r="L274" s="195" t="s">
        <v>12315</v>
      </c>
      <c r="M274" s="196" t="s">
        <v>12316</v>
      </c>
      <c r="N274" s="197" t="s">
        <v>12317</v>
      </c>
      <c r="O274" s="197" t="s">
        <v>12318</v>
      </c>
    </row>
    <row r="275" spans="2:20" ht="14.4" customHeight="1" x14ac:dyDescent="0.3">
      <c r="B275" s="7"/>
      <c r="C275" s="13" t="s">
        <v>44</v>
      </c>
      <c r="D275" s="13" t="s">
        <v>11324</v>
      </c>
      <c r="E275" s="13" t="s">
        <v>71</v>
      </c>
      <c r="F275" s="13" t="s">
        <v>73</v>
      </c>
      <c r="G275" s="13" t="s">
        <v>74</v>
      </c>
      <c r="H275" s="13" t="s">
        <v>75</v>
      </c>
      <c r="I275" s="13" t="s">
        <v>71</v>
      </c>
      <c r="J275" s="8"/>
      <c r="L275" s="195"/>
      <c r="M275" s="196"/>
      <c r="N275" s="197"/>
      <c r="O275" s="197"/>
      <c r="Q275" s="125" t="s">
        <v>12315</v>
      </c>
      <c r="R275" s="125" t="s">
        <v>13226</v>
      </c>
      <c r="S275" s="125" t="s">
        <v>13227</v>
      </c>
      <c r="T275" s="126" t="s">
        <v>71</v>
      </c>
    </row>
    <row r="276" spans="2:20" x14ac:dyDescent="0.3">
      <c r="B276" s="7"/>
      <c r="C276" s="13" t="str">
        <f>IFERROR(LEFT(D276,4),"")</f>
        <v>-</v>
      </c>
      <c r="D276" s="13" t="str">
        <f t="array" ref="D276">IFERROR(INDEX($D$179:$D$228,MATCH(0,COUNTIF($D$275:D275,$D$179:$D$228),0)),"")</f>
        <v>-</v>
      </c>
      <c r="E276" s="85">
        <f ca="1">IF(D276="","",ROUND(SUMIF($D$179:$D$228,D276,$H$179:$H$228),2))</f>
        <v>0</v>
      </c>
      <c r="F276" s="85">
        <f ca="1">ROUND(SUM(L276,O276),5)</f>
        <v>0</v>
      </c>
      <c r="G276" s="85">
        <f t="shared" ref="G276:G290" ca="1" si="4">ROUND((L276*medex_loading),5)</f>
        <v>0</v>
      </c>
      <c r="H276" s="85">
        <f t="shared" ref="H276:H290" ca="1" si="5">ROUND((L276*od_loading),2)</f>
        <v>0</v>
      </c>
      <c r="I276" s="85">
        <f t="shared" ref="I276:I290" ca="1" si="6">ROUND(SUM(F276:H276),2)</f>
        <v>0</v>
      </c>
      <c r="J276" s="8"/>
      <c r="L276" s="72">
        <f ca="1">IFERROR(ROUND((E276*(1+final_load_disc))*(1+final_load_disc_per),5),0)</f>
        <v>0</v>
      </c>
      <c r="M276" s="72">
        <f ca="1">IFERROR(ROUND((E276*(1+final_load_disc))*(1+final_load_disc_per),3),0)+ROUND((L276*medex_loading),3)+ROUND((L276*od_loading),3)</f>
        <v>0</v>
      </c>
      <c r="N276" s="51">
        <f ca="1">IFERROR(M276/$N$272,0)</f>
        <v>0</v>
      </c>
      <c r="O276" s="6">
        <f ca="1">N276*$N$273</f>
        <v>0</v>
      </c>
      <c r="Q276" s="179">
        <f>IFERROR(ROUND((Renewal_Loading!C57*(1+final_load_disc_per))*1,5),0)</f>
        <v>0</v>
      </c>
      <c r="R276" s="179">
        <f t="shared" ref="R276:R290" si="7">ROUND((Q276*medex_loading),3)</f>
        <v>0</v>
      </c>
      <c r="S276" s="179">
        <f t="shared" ref="S276:S290" si="8">ROUND((Q276*od_loading),3)</f>
        <v>0</v>
      </c>
      <c r="T276" s="73">
        <f>ROUND(SUM(Q276:S276),2)</f>
        <v>0</v>
      </c>
    </row>
    <row r="277" spans="2:20" x14ac:dyDescent="0.3">
      <c r="B277" s="7"/>
      <c r="C277" s="13" t="str">
        <f t="shared" ref="C277:C290" si="9">IFERROR(LEFT(D277,4),"")</f>
        <v/>
      </c>
      <c r="D277" s="13" t="str">
        <f t="array" ref="D277">IFERROR(INDEX($D$179:$D$228,MATCH(0,COUNTIF($D$275:D276,$D$179:$D$228),0)),"")</f>
        <v/>
      </c>
      <c r="E277" s="85" t="str">
        <f t="shared" ref="E277:E290" si="10">IF(D277="","",ROUND(SUMIF($D$179:$D$228,D277,$H$179:$H$228),2))</f>
        <v/>
      </c>
      <c r="F277" s="85">
        <f t="shared" ref="F277:F290" ca="1" si="11">IFERROR(ROUND(SUM(L277,O277),5),0)</f>
        <v>0</v>
      </c>
      <c r="G277" s="85">
        <f t="shared" ca="1" si="4"/>
        <v>0</v>
      </c>
      <c r="H277" s="85">
        <f t="shared" ca="1" si="5"/>
        <v>0</v>
      </c>
      <c r="I277" s="85">
        <f t="shared" ca="1" si="6"/>
        <v>0</v>
      </c>
      <c r="J277" s="8"/>
      <c r="L277" s="72">
        <f t="shared" ref="L277:L290" ca="1" si="12">IFERROR(ROUND((E277*(1+final_load_disc))*(1+final_load_disc_per),5),0)</f>
        <v>0</v>
      </c>
      <c r="M277" s="72">
        <f t="shared" ref="M277:M290" ca="1" si="13">IFERROR(ROUND((E277*(1+final_load_disc))*(1+final_load_disc_per),3),0)+ROUND((L277*medex_loading),3)+ROUND((L277*od_loading),3)</f>
        <v>0</v>
      </c>
      <c r="N277" s="51">
        <f t="shared" ref="N277:N290" ca="1" si="14">IFERROR(E277/$N$272,0)</f>
        <v>0</v>
      </c>
      <c r="O277" s="6">
        <f t="shared" ref="O277:O290" ca="1" si="15">N277*$N$273</f>
        <v>0</v>
      </c>
      <c r="Q277" s="186">
        <f>IFERROR(ROUND((Renewal_Loading!C58*(1+final_load_disc_per))*1,5),0)</f>
        <v>0</v>
      </c>
      <c r="R277" s="127">
        <f t="shared" si="7"/>
        <v>0</v>
      </c>
      <c r="S277" s="127">
        <f t="shared" si="8"/>
        <v>0</v>
      </c>
      <c r="T277" s="13">
        <f t="shared" ref="T277:T290" si="16">ROUND(SUM(Q277:S277),2)</f>
        <v>0</v>
      </c>
    </row>
    <row r="278" spans="2:20" x14ac:dyDescent="0.3">
      <c r="B278" s="7"/>
      <c r="C278" s="13" t="str">
        <f>IFERROR(LEFT(D278,4),"")</f>
        <v/>
      </c>
      <c r="D278" s="13" t="str">
        <f t="array" ref="D278">IFERROR(INDEX($D$179:$D$228,MATCH(0,COUNTIF($D$275:D277,$D$179:$D$228),0)),"")</f>
        <v/>
      </c>
      <c r="E278" s="85" t="str">
        <f t="shared" si="10"/>
        <v/>
      </c>
      <c r="F278" s="85">
        <f t="shared" ca="1" si="11"/>
        <v>0</v>
      </c>
      <c r="G278" s="85">
        <f t="shared" ca="1" si="4"/>
        <v>0</v>
      </c>
      <c r="H278" s="85">
        <f t="shared" ca="1" si="5"/>
        <v>0</v>
      </c>
      <c r="I278" s="85">
        <f t="shared" ca="1" si="6"/>
        <v>0</v>
      </c>
      <c r="J278" s="8"/>
      <c r="L278" s="72">
        <f t="shared" ca="1" si="12"/>
        <v>0</v>
      </c>
      <c r="M278" s="72">
        <f t="shared" ca="1" si="13"/>
        <v>0</v>
      </c>
      <c r="N278" s="51">
        <f t="shared" ca="1" si="14"/>
        <v>0</v>
      </c>
      <c r="O278" s="6">
        <f t="shared" ca="1" si="15"/>
        <v>0</v>
      </c>
      <c r="Q278" s="186">
        <f>IFERROR(ROUND((Renewal_Loading!C59*(1+final_load_disc_per))*1,5),0)</f>
        <v>0</v>
      </c>
      <c r="R278" s="127">
        <f t="shared" si="7"/>
        <v>0</v>
      </c>
      <c r="S278" s="127">
        <f t="shared" si="8"/>
        <v>0</v>
      </c>
      <c r="T278" s="13">
        <f t="shared" si="16"/>
        <v>0</v>
      </c>
    </row>
    <row r="279" spans="2:20" x14ac:dyDescent="0.3">
      <c r="B279" s="7"/>
      <c r="C279" s="13" t="str">
        <f t="shared" si="9"/>
        <v/>
      </c>
      <c r="D279" s="13" t="str">
        <f>IFERROR(INDEX($D$179:$D$228,MATCH(0,COUNTIF($D$275:D278,$D$179:$D$228),0)),"")</f>
        <v/>
      </c>
      <c r="E279" s="85" t="str">
        <f t="shared" si="10"/>
        <v/>
      </c>
      <c r="F279" s="85">
        <f t="shared" ca="1" si="11"/>
        <v>0</v>
      </c>
      <c r="G279" s="85">
        <f t="shared" ca="1" si="4"/>
        <v>0</v>
      </c>
      <c r="H279" s="85">
        <f t="shared" ca="1" si="5"/>
        <v>0</v>
      </c>
      <c r="I279" s="85">
        <f t="shared" ca="1" si="6"/>
        <v>0</v>
      </c>
      <c r="J279" s="8"/>
      <c r="L279" s="72">
        <f t="shared" ca="1" si="12"/>
        <v>0</v>
      </c>
      <c r="M279" s="72">
        <f t="shared" ca="1" si="13"/>
        <v>0</v>
      </c>
      <c r="N279" s="51">
        <f t="shared" ca="1" si="14"/>
        <v>0</v>
      </c>
      <c r="O279" s="6">
        <f t="shared" ca="1" si="15"/>
        <v>0</v>
      </c>
      <c r="Q279" s="186">
        <f>IFERROR(ROUND((Renewal_Loading!C60*(1+final_load_disc_per))*1,5),0)</f>
        <v>0</v>
      </c>
      <c r="R279" s="127">
        <f t="shared" si="7"/>
        <v>0</v>
      </c>
      <c r="S279" s="127">
        <f t="shared" si="8"/>
        <v>0</v>
      </c>
      <c r="T279" s="13">
        <f t="shared" si="16"/>
        <v>0</v>
      </c>
    </row>
    <row r="280" spans="2:20" x14ac:dyDescent="0.3">
      <c r="B280" s="7"/>
      <c r="C280" s="13" t="str">
        <f t="shared" si="9"/>
        <v/>
      </c>
      <c r="D280" s="13" t="str">
        <f t="array" ref="D280">IFERROR(INDEX($D$179:$D$228,MATCH(0,COUNTIF($D$275:D279,$D$179:$D$228),0)),"")</f>
        <v/>
      </c>
      <c r="E280" s="85" t="str">
        <f t="shared" si="10"/>
        <v/>
      </c>
      <c r="F280" s="85">
        <f t="shared" ca="1" si="11"/>
        <v>0</v>
      </c>
      <c r="G280" s="85">
        <f t="shared" ca="1" si="4"/>
        <v>0</v>
      </c>
      <c r="H280" s="85">
        <f t="shared" ca="1" si="5"/>
        <v>0</v>
      </c>
      <c r="I280" s="85">
        <f t="shared" ca="1" si="6"/>
        <v>0</v>
      </c>
      <c r="J280" s="8"/>
      <c r="L280" s="72">
        <f ca="1">IFERROR(ROUND((E280*(1+final_load_disc))*(1+final_load_disc_per),5),0)</f>
        <v>0</v>
      </c>
      <c r="M280" s="72">
        <f t="shared" ca="1" si="13"/>
        <v>0</v>
      </c>
      <c r="N280" s="51">
        <f t="shared" ca="1" si="14"/>
        <v>0</v>
      </c>
      <c r="O280" s="6">
        <f t="shared" ca="1" si="15"/>
        <v>0</v>
      </c>
      <c r="Q280" s="186">
        <f>IFERROR(ROUND((Renewal_Loading!C61*(1+final_load_disc_per))*1,5),0)</f>
        <v>0</v>
      </c>
      <c r="R280" s="127">
        <f t="shared" si="7"/>
        <v>0</v>
      </c>
      <c r="S280" s="127">
        <f t="shared" si="8"/>
        <v>0</v>
      </c>
      <c r="T280" s="13">
        <f t="shared" si="16"/>
        <v>0</v>
      </c>
    </row>
    <row r="281" spans="2:20" x14ac:dyDescent="0.3">
      <c r="B281" s="7"/>
      <c r="C281" s="13" t="str">
        <f t="shared" si="9"/>
        <v/>
      </c>
      <c r="D281" s="13" t="str">
        <f t="array" ref="D281">IFERROR(INDEX($D$179:$D$228,MATCH(0,COUNTIF($D$275:D280,$D$179:$D$228),0)),"")</f>
        <v/>
      </c>
      <c r="E281" s="85" t="str">
        <f t="shared" si="10"/>
        <v/>
      </c>
      <c r="F281" s="85">
        <f t="shared" ca="1" si="11"/>
        <v>0</v>
      </c>
      <c r="G281" s="85">
        <f t="shared" ca="1" si="4"/>
        <v>0</v>
      </c>
      <c r="H281" s="85">
        <f t="shared" ca="1" si="5"/>
        <v>0</v>
      </c>
      <c r="I281" s="85">
        <f t="shared" ca="1" si="6"/>
        <v>0</v>
      </c>
      <c r="J281" s="8"/>
      <c r="L281" s="72">
        <f t="shared" ca="1" si="12"/>
        <v>0</v>
      </c>
      <c r="M281" s="72">
        <f t="shared" ca="1" si="13"/>
        <v>0</v>
      </c>
      <c r="N281" s="51">
        <f t="shared" ca="1" si="14"/>
        <v>0</v>
      </c>
      <c r="O281" s="6">
        <f t="shared" ca="1" si="15"/>
        <v>0</v>
      </c>
      <c r="Q281" s="186">
        <f>IFERROR(ROUND((Renewal_Loading!C62*(1+final_load_disc_per))*1,5),0)</f>
        <v>0</v>
      </c>
      <c r="R281" s="127">
        <f t="shared" si="7"/>
        <v>0</v>
      </c>
      <c r="S281" s="127">
        <f t="shared" si="8"/>
        <v>0</v>
      </c>
      <c r="T281" s="13">
        <f t="shared" si="16"/>
        <v>0</v>
      </c>
    </row>
    <row r="282" spans="2:20" x14ac:dyDescent="0.3">
      <c r="B282" s="7"/>
      <c r="C282" s="13" t="str">
        <f t="shared" si="9"/>
        <v/>
      </c>
      <c r="D282" s="13" t="str">
        <f t="array" ref="D282">IFERROR(INDEX($D$179:$D$228,MATCH(0,COUNTIF($D$275:D281,$D$179:$D$228),0)),"")</f>
        <v/>
      </c>
      <c r="E282" s="85" t="str">
        <f t="shared" si="10"/>
        <v/>
      </c>
      <c r="F282" s="85">
        <f t="shared" ca="1" si="11"/>
        <v>0</v>
      </c>
      <c r="G282" s="85">
        <f t="shared" ca="1" si="4"/>
        <v>0</v>
      </c>
      <c r="H282" s="85">
        <f t="shared" ca="1" si="5"/>
        <v>0</v>
      </c>
      <c r="I282" s="85">
        <f t="shared" ca="1" si="6"/>
        <v>0</v>
      </c>
      <c r="J282" s="8"/>
      <c r="L282" s="72">
        <f t="shared" ca="1" si="12"/>
        <v>0</v>
      </c>
      <c r="M282" s="72">
        <f t="shared" ca="1" si="13"/>
        <v>0</v>
      </c>
      <c r="N282" s="51">
        <f t="shared" ca="1" si="14"/>
        <v>0</v>
      </c>
      <c r="O282" s="6">
        <f t="shared" ca="1" si="15"/>
        <v>0</v>
      </c>
      <c r="Q282" s="186">
        <f>IFERROR(ROUND((Renewal_Loading!C63*(1+final_load_disc_per))*1,5),0)</f>
        <v>0</v>
      </c>
      <c r="R282" s="127">
        <f t="shared" si="7"/>
        <v>0</v>
      </c>
      <c r="S282" s="127">
        <f t="shared" si="8"/>
        <v>0</v>
      </c>
      <c r="T282" s="13">
        <f t="shared" si="16"/>
        <v>0</v>
      </c>
    </row>
    <row r="283" spans="2:20" x14ac:dyDescent="0.3">
      <c r="B283" s="7"/>
      <c r="C283" s="13" t="str">
        <f t="shared" si="9"/>
        <v/>
      </c>
      <c r="D283" s="13" t="str">
        <f t="array" ref="D283">IFERROR(INDEX($D$179:$D$228,MATCH(0,COUNTIF($D$275:D282,$D$179:$D$228),0)),"")</f>
        <v/>
      </c>
      <c r="E283" s="85" t="str">
        <f t="shared" si="10"/>
        <v/>
      </c>
      <c r="F283" s="85">
        <f t="shared" ca="1" si="11"/>
        <v>0</v>
      </c>
      <c r="G283" s="85">
        <f t="shared" ca="1" si="4"/>
        <v>0</v>
      </c>
      <c r="H283" s="85">
        <f t="shared" ca="1" si="5"/>
        <v>0</v>
      </c>
      <c r="I283" s="85">
        <f t="shared" ca="1" si="6"/>
        <v>0</v>
      </c>
      <c r="J283" s="8"/>
      <c r="L283" s="72">
        <f t="shared" ca="1" si="12"/>
        <v>0</v>
      </c>
      <c r="M283" s="72">
        <f t="shared" ca="1" si="13"/>
        <v>0</v>
      </c>
      <c r="N283" s="51">
        <f t="shared" ca="1" si="14"/>
        <v>0</v>
      </c>
      <c r="O283" s="6">
        <f t="shared" ca="1" si="15"/>
        <v>0</v>
      </c>
      <c r="Q283" s="186">
        <f>IFERROR(ROUND((Renewal_Loading!C64*(1+final_load_disc_per))*1,5),0)</f>
        <v>0</v>
      </c>
      <c r="R283" s="127">
        <f t="shared" si="7"/>
        <v>0</v>
      </c>
      <c r="S283" s="127">
        <f t="shared" si="8"/>
        <v>0</v>
      </c>
      <c r="T283" s="13">
        <f t="shared" si="16"/>
        <v>0</v>
      </c>
    </row>
    <row r="284" spans="2:20" x14ac:dyDescent="0.3">
      <c r="B284" s="7"/>
      <c r="C284" s="13" t="str">
        <f t="shared" si="9"/>
        <v/>
      </c>
      <c r="D284" s="13" t="str">
        <f t="array" ref="D284">IFERROR(INDEX($D$179:$D$228,MATCH(0,COUNTIF($D$275:D283,$D$179:$D$228),0)),"")</f>
        <v/>
      </c>
      <c r="E284" s="85" t="str">
        <f t="shared" si="10"/>
        <v/>
      </c>
      <c r="F284" s="85">
        <f t="shared" ca="1" si="11"/>
        <v>0</v>
      </c>
      <c r="G284" s="85">
        <f t="shared" ca="1" si="4"/>
        <v>0</v>
      </c>
      <c r="H284" s="85">
        <f t="shared" ca="1" si="5"/>
        <v>0</v>
      </c>
      <c r="I284" s="85">
        <f t="shared" ca="1" si="6"/>
        <v>0</v>
      </c>
      <c r="J284" s="8"/>
      <c r="L284" s="72">
        <f t="shared" ca="1" si="12"/>
        <v>0</v>
      </c>
      <c r="M284" s="72">
        <f t="shared" ca="1" si="13"/>
        <v>0</v>
      </c>
      <c r="N284" s="51">
        <f t="shared" ca="1" si="14"/>
        <v>0</v>
      </c>
      <c r="O284" s="6">
        <f t="shared" ca="1" si="15"/>
        <v>0</v>
      </c>
      <c r="Q284" s="186">
        <f>IFERROR(ROUND((Renewal_Loading!C65*(1+final_load_disc_per))*1,5),0)</f>
        <v>0</v>
      </c>
      <c r="R284" s="127">
        <f t="shared" si="7"/>
        <v>0</v>
      </c>
      <c r="S284" s="127">
        <f t="shared" si="8"/>
        <v>0</v>
      </c>
      <c r="T284" s="13">
        <f t="shared" si="16"/>
        <v>0</v>
      </c>
    </row>
    <row r="285" spans="2:20" x14ac:dyDescent="0.3">
      <c r="B285" s="7"/>
      <c r="C285" s="13" t="str">
        <f t="shared" si="9"/>
        <v/>
      </c>
      <c r="D285" s="13" t="str">
        <f t="array" ref="D285">IFERROR(INDEX($D$179:$D$228,MATCH(0,COUNTIF($D$275:D284,$D$179:$D$228),0)),"")</f>
        <v/>
      </c>
      <c r="E285" s="85" t="str">
        <f t="shared" si="10"/>
        <v/>
      </c>
      <c r="F285" s="85">
        <f t="shared" ca="1" si="11"/>
        <v>0</v>
      </c>
      <c r="G285" s="85">
        <f t="shared" ca="1" si="4"/>
        <v>0</v>
      </c>
      <c r="H285" s="85">
        <f t="shared" ca="1" si="5"/>
        <v>0</v>
      </c>
      <c r="I285" s="85">
        <f t="shared" ca="1" si="6"/>
        <v>0</v>
      </c>
      <c r="J285" s="8"/>
      <c r="L285" s="72">
        <f t="shared" ca="1" si="12"/>
        <v>0</v>
      </c>
      <c r="M285" s="72">
        <f t="shared" ca="1" si="13"/>
        <v>0</v>
      </c>
      <c r="N285" s="51">
        <f t="shared" ca="1" si="14"/>
        <v>0</v>
      </c>
      <c r="O285" s="6">
        <f t="shared" ca="1" si="15"/>
        <v>0</v>
      </c>
      <c r="Q285" s="186">
        <f>IFERROR(ROUND((Renewal_Loading!C66*(1+final_load_disc_per))*1,5),0)</f>
        <v>0</v>
      </c>
      <c r="R285" s="127">
        <f t="shared" si="7"/>
        <v>0</v>
      </c>
      <c r="S285" s="127">
        <f t="shared" si="8"/>
        <v>0</v>
      </c>
      <c r="T285" s="13">
        <f t="shared" si="16"/>
        <v>0</v>
      </c>
    </row>
    <row r="286" spans="2:20" x14ac:dyDescent="0.3">
      <c r="B286" s="7"/>
      <c r="C286" s="13" t="str">
        <f t="shared" si="9"/>
        <v/>
      </c>
      <c r="D286" s="13" t="str">
        <f t="array" ref="D286">IFERROR(INDEX($D$179:$D$228,MATCH(0,COUNTIF($D$275:D285,$D$179:$D$228),0)),"")</f>
        <v/>
      </c>
      <c r="E286" s="85" t="str">
        <f t="shared" si="10"/>
        <v/>
      </c>
      <c r="F286" s="85">
        <f t="shared" ca="1" si="11"/>
        <v>0</v>
      </c>
      <c r="G286" s="85">
        <f t="shared" ca="1" si="4"/>
        <v>0</v>
      </c>
      <c r="H286" s="85">
        <f t="shared" ca="1" si="5"/>
        <v>0</v>
      </c>
      <c r="I286" s="85">
        <f t="shared" ca="1" si="6"/>
        <v>0</v>
      </c>
      <c r="J286" s="8"/>
      <c r="L286" s="72">
        <f t="shared" ca="1" si="12"/>
        <v>0</v>
      </c>
      <c r="M286" s="72">
        <f t="shared" ca="1" si="13"/>
        <v>0</v>
      </c>
      <c r="N286" s="51">
        <f t="shared" ca="1" si="14"/>
        <v>0</v>
      </c>
      <c r="O286" s="6">
        <f t="shared" ca="1" si="15"/>
        <v>0</v>
      </c>
      <c r="Q286" s="186">
        <f>IFERROR(ROUND((Renewal_Loading!C67*(1+final_load_disc_per))*1,5),0)</f>
        <v>0</v>
      </c>
      <c r="R286" s="127">
        <f t="shared" si="7"/>
        <v>0</v>
      </c>
      <c r="S286" s="127">
        <f t="shared" si="8"/>
        <v>0</v>
      </c>
      <c r="T286" s="13">
        <f t="shared" si="16"/>
        <v>0</v>
      </c>
    </row>
    <row r="287" spans="2:20" x14ac:dyDescent="0.3">
      <c r="B287" s="7"/>
      <c r="C287" s="13" t="str">
        <f t="shared" si="9"/>
        <v/>
      </c>
      <c r="D287" s="13" t="str">
        <f t="array" ref="D287">IFERROR(INDEX($D$179:$D$228,MATCH(0,COUNTIF($D$275:D286,$D$179:$D$228),0)),"")</f>
        <v/>
      </c>
      <c r="E287" s="85" t="str">
        <f t="shared" si="10"/>
        <v/>
      </c>
      <c r="F287" s="85">
        <f t="shared" ca="1" si="11"/>
        <v>0</v>
      </c>
      <c r="G287" s="85">
        <f t="shared" ca="1" si="4"/>
        <v>0</v>
      </c>
      <c r="H287" s="85">
        <f t="shared" ca="1" si="5"/>
        <v>0</v>
      </c>
      <c r="I287" s="85">
        <f t="shared" ca="1" si="6"/>
        <v>0</v>
      </c>
      <c r="J287" s="8"/>
      <c r="L287" s="72">
        <f t="shared" ca="1" si="12"/>
        <v>0</v>
      </c>
      <c r="M287" s="72">
        <f t="shared" ca="1" si="13"/>
        <v>0</v>
      </c>
      <c r="N287" s="51">
        <f t="shared" ca="1" si="14"/>
        <v>0</v>
      </c>
      <c r="O287" s="6">
        <f t="shared" ca="1" si="15"/>
        <v>0</v>
      </c>
      <c r="Q287" s="186">
        <f>IFERROR(ROUND((Renewal_Loading!C68*(1+final_load_disc_per))*1,5),0)</f>
        <v>0</v>
      </c>
      <c r="R287" s="127">
        <f t="shared" si="7"/>
        <v>0</v>
      </c>
      <c r="S287" s="127">
        <f t="shared" si="8"/>
        <v>0</v>
      </c>
      <c r="T287" s="13">
        <f t="shared" si="16"/>
        <v>0</v>
      </c>
    </row>
    <row r="288" spans="2:20" x14ac:dyDescent="0.3">
      <c r="B288" s="7"/>
      <c r="C288" s="13" t="str">
        <f t="shared" si="9"/>
        <v/>
      </c>
      <c r="D288" s="13" t="str">
        <f t="array" ref="D288">IFERROR(INDEX($D$179:$D$228,MATCH(0,COUNTIF($D$275:D287,$D$179:$D$228),0)),"")</f>
        <v/>
      </c>
      <c r="E288" s="85" t="str">
        <f t="shared" si="10"/>
        <v/>
      </c>
      <c r="F288" s="85">
        <f t="shared" ca="1" si="11"/>
        <v>0</v>
      </c>
      <c r="G288" s="85">
        <f t="shared" ca="1" si="4"/>
        <v>0</v>
      </c>
      <c r="H288" s="85">
        <f t="shared" ca="1" si="5"/>
        <v>0</v>
      </c>
      <c r="I288" s="85">
        <f t="shared" ca="1" si="6"/>
        <v>0</v>
      </c>
      <c r="J288" s="8"/>
      <c r="L288" s="72">
        <f t="shared" ca="1" si="12"/>
        <v>0</v>
      </c>
      <c r="M288" s="72">
        <f t="shared" ca="1" si="13"/>
        <v>0</v>
      </c>
      <c r="N288" s="51">
        <f t="shared" ca="1" si="14"/>
        <v>0</v>
      </c>
      <c r="O288" s="6">
        <f t="shared" ca="1" si="15"/>
        <v>0</v>
      </c>
      <c r="Q288" s="186">
        <f>IFERROR(ROUND((Renewal_Loading!C69*(1+final_load_disc_per))*1,5),0)</f>
        <v>0</v>
      </c>
      <c r="R288" s="127">
        <f t="shared" si="7"/>
        <v>0</v>
      </c>
      <c r="S288" s="127">
        <f t="shared" si="8"/>
        <v>0</v>
      </c>
      <c r="T288" s="13">
        <f t="shared" si="16"/>
        <v>0</v>
      </c>
    </row>
    <row r="289" spans="2:20" x14ac:dyDescent="0.3">
      <c r="B289" s="7"/>
      <c r="C289" s="13" t="str">
        <f t="shared" si="9"/>
        <v/>
      </c>
      <c r="D289" s="13" t="str">
        <f t="array" ref="D289">IFERROR(INDEX($D$179:$D$228,MATCH(0,COUNTIF($D$275:D288,$D$179:$D$228),0)),"")</f>
        <v/>
      </c>
      <c r="E289" s="85" t="str">
        <f t="shared" si="10"/>
        <v/>
      </c>
      <c r="F289" s="85">
        <f t="shared" ca="1" si="11"/>
        <v>0</v>
      </c>
      <c r="G289" s="85">
        <f t="shared" ca="1" si="4"/>
        <v>0</v>
      </c>
      <c r="H289" s="85">
        <f t="shared" ca="1" si="5"/>
        <v>0</v>
      </c>
      <c r="I289" s="85">
        <f t="shared" ca="1" si="6"/>
        <v>0</v>
      </c>
      <c r="J289" s="8"/>
      <c r="L289" s="72">
        <f t="shared" ca="1" si="12"/>
        <v>0</v>
      </c>
      <c r="M289" s="72">
        <f t="shared" ca="1" si="13"/>
        <v>0</v>
      </c>
      <c r="N289" s="51">
        <f t="shared" ca="1" si="14"/>
        <v>0</v>
      </c>
      <c r="O289" s="6">
        <f t="shared" ca="1" si="15"/>
        <v>0</v>
      </c>
      <c r="Q289" s="186">
        <f>IFERROR(ROUND((Renewal_Loading!C70*(1+final_load_disc_per))*1,5),0)</f>
        <v>0</v>
      </c>
      <c r="R289" s="127">
        <f t="shared" si="7"/>
        <v>0</v>
      </c>
      <c r="S289" s="127">
        <f t="shared" si="8"/>
        <v>0</v>
      </c>
      <c r="T289" s="13">
        <f t="shared" si="16"/>
        <v>0</v>
      </c>
    </row>
    <row r="290" spans="2:20" x14ac:dyDescent="0.3">
      <c r="B290" s="7"/>
      <c r="C290" s="13" t="str">
        <f t="shared" si="9"/>
        <v/>
      </c>
      <c r="D290" s="13" t="str">
        <f t="array" ref="D290">IFERROR(INDEX($D$179:$D$228,MATCH(0,COUNTIF($D$275:D289,$D$179:$D$228),0)),"")</f>
        <v/>
      </c>
      <c r="E290" s="85" t="str">
        <f t="shared" si="10"/>
        <v/>
      </c>
      <c r="F290" s="85">
        <f t="shared" ca="1" si="11"/>
        <v>0</v>
      </c>
      <c r="G290" s="85">
        <f t="shared" ca="1" si="4"/>
        <v>0</v>
      </c>
      <c r="H290" s="85">
        <f t="shared" ca="1" si="5"/>
        <v>0</v>
      </c>
      <c r="I290" s="85">
        <f t="shared" ca="1" si="6"/>
        <v>0</v>
      </c>
      <c r="J290" s="8"/>
      <c r="L290" s="72">
        <f t="shared" ca="1" si="12"/>
        <v>0</v>
      </c>
      <c r="M290" s="72">
        <f t="shared" ca="1" si="13"/>
        <v>0</v>
      </c>
      <c r="N290" s="51">
        <f t="shared" ca="1" si="14"/>
        <v>0</v>
      </c>
      <c r="O290" s="6">
        <f t="shared" ca="1" si="15"/>
        <v>0</v>
      </c>
      <c r="Q290" s="186">
        <f>IFERROR(ROUND((Renewal_Loading!C71*(1+final_load_disc_per))*1,5),0)</f>
        <v>0</v>
      </c>
      <c r="R290" s="127">
        <f t="shared" si="7"/>
        <v>0</v>
      </c>
      <c r="S290" s="127">
        <f t="shared" si="8"/>
        <v>0</v>
      </c>
      <c r="T290" s="13">
        <f t="shared" si="16"/>
        <v>0</v>
      </c>
    </row>
    <row r="291" spans="2:20" x14ac:dyDescent="0.3">
      <c r="B291" s="10"/>
      <c r="C291" s="9"/>
      <c r="D291" s="9"/>
      <c r="E291" s="9"/>
      <c r="F291" s="9"/>
      <c r="G291" s="9"/>
      <c r="H291" s="9"/>
      <c r="I291" s="9"/>
      <c r="J291" s="11"/>
    </row>
    <row r="292" spans="2:20" x14ac:dyDescent="0.3">
      <c r="L292" s="91">
        <f ca="1">SUM(L276:L291)</f>
        <v>0</v>
      </c>
      <c r="M292" s="72">
        <f ca="1">SUM(M276:M291)</f>
        <v>0</v>
      </c>
      <c r="N292" s="6">
        <f ca="1">IF(net_premium=0,0,IF(AND(net_premium&lt;1000,medex_premium&gt;0),1000,IF(net_premium&lt;500,500,0)))</f>
        <v>0</v>
      </c>
      <c r="O292" s="6">
        <f ca="1">SUM(O276:O290)</f>
        <v>0</v>
      </c>
    </row>
    <row r="293" spans="2:20" x14ac:dyDescent="0.3">
      <c r="C293" s="13" t="s">
        <v>31</v>
      </c>
      <c r="D293" s="83">
        <f ca="1">SUM(E276:E290)</f>
        <v>0</v>
      </c>
      <c r="F293" s="13" t="s">
        <v>79</v>
      </c>
      <c r="G293" s="1">
        <f>MAX(((1+option_per_1)*(1+option_per_2)*(1+option_per_3)*(1+option_per_4)*(1+option_per_5)*(1+option_per_6)*(1+E153)*(1+E154)*(1+E155)*(1+E156)*(1+E157)*(1+E158)*(1+E159)-1),-75%)</f>
        <v>0</v>
      </c>
      <c r="I293" s="13" t="s">
        <v>31</v>
      </c>
      <c r="J293" s="171">
        <f ca="1">SUM(E276:E290)</f>
        <v>0</v>
      </c>
      <c r="N293" s="6">
        <f ca="1">IF(M292=0,0,IF(AND(M292&lt;1000,medex_loading&lt;&gt;0%),1000,IF(M292&lt;500,500,0)))</f>
        <v>0</v>
      </c>
      <c r="O293" s="84"/>
    </row>
    <row r="294" spans="2:20" x14ac:dyDescent="0.3">
      <c r="C294" s="13" t="s">
        <v>73</v>
      </c>
      <c r="D294" s="83">
        <f ca="1">SUM(F276:F290)</f>
        <v>0</v>
      </c>
      <c r="F294" s="13" t="s">
        <v>80</v>
      </c>
      <c r="G294" s="1">
        <f>MIN(((1+lp_option_per_1)*(1+lp_option_per_2)*(1+lp_option_per_3)*(1+lp_option_per_4)*(1+lp_option_per_5)*(1+E168)*(1+E169)*(1+E170)-1),65%)</f>
        <v>0</v>
      </c>
      <c r="I294" s="13" t="s">
        <v>73</v>
      </c>
      <c r="J294" s="73">
        <f>SUM(Q276:Q290)</f>
        <v>0</v>
      </c>
    </row>
    <row r="295" spans="2:20" ht="28.8" x14ac:dyDescent="0.3">
      <c r="C295" s="13" t="s">
        <v>74</v>
      </c>
      <c r="D295" s="83">
        <f ca="1">SUM(G276:G290)</f>
        <v>0</v>
      </c>
      <c r="F295" s="19" t="s">
        <v>81</v>
      </c>
      <c r="G295" s="176">
        <f ca="1">'Worker Premium Calc'!AA6</f>
        <v>0</v>
      </c>
      <c r="I295" s="13" t="s">
        <v>74</v>
      </c>
      <c r="J295" s="73">
        <f>SUM(R276:R290)</f>
        <v>0</v>
      </c>
    </row>
    <row r="296" spans="2:20" ht="28.8" x14ac:dyDescent="0.3">
      <c r="C296" s="13" t="s">
        <v>75</v>
      </c>
      <c r="D296" s="83">
        <f ca="1">SUM(H276:H290)</f>
        <v>0</v>
      </c>
      <c r="F296" s="19" t="s">
        <v>82</v>
      </c>
      <c r="G296" s="1">
        <f ca="1">'Worker Premium Calc'!AB6</f>
        <v>0</v>
      </c>
      <c r="H296" s="51"/>
      <c r="I296" s="13" t="s">
        <v>75</v>
      </c>
      <c r="J296" s="73">
        <f>SUM(S276:S290)</f>
        <v>0</v>
      </c>
    </row>
    <row r="297" spans="2:20" x14ac:dyDescent="0.3">
      <c r="C297" s="13" t="s">
        <v>76</v>
      </c>
      <c r="D297" s="130">
        <f ca="1">IF(AND(nstp_flag="Yes",internal_uw_app="",worker_total_premium&lt;&gt;0),1,ROUND(SUM(D294:D296),3))</f>
        <v>0</v>
      </c>
      <c r="F297" s="13" t="s">
        <v>83</v>
      </c>
      <c r="G297" s="177">
        <f ca="1">MAX(((1+total_parameter_disc)*(1+general_risk_protection_disc)-1),-79%)</f>
        <v>0</v>
      </c>
      <c r="I297" s="13" t="s">
        <v>76</v>
      </c>
      <c r="J297" s="171">
        <f>ROUND(SUM(J294:J296),3)</f>
        <v>0</v>
      </c>
    </row>
    <row r="298" spans="2:20" x14ac:dyDescent="0.3">
      <c r="C298" s="13" t="s">
        <v>77</v>
      </c>
      <c r="D298" s="83">
        <f ca="1">IF(AND(nstp_flag="Yes",internal_uw_app="",worker_total_premium&lt;&gt;0),1,ROUND(SUM(CEILING(final_premium,100)*0.05%),3))</f>
        <v>0</v>
      </c>
      <c r="F298" s="13" t="s">
        <v>84</v>
      </c>
      <c r="G298" s="1">
        <f ca="1">MIN(((1+total_parameter_loading)*(1+general_risk_features_loading)-1),90%)</f>
        <v>0</v>
      </c>
      <c r="H298" s="72"/>
    </row>
    <row r="299" spans="2:20" x14ac:dyDescent="0.3">
      <c r="C299" s="13" t="s">
        <v>11430</v>
      </c>
      <c r="D299" s="83">
        <f ca="1">IF(AND(nstp_flag="Yes",internal_uw_app="",worker_total_premium&lt;&gt;0),1,ROUND(SUM(final_premium*0.18),3))</f>
        <v>0</v>
      </c>
      <c r="F299" s="13" t="s">
        <v>85</v>
      </c>
      <c r="G299" s="178">
        <f ca="1">(1+total_disc)*(1+total_loading)-1</f>
        <v>0</v>
      </c>
      <c r="H299" s="21"/>
    </row>
    <row r="300" spans="2:20" ht="28.8" x14ac:dyDescent="0.3">
      <c r="C300" s="149" t="s">
        <v>78</v>
      </c>
      <c r="D300" s="83">
        <f ca="1">IF(AND(nstp_flag="Yes",internal_uw_app="",worker_total_premium&lt;&gt;0),1,ROUND(SUM(D297:D299),0))</f>
        <v>0</v>
      </c>
      <c r="F300" s="118" t="s">
        <v>13229</v>
      </c>
      <c r="G300" s="88"/>
      <c r="H300" s="51"/>
      <c r="I300" s="73">
        <f ca="1">load_exp_policy_premium*claim_loading</f>
        <v>0</v>
      </c>
      <c r="J300" s="51"/>
    </row>
    <row r="301" spans="2:20" x14ac:dyDescent="0.3">
      <c r="C301" s="118" t="s">
        <v>13212</v>
      </c>
      <c r="D301" s="182"/>
      <c r="F301" s="118" t="s">
        <v>13233</v>
      </c>
      <c r="G301" s="152"/>
      <c r="H301" s="53"/>
      <c r="I301" s="73">
        <f ca="1">load_exp_policy_premium+I300</f>
        <v>0</v>
      </c>
    </row>
    <row r="302" spans="2:20" x14ac:dyDescent="0.3">
      <c r="C302" s="118" t="s">
        <v>13300</v>
      </c>
      <c r="D302" s="129"/>
      <c r="F302" s="51"/>
      <c r="H302" s="53"/>
    </row>
    <row r="303" spans="2:20" x14ac:dyDescent="0.3">
      <c r="C303" s="118" t="s">
        <v>13310</v>
      </c>
      <c r="D303" s="182">
        <f ca="1">annual_exp_policy_premium+'Worker Premium Calc'!K98</f>
        <v>0</v>
      </c>
      <c r="F303" s="92"/>
    </row>
    <row r="304" spans="2:20" x14ac:dyDescent="0.3">
      <c r="C304" s="118" t="s">
        <v>13230</v>
      </c>
      <c r="D304" s="129">
        <f ca="1">IF(paid_claims&gt;0,I301,load_exp_policy_premium)</f>
        <v>0</v>
      </c>
      <c r="F304" s="92"/>
    </row>
    <row r="305" spans="3:6" x14ac:dyDescent="0.3">
      <c r="C305" s="124"/>
      <c r="D305" s="170"/>
      <c r="F305" s="92"/>
    </row>
    <row r="306" spans="3:6" x14ac:dyDescent="0.3">
      <c r="C306" s="6" t="s">
        <v>5742</v>
      </c>
    </row>
    <row r="307" spans="3:6" x14ac:dyDescent="0.3">
      <c r="C307" s="6" t="str">
        <f>clause_1</f>
        <v>Subject additionally to the following conditions, limitations, warranties.</v>
      </c>
    </row>
    <row r="308" spans="3:6" x14ac:dyDescent="0.3">
      <c r="C308" s="6" t="str">
        <f>clause_2</f>
        <v>Warranted that workers involved in underground work such as mines, tunneling, etc. and/or blasting are not covered.</v>
      </c>
    </row>
    <row r="309" spans="3:6" x14ac:dyDescent="0.3">
      <c r="C309" s="6" t="str">
        <f>clause_3</f>
        <v>Jurisdiction - India</v>
      </c>
    </row>
    <row r="310" spans="3:6" x14ac:dyDescent="0.3">
      <c r="C310" s="6" t="str">
        <f>clause_4</f>
        <v>Including cover for Contractor and sub contractor workers</v>
      </c>
    </row>
    <row r="311" spans="3:6" x14ac:dyDescent="0.3">
      <c r="C311" s="6" t="str">
        <f ca="1">clause_5</f>
        <v/>
      </c>
    </row>
    <row r="312" spans="3:6" x14ac:dyDescent="0.3">
      <c r="C312" s="6" t="str">
        <f>clause_5a</f>
        <v/>
      </c>
    </row>
    <row r="313" spans="3:6" x14ac:dyDescent="0.3">
      <c r="C313" s="6" t="str">
        <f>clause_5b</f>
        <v/>
      </c>
    </row>
    <row r="314" spans="3:6" x14ac:dyDescent="0.3">
      <c r="C314" s="6" t="str">
        <f>clause_6</f>
        <v/>
      </c>
    </row>
    <row r="315" spans="3:6" x14ac:dyDescent="0.3">
      <c r="C315" s="6" t="str">
        <f>clause_7</f>
        <v xml:space="preserve"> Loss History for last 3 years: - no</v>
      </c>
    </row>
    <row r="316" spans="3:6" x14ac:dyDescent="0.3">
      <c r="C316" s="6">
        <f>clause_8</f>
        <v>0</v>
      </c>
    </row>
    <row r="317" spans="3:6" x14ac:dyDescent="0.3">
      <c r="C317" s="6">
        <f>clause_9</f>
        <v>0</v>
      </c>
    </row>
    <row r="318" spans="3:6" x14ac:dyDescent="0.3">
      <c r="C318" s="6">
        <f>clause_10</f>
        <v>0</v>
      </c>
    </row>
    <row r="319" spans="3:6" x14ac:dyDescent="0.3">
      <c r="C319" s="6">
        <f>clause_11</f>
        <v>0</v>
      </c>
    </row>
    <row r="320" spans="3:6" x14ac:dyDescent="0.3">
      <c r="C320" s="6">
        <f>clause_12</f>
        <v>0</v>
      </c>
    </row>
    <row r="321" spans="2:10" x14ac:dyDescent="0.3">
      <c r="C321" s="6">
        <f>clause_13</f>
        <v>0</v>
      </c>
    </row>
    <row r="322" spans="2:10" x14ac:dyDescent="0.3">
      <c r="C322" s="6">
        <f>clause_14</f>
        <v>0</v>
      </c>
    </row>
    <row r="323" spans="2:10" x14ac:dyDescent="0.3">
      <c r="C323" s="6">
        <f>clause_15</f>
        <v>0</v>
      </c>
    </row>
    <row r="324" spans="2:10" x14ac:dyDescent="0.3">
      <c r="C324" s="6" t="str">
        <f>IF(loc_2_state="","",CONCATENATE(loc_2_address_line1,", ",loc_2_address_line2,", ",loc_2_address_line3,", ",loc_2_pincode,", ",loc_2_city,", ",loc_2_state))</f>
        <v/>
      </c>
    </row>
    <row r="325" spans="2:10" x14ac:dyDescent="0.3">
      <c r="C325" s="6" t="str">
        <f>IF(loc_3_state="","",CONCATENATE(loc_3_address_line1,", ",loc_3_address_line2,", ",loc_3_address_line3,", ",loc_3_pincode,", ",loc_3_city,", ",loc_3_state))</f>
        <v/>
      </c>
    </row>
    <row r="326" spans="2:10" x14ac:dyDescent="0.3">
      <c r="C326" s="6" t="str">
        <f>IF(loc_4_state="","",CONCATENATE(loc_4_address_line1,", ",loc_4_address_line2,", ",loc_4_address_line3,", ",loc_4_pincode,", ",loc_4_city,", ",loc_4_state))</f>
        <v/>
      </c>
    </row>
    <row r="327" spans="2:10" x14ac:dyDescent="0.3">
      <c r="C327" s="6" t="str">
        <f>IF(loc_5_state="","",CONCATENATE(loc_5_address_line1,", ",loc_5_address_line2,", ",loc_5_address_line3,", ",loc_5_pincode,", ",loc_5_city,", ",loc_5_state))</f>
        <v/>
      </c>
    </row>
    <row r="329" spans="2:10" x14ac:dyDescent="0.3">
      <c r="B329" s="3"/>
      <c r="C329" s="4"/>
      <c r="D329" s="4"/>
      <c r="E329" s="4"/>
      <c r="F329" s="4"/>
      <c r="G329" s="4"/>
      <c r="H329" s="4"/>
      <c r="I329" s="4"/>
      <c r="J329" s="5"/>
    </row>
    <row r="330" spans="2:10" x14ac:dyDescent="0.3">
      <c r="B330" s="7"/>
      <c r="C330" s="204" t="s">
        <v>5742</v>
      </c>
      <c r="D330" s="205"/>
      <c r="E330" s="205"/>
      <c r="F330" s="205"/>
      <c r="G330" s="205"/>
      <c r="H330" s="205"/>
      <c r="I330" s="206"/>
      <c r="J330" s="8"/>
    </row>
    <row r="331" spans="2:10" x14ac:dyDescent="0.3">
      <c r="B331" s="7"/>
      <c r="J331" s="8"/>
    </row>
    <row r="332" spans="2:10" x14ac:dyDescent="0.3">
      <c r="B332" s="7"/>
      <c r="C332" s="49" t="s">
        <v>5736</v>
      </c>
      <c r="D332" s="49" t="s">
        <v>5737</v>
      </c>
      <c r="E332" s="49" t="s">
        <v>12293</v>
      </c>
      <c r="J332" s="8"/>
    </row>
    <row r="333" spans="2:10" x14ac:dyDescent="0.3">
      <c r="B333" s="7"/>
      <c r="C333" s="109" t="s">
        <v>219</v>
      </c>
      <c r="D333" s="13" t="str">
        <f>IF(clause_1_appl="Yes","Subject additionally to the following conditions, limitations, warranties.","")</f>
        <v>Subject additionally to the following conditions, limitations, warranties.</v>
      </c>
      <c r="E333" s="13">
        <f>IFERROR(VLOOKUP(D333,Master!$AX$26:$AY$43,2,0),"")</f>
        <v>50132</v>
      </c>
      <c r="J333" s="8"/>
    </row>
    <row r="334" spans="2:10" ht="28.8" x14ac:dyDescent="0.3">
      <c r="B334" s="7"/>
      <c r="C334" s="109" t="s">
        <v>219</v>
      </c>
      <c r="D334" s="19" t="str">
        <f>IF(clause_2_appl="Yes","Warranted that workers involved in underground work such as mines, tunneling, etc. and/or blasting are not covered.","")</f>
        <v>Warranted that workers involved in underground work such as mines, tunneling, etc. and/or blasting are not covered.</v>
      </c>
      <c r="E334" s="13">
        <f>IFERROR(VLOOKUP(D334,Master!$AX$26:$AY$43,2,0),"")</f>
        <v>50133</v>
      </c>
      <c r="J334" s="8"/>
    </row>
    <row r="335" spans="2:10" x14ac:dyDescent="0.3">
      <c r="B335" s="7"/>
      <c r="C335" s="109" t="s">
        <v>219</v>
      </c>
      <c r="D335" s="13" t="str">
        <f>IF(clause_3_appl="Yes","Jurisdiction - India","")</f>
        <v>Jurisdiction - India</v>
      </c>
      <c r="E335" s="13">
        <f>IFERROR(VLOOKUP(D335,Master!$AX$26:$AY$43,2,0),"")</f>
        <v>50134</v>
      </c>
      <c r="J335" s="8"/>
    </row>
    <row r="336" spans="2:10" x14ac:dyDescent="0.3">
      <c r="B336" s="7"/>
      <c r="C336" s="109" t="s">
        <v>219</v>
      </c>
      <c r="D336" s="13" t="str">
        <f>IF(clause_4_appl="Yes",IF(contractors_coverd="Yes","Including cover for Contractor and sub contractor workers","Excluding cover for Contractor and sub contractor workers"),"")</f>
        <v>Including cover for Contractor and sub contractor workers</v>
      </c>
      <c r="E336" s="13">
        <f>IFERROR(VLOOKUP(D336,Master!$AX$26:$AY$43,2,0),"")</f>
        <v>50135</v>
      </c>
      <c r="J336" s="8"/>
    </row>
    <row r="337" spans="2:10" x14ac:dyDescent="0.3">
      <c r="B337" s="7"/>
      <c r="C337" s="109" t="s">
        <v>219</v>
      </c>
      <c r="D337" s="13" t="str">
        <f ca="1">IF(clause_5_appl="yes",clause_5_master,"")</f>
        <v/>
      </c>
      <c r="E337" s="13" t="str">
        <f ca="1">IFERROR(IF(clause_5="","",VLOOKUP(D337,Master!$AX$26:$AY$43,2,0)),"")</f>
        <v/>
      </c>
      <c r="J337" s="8"/>
    </row>
    <row r="338" spans="2:10" x14ac:dyDescent="0.3">
      <c r="B338" s="7"/>
      <c r="C338" s="109" t="s">
        <v>219</v>
      </c>
      <c r="D338" s="13" t="str">
        <f>IF(C338="yes",IF(medex_actuals="yes",Master!AX37,""),"")</f>
        <v/>
      </c>
      <c r="E338" s="13" t="str">
        <f>IF(AND(C338="yes",D338&lt;&gt;""),Master!AY37,"")</f>
        <v/>
      </c>
      <c r="J338" s="8"/>
    </row>
    <row r="339" spans="2:10" x14ac:dyDescent="0.3">
      <c r="B339" s="7"/>
      <c r="C339" s="109" t="s">
        <v>219</v>
      </c>
      <c r="D339" s="13" t="str">
        <f>IF(C339="yes",IF(medex_actuals="yes",Master!AX38,""),"")</f>
        <v/>
      </c>
      <c r="E339" s="13" t="str">
        <f>IF(AND(C339="yes",D339&lt;&gt;""),Master!AY38,"")</f>
        <v/>
      </c>
      <c r="J339" s="8"/>
    </row>
    <row r="340" spans="2:10" ht="15.6" customHeight="1" x14ac:dyDescent="0.3">
      <c r="B340" s="7"/>
      <c r="C340" s="109" t="s">
        <v>219</v>
      </c>
      <c r="D340" s="19" t="str">
        <f>IFERROR(IF(clause_6_appl="Yes",IF(od_actuals="Yes",Master!AV11,IF(AND(od_per_person_limit&gt;0,OR(od_aggregate_limit=0,od_aggregate_limit="")),CONCATENATE(" Including Occupational Disease upto INR"," ",od_per_person_limit," ","per person"," ",Master!AV11),IF(AND(od_aggregate_limit&gt;0,OR(od_per_person_limit=0,od_per_person_limit="")),CONCATENATE(" Including Occupational Disease in aggegrate upto INR"," ",od_aggregate_limit," ",Master!AV11),IF(AND(od_per_person_limit&gt;0,od_aggregate_limit&gt;0),CONCATENATE(" Including Occupational Disease upto INR"," ",od_per_person_limit," ","per person and aggregate limit upto INR"," ",od_aggregate_limit," ","for the policy period"," ",Master!AV11),"")))),""),"")</f>
        <v/>
      </c>
      <c r="E340" s="13" t="str">
        <f>IFERROR(IF(clause_6&lt;&gt;"",50146,""),"")</f>
        <v/>
      </c>
      <c r="J340" s="8"/>
    </row>
    <row r="341" spans="2:10" x14ac:dyDescent="0.3">
      <c r="B341" s="7"/>
      <c r="C341" s="109" t="s">
        <v>219</v>
      </c>
      <c r="D341" s="13" t="str">
        <f>IF(clause_7_appl="Yes",CONCATENATE(" Loss History for last 3 years:"," ","-"," ",loss_history),"")</f>
        <v xml:space="preserve"> Loss History for last 3 years: - no</v>
      </c>
      <c r="E341" s="13">
        <f>IFERROR(VLOOKUP(D341,Master!$AX$26:$AY$43,2,0),"")</f>
        <v>50149</v>
      </c>
      <c r="J341" s="8"/>
    </row>
    <row r="342" spans="2:10" x14ac:dyDescent="0.3">
      <c r="B342" s="7"/>
      <c r="C342" s="109" t="s">
        <v>220</v>
      </c>
      <c r="D342" s="13"/>
      <c r="E342" s="13" t="str">
        <f>IF(AND(C342="yes",D342&lt;&gt;""),1001,"")</f>
        <v/>
      </c>
      <c r="J342" s="8"/>
    </row>
    <row r="343" spans="2:10" x14ac:dyDescent="0.3">
      <c r="B343" s="7"/>
      <c r="C343" s="109" t="s">
        <v>220</v>
      </c>
      <c r="D343" s="13"/>
      <c r="E343" s="13" t="str">
        <f>IF(AND(C343="yes",D343&lt;&gt;""),1002,"")</f>
        <v/>
      </c>
      <c r="J343" s="8"/>
    </row>
    <row r="344" spans="2:10" x14ac:dyDescent="0.3">
      <c r="B344" s="7"/>
      <c r="C344" s="109" t="s">
        <v>220</v>
      </c>
      <c r="D344" s="13"/>
      <c r="E344" s="13" t="str">
        <f>IF(AND(C344="yes",D344&lt;&gt;""),1003,"")</f>
        <v/>
      </c>
      <c r="J344" s="8"/>
    </row>
    <row r="345" spans="2:10" x14ac:dyDescent="0.3">
      <c r="B345" s="7"/>
      <c r="C345" s="109" t="s">
        <v>220</v>
      </c>
      <c r="D345" s="13"/>
      <c r="E345" s="13" t="str">
        <f>IF(AND(C345="yes",D345&lt;&gt;""),1004,"")</f>
        <v/>
      </c>
      <c r="J345" s="8"/>
    </row>
    <row r="346" spans="2:10" x14ac:dyDescent="0.3">
      <c r="B346" s="7"/>
      <c r="C346" s="109" t="s">
        <v>220</v>
      </c>
      <c r="D346" s="13"/>
      <c r="E346" s="13" t="str">
        <f>IF(AND(C346="yes",D346&lt;&gt;""),1005,"")</f>
        <v/>
      </c>
      <c r="J346" s="8"/>
    </row>
    <row r="347" spans="2:10" x14ac:dyDescent="0.3">
      <c r="B347" s="7"/>
      <c r="C347" s="109" t="s">
        <v>220</v>
      </c>
      <c r="D347" s="13"/>
      <c r="E347" s="13" t="str">
        <f>IF(AND(C347="yes",D347&lt;&gt;""),1006,"")</f>
        <v/>
      </c>
      <c r="J347" s="8"/>
    </row>
    <row r="348" spans="2:10" x14ac:dyDescent="0.3">
      <c r="B348" s="7"/>
      <c r="C348" s="109" t="s">
        <v>220</v>
      </c>
      <c r="D348" s="13"/>
      <c r="E348" s="13" t="str">
        <f>IF(AND(C348="yes",D348&lt;&gt;""),1007,"")</f>
        <v/>
      </c>
      <c r="J348" s="8"/>
    </row>
    <row r="349" spans="2:10" x14ac:dyDescent="0.3">
      <c r="B349" s="7"/>
      <c r="C349" s="109" t="s">
        <v>220</v>
      </c>
      <c r="D349" s="13"/>
      <c r="E349" s="13" t="str">
        <f>IF(AND(C349="yes",D349&lt;&gt;""),1008,"")</f>
        <v/>
      </c>
      <c r="J349" s="8"/>
    </row>
    <row r="350" spans="2:10" x14ac:dyDescent="0.3">
      <c r="B350" s="7"/>
      <c r="C350" s="110" t="s">
        <v>219</v>
      </c>
      <c r="D350" s="13" t="str">
        <f>IF(OR(clause_16_appl="no",loc_2_state=""),"",CONCATENATE(loc_2_address_line1,", ",loc_2_address_line2,", ",loc_2_address_line3,", ",loc_2_pincode,", ",loc_2_city,", ",loc_2_state))</f>
        <v/>
      </c>
      <c r="E350" s="13"/>
      <c r="J350" s="8"/>
    </row>
    <row r="351" spans="2:10" x14ac:dyDescent="0.3">
      <c r="B351" s="7"/>
      <c r="C351" s="110" t="s">
        <v>219</v>
      </c>
      <c r="D351" s="13" t="str">
        <f>IF(OR(clause_17_appl="no",loc_3_state=""),"",CONCATENATE(loc_3_address_line1,", ",loc_3_address_line2,", ",loc_3_address_line3,", ",loc_3_pincode,", ",loc_3_city,", ",loc_3_state))</f>
        <v/>
      </c>
      <c r="E351" s="13"/>
      <c r="J351" s="8"/>
    </row>
    <row r="352" spans="2:10" x14ac:dyDescent="0.3">
      <c r="B352" s="7"/>
      <c r="C352" s="110" t="s">
        <v>219</v>
      </c>
      <c r="D352" s="13" t="str">
        <f>IF(OR(clause_18_appl="no",loc_4_state=""),"",CONCATENATE(loc_4_address_line1,", ",loc_4_address_line2,", ",loc_4_address_line3,", ",loc_4_pincode,", ",loc_4_city,", ",loc_4_state))</f>
        <v/>
      </c>
      <c r="E352" s="13"/>
      <c r="J352" s="8"/>
    </row>
    <row r="353" spans="2:10" x14ac:dyDescent="0.3">
      <c r="B353" s="7"/>
      <c r="C353" s="110" t="s">
        <v>219</v>
      </c>
      <c r="D353" s="13" t="str">
        <f>IF(OR(clause_19_appl="no",loc_5_state=""),"",CONCATENATE(loc_5_address_line1,", ",loc_5_address_line2,", ",loc_5_address_line3,", ",loc_5_pincode,", ",loc_5_city,", ",loc_5_state))</f>
        <v/>
      </c>
      <c r="E353" s="13"/>
      <c r="J353" s="8"/>
    </row>
    <row r="354" spans="2:10" x14ac:dyDescent="0.3">
      <c r="B354" s="10"/>
      <c r="C354" s="9"/>
      <c r="D354" s="9"/>
      <c r="E354" s="9"/>
      <c r="F354" s="9"/>
      <c r="G354" s="9"/>
      <c r="H354" s="9"/>
      <c r="I354" s="9"/>
      <c r="J354" s="11"/>
    </row>
    <row r="356" spans="2:10" x14ac:dyDescent="0.3">
      <c r="C356" s="201" t="s">
        <v>232</v>
      </c>
      <c r="D356" s="201"/>
      <c r="E356" s="201"/>
    </row>
    <row r="357" spans="2:10" x14ac:dyDescent="0.3">
      <c r="C357" s="16" t="s">
        <v>233</v>
      </c>
      <c r="D357" s="16" t="s">
        <v>41</v>
      </c>
      <c r="E357" s="16" t="s">
        <v>16</v>
      </c>
    </row>
    <row r="358" spans="2:10" x14ac:dyDescent="0.3">
      <c r="C358" s="13" t="s">
        <v>1</v>
      </c>
      <c r="D358" s="13">
        <f>location</f>
        <v>0</v>
      </c>
      <c r="E358" s="13" t="str">
        <f>IFERROR(VLOOKUP(D358,'City State Location'!B2:D5200,3,0),"")</f>
        <v/>
      </c>
    </row>
    <row r="360" spans="2:10" ht="28.8" x14ac:dyDescent="0.3">
      <c r="C360" s="19" t="s">
        <v>221</v>
      </c>
      <c r="D360" s="13" t="str">
        <f>CONCATENATE(E20,G20)</f>
        <v>00</v>
      </c>
      <c r="E360" s="13" t="str">
        <f>IFERROR(VLOOKUP(D360,'City State Location'!C2:D5200,2,0),"")</f>
        <v/>
      </c>
    </row>
    <row r="361" spans="2:10" x14ac:dyDescent="0.3">
      <c r="C361" s="6">
        <f>proposer_state</f>
        <v>0</v>
      </c>
      <c r="D361" s="13">
        <f>proposer_city</f>
        <v>0</v>
      </c>
    </row>
    <row r="362" spans="2:10" x14ac:dyDescent="0.3">
      <c r="C362" s="13" t="s">
        <v>222</v>
      </c>
      <c r="D362" s="13" t="str">
        <f>CONCATENATE(C363,D363)</f>
        <v>00</v>
      </c>
      <c r="E362" s="13" t="str">
        <f>IFERROR(VLOOKUP(D362,'City State Location'!$C$2:$D$5200,2,0),"")</f>
        <v/>
      </c>
      <c r="F362" s="6" t="str">
        <f>IFERROR(VLOOKUP(CONCATENATE(loc_1_state,loc_1_city),'City State Location'!$C$2:$D$5200,2,0),"-")</f>
        <v>-</v>
      </c>
    </row>
    <row r="363" spans="2:10" x14ac:dyDescent="0.3">
      <c r="C363" s="6">
        <f>loc_1_state</f>
        <v>0</v>
      </c>
      <c r="D363" s="6">
        <f>loc_1_city</f>
        <v>0</v>
      </c>
      <c r="E363" s="13"/>
    </row>
    <row r="364" spans="2:10" x14ac:dyDescent="0.3">
      <c r="C364" s="13" t="s">
        <v>223</v>
      </c>
      <c r="D364" s="13" t="str">
        <f>CONCATENATE(C365,D365)</f>
        <v>00</v>
      </c>
      <c r="E364" s="13" t="str">
        <f>IFERROR(VLOOKUP(D364,'City State Location'!$C$2:$D$5200,2,0),"")</f>
        <v/>
      </c>
      <c r="F364" s="6" t="str">
        <f>IFERROR(VLOOKUP(CONCATENATE(loc_2_state,loc_2_city),'City State Location'!$C$2:$D$5200,2,0),"-")</f>
        <v>-</v>
      </c>
    </row>
    <row r="365" spans="2:10" x14ac:dyDescent="0.3">
      <c r="C365" s="6">
        <f>loc_2_state</f>
        <v>0</v>
      </c>
      <c r="D365" s="6">
        <f>loc_2_city</f>
        <v>0</v>
      </c>
      <c r="E365" s="13"/>
    </row>
    <row r="366" spans="2:10" x14ac:dyDescent="0.3">
      <c r="C366" s="13" t="s">
        <v>224</v>
      </c>
      <c r="D366" s="13" t="str">
        <f>CONCATENATE(C367,D367)</f>
        <v>00</v>
      </c>
      <c r="E366" s="13" t="str">
        <f>IFERROR(VLOOKUP(D366,'City State Location'!$C$2:$D$5200,2,0),"")</f>
        <v/>
      </c>
      <c r="F366" s="6" t="str">
        <f>IFERROR(VLOOKUP(CONCATENATE(loc_3_state,loc_3_city),'City State Location'!$C$2:$D$5200,2,0),"-")</f>
        <v>-</v>
      </c>
    </row>
    <row r="367" spans="2:10" x14ac:dyDescent="0.3">
      <c r="C367" s="6">
        <f>loc_3_state</f>
        <v>0</v>
      </c>
      <c r="D367" s="6">
        <f>loc_3_city</f>
        <v>0</v>
      </c>
      <c r="E367" s="13"/>
    </row>
    <row r="368" spans="2:10" x14ac:dyDescent="0.3">
      <c r="C368" s="13" t="s">
        <v>225</v>
      </c>
      <c r="D368" s="13" t="str">
        <f>CONCATENATE(C369,D369)</f>
        <v>00</v>
      </c>
      <c r="E368" s="13" t="str">
        <f>IFERROR(VLOOKUP(D368,'City State Location'!$C$2:$D$5200,2,0),"")</f>
        <v/>
      </c>
      <c r="F368" s="6" t="str">
        <f>IFERROR(VLOOKUP(CONCATENATE(loc_4_state,loc_4_city),'City State Location'!$C$2:$D$5200,2,0),"-")</f>
        <v>-</v>
      </c>
    </row>
    <row r="369" spans="3:6" x14ac:dyDescent="0.3">
      <c r="C369" s="6">
        <f>loc_4_state</f>
        <v>0</v>
      </c>
      <c r="D369" s="6">
        <f>loc_4_city</f>
        <v>0</v>
      </c>
      <c r="E369" s="13"/>
    </row>
    <row r="370" spans="3:6" x14ac:dyDescent="0.3">
      <c r="C370" s="13" t="s">
        <v>226</v>
      </c>
      <c r="D370" s="13" t="str">
        <f>CONCATENATE(C371,D371)</f>
        <v>00</v>
      </c>
      <c r="E370" s="13" t="str">
        <f>IFERROR(VLOOKUP(D370,'City State Location'!$C$2:$D$5200,2,0),"")</f>
        <v/>
      </c>
      <c r="F370" s="6" t="str">
        <f>IFERROR(VLOOKUP(CONCATENATE(loc_5_state,loc_5_city),'City State Location'!C2:D5200,2,0),"-")</f>
        <v>-</v>
      </c>
    </row>
    <row r="371" spans="3:6" x14ac:dyDescent="0.3">
      <c r="C371" s="6">
        <f>loc_5_state</f>
        <v>0</v>
      </c>
      <c r="D371" s="6">
        <f>loc_5_city</f>
        <v>0</v>
      </c>
    </row>
    <row r="373" spans="3:6" x14ac:dyDescent="0.3">
      <c r="C373" s="39" t="s">
        <v>41</v>
      </c>
    </row>
    <row r="374" spans="3:6" x14ac:dyDescent="0.3">
      <c r="C374" s="57" t="s">
        <v>91</v>
      </c>
      <c r="D374" s="61" t="str">
        <f>IF(E374="","",COUNTA($E$374:E374)-COUNTBLANK($E$374:E374))</f>
        <v/>
      </c>
      <c r="E374" s="57" t="str">
        <f>IF(IFERROR(VLOOKUP(C374,$E$358:$E$370,1,0),"")=C374,C374,"")</f>
        <v/>
      </c>
      <c r="F374" s="6" t="str">
        <f>IF($E$358=C374,C374,IF($E$360=C374,C374,IF($E$362=C374,C374,IF($E$364=C374,C374,IF($E$366=C374,C374,IF($E$368=C374,C374,IF($E$370=C374,C374,"")))))))</f>
        <v/>
      </c>
    </row>
    <row r="375" spans="3:6" x14ac:dyDescent="0.3">
      <c r="C375" s="58" t="s">
        <v>229</v>
      </c>
      <c r="D375" s="61" t="str">
        <f>IF(E375="","",COUNTA($E$374:E375)-COUNTBLANK($E$374:E375))</f>
        <v/>
      </c>
      <c r="E375" s="58" t="str">
        <f t="shared" ref="E375:E381" si="17">IFERROR(VLOOKUP(C375,$E$358:$E$370,1,0),"")</f>
        <v/>
      </c>
      <c r="F375" s="6" t="str">
        <f>IF($E$358=C375,C375,IF($E$360=C375,C375,IF($E$362=C375,C375,IF($E$364=C375,C375,IF($E$366=C375,C375,IF($E$368=C375,C375,IF($E$370=C375,C375,"")))))))</f>
        <v/>
      </c>
    </row>
    <row r="376" spans="3:6" x14ac:dyDescent="0.3">
      <c r="C376" s="58" t="s">
        <v>136</v>
      </c>
      <c r="D376" s="61" t="str">
        <f>IF(E376="","",COUNTA($E$374:E376)-COUNTBLANK($E$374:E376))</f>
        <v/>
      </c>
      <c r="E376" s="58" t="str">
        <f t="shared" si="17"/>
        <v/>
      </c>
      <c r="F376" s="6" t="str">
        <f t="shared" ref="F376:F381" si="18">IF($E$358=C376,C376,IF($E$360=C376,C376,IF($E$362=C376,C376,IF($E$364=C376,C376,IF($E$366=C376,C376,IF($E$368=C376,C376,IF($E$370=C376,C376,"")))))))</f>
        <v/>
      </c>
    </row>
    <row r="377" spans="3:6" x14ac:dyDescent="0.3">
      <c r="C377" s="58" t="s">
        <v>230</v>
      </c>
      <c r="D377" s="61" t="str">
        <f>IF(E377="","",COUNTA($E$374:E377)-COUNTBLANK($E$374:E377))</f>
        <v/>
      </c>
      <c r="E377" s="58" t="str">
        <f t="shared" si="17"/>
        <v/>
      </c>
      <c r="F377" s="6" t="str">
        <f t="shared" si="18"/>
        <v/>
      </c>
    </row>
    <row r="378" spans="3:6" x14ac:dyDescent="0.3">
      <c r="C378" s="58" t="s">
        <v>231</v>
      </c>
      <c r="D378" s="61" t="str">
        <f>IF(E378="","",COUNTA($E$374:E378)-COUNTBLANK($E$374:E378))</f>
        <v/>
      </c>
      <c r="E378" s="58" t="str">
        <f t="shared" si="17"/>
        <v/>
      </c>
      <c r="F378" s="6" t="str">
        <f t="shared" si="18"/>
        <v/>
      </c>
    </row>
    <row r="379" spans="3:6" x14ac:dyDescent="0.3">
      <c r="C379" s="59" t="s">
        <v>227</v>
      </c>
      <c r="D379" s="61" t="str">
        <f>IF(E379="","",COUNTA($E$374:E379)-COUNTBLANK($E$374:E379))</f>
        <v/>
      </c>
      <c r="E379" s="59" t="str">
        <f t="shared" si="17"/>
        <v/>
      </c>
      <c r="F379" s="6" t="str">
        <f t="shared" si="18"/>
        <v/>
      </c>
    </row>
    <row r="380" spans="3:6" x14ac:dyDescent="0.3">
      <c r="C380" s="59" t="s">
        <v>228</v>
      </c>
      <c r="D380" s="61" t="str">
        <f>IF(E380="","",COUNTA($E$374:E380)-COUNTBLANK($E$374:E380))</f>
        <v/>
      </c>
      <c r="E380" s="59" t="str">
        <f t="shared" si="17"/>
        <v/>
      </c>
      <c r="F380" s="6" t="str">
        <f t="shared" si="18"/>
        <v/>
      </c>
    </row>
    <row r="381" spans="3:6" x14ac:dyDescent="0.3">
      <c r="C381" s="59" t="s">
        <v>89</v>
      </c>
      <c r="D381" s="61" t="str">
        <f>IF(E381="","",COUNTA($E$374:E381)-COUNTBLANK($E$374:E381))</f>
        <v/>
      </c>
      <c r="E381" s="59" t="str">
        <f t="shared" si="17"/>
        <v/>
      </c>
      <c r="F381" s="6" t="str">
        <f t="shared" si="18"/>
        <v/>
      </c>
    </row>
    <row r="383" spans="3:6" x14ac:dyDescent="0.3">
      <c r="C383" s="202" t="s">
        <v>234</v>
      </c>
      <c r="D383" s="202"/>
      <c r="E383" s="60" t="str">
        <f>IFERROR(VLOOKUP(1,D374:E381,2,0),"")</f>
        <v/>
      </c>
    </row>
    <row r="384" spans="3:6" x14ac:dyDescent="0.3">
      <c r="E384" s="6" t="str">
        <f t="array" ref="E384">IFERROR(INDEX(E374:E381,MATCH(TRUE,E374:E381&lt;&gt;"",0),0),"-")</f>
        <v>-</v>
      </c>
    </row>
    <row r="386" spans="2:10" x14ac:dyDescent="0.3">
      <c r="B386" s="3"/>
      <c r="C386" s="4"/>
      <c r="D386" s="4"/>
      <c r="E386" s="4"/>
      <c r="F386" s="4"/>
      <c r="G386" s="4"/>
      <c r="H386" s="4"/>
      <c r="I386" s="4"/>
      <c r="J386" s="5"/>
    </row>
    <row r="387" spans="2:10" x14ac:dyDescent="0.3">
      <c r="B387" s="7"/>
      <c r="C387" s="198" t="s">
        <v>11458</v>
      </c>
      <c r="D387" s="198"/>
      <c r="E387" s="198"/>
      <c r="F387" s="198"/>
      <c r="G387" s="198"/>
      <c r="H387" s="198"/>
      <c r="I387" s="198"/>
      <c r="J387" s="8"/>
    </row>
    <row r="388" spans="2:10" x14ac:dyDescent="0.3">
      <c r="B388" s="7"/>
      <c r="J388" s="8"/>
    </row>
    <row r="389" spans="2:10" x14ac:dyDescent="0.3">
      <c r="B389" s="7"/>
      <c r="C389" s="6" t="s">
        <v>26</v>
      </c>
      <c r="E389" s="6" t="s">
        <v>64</v>
      </c>
      <c r="G389" s="6" t="s">
        <v>65</v>
      </c>
      <c r="J389" s="8"/>
    </row>
    <row r="390" spans="2:10" x14ac:dyDescent="0.3">
      <c r="B390" s="7"/>
      <c r="C390" s="9" t="str">
        <f>terrorism</f>
        <v>no</v>
      </c>
      <c r="E390" s="14">
        <f>general_risk_protection</f>
        <v>0</v>
      </c>
      <c r="G390" s="9">
        <f>general_risk_features</f>
        <v>0</v>
      </c>
      <c r="J390" s="8"/>
    </row>
    <row r="391" spans="2:10" x14ac:dyDescent="0.3">
      <c r="B391" s="7"/>
      <c r="J391" s="8"/>
    </row>
    <row r="392" spans="2:10" x14ac:dyDescent="0.3">
      <c r="B392" s="7"/>
      <c r="C392" s="6" t="s">
        <v>37</v>
      </c>
      <c r="E392" s="6" t="s">
        <v>38</v>
      </c>
      <c r="G392" s="6" t="s">
        <v>39</v>
      </c>
      <c r="I392" s="6" t="s">
        <v>40</v>
      </c>
      <c r="J392" s="8"/>
    </row>
    <row r="393" spans="2:10" x14ac:dyDescent="0.3">
      <c r="B393" s="7"/>
      <c r="C393" s="9">
        <f>od_per_person_limit</f>
        <v>0</v>
      </c>
      <c r="E393" s="9">
        <f>od_aggregate_limit</f>
        <v>0</v>
      </c>
      <c r="G393" s="9" t="str">
        <f>od_actuals</f>
        <v>no</v>
      </c>
      <c r="I393" s="9">
        <f>od_loading</f>
        <v>0</v>
      </c>
      <c r="J393" s="8"/>
    </row>
    <row r="394" spans="2:10" x14ac:dyDescent="0.3">
      <c r="B394" s="7"/>
      <c r="J394" s="8"/>
    </row>
    <row r="395" spans="2:10" x14ac:dyDescent="0.3">
      <c r="B395" s="7"/>
      <c r="C395" s="6" t="s">
        <v>11444</v>
      </c>
      <c r="E395" s="6" t="s">
        <v>11444</v>
      </c>
      <c r="G395" s="6" t="s">
        <v>11462</v>
      </c>
      <c r="J395" s="8"/>
    </row>
    <row r="396" spans="2:10" x14ac:dyDescent="0.3">
      <c r="B396" s="7"/>
      <c r="C396" s="9">
        <f>IF(trade_catg_pup_1="NONPUP",0,IF(producer_min_dis="",0,0))</f>
        <v>0</v>
      </c>
      <c r="E396" s="9">
        <f>IF(loading_discount&lt;&gt;"",load_disc_perc,0)</f>
        <v>0</v>
      </c>
      <c r="G396" s="187">
        <f>IF(OR(loading_discount=0,loading_discount=""),producer_load_perc_uw,load_disc_perc)</f>
        <v>0</v>
      </c>
      <c r="J396" s="8"/>
    </row>
    <row r="397" spans="2:10" x14ac:dyDescent="0.3">
      <c r="B397" s="10"/>
      <c r="C397" s="9"/>
      <c r="D397" s="9"/>
      <c r="E397" s="9"/>
      <c r="F397" s="9"/>
      <c r="G397" s="9"/>
      <c r="H397" s="9"/>
      <c r="I397" s="9"/>
      <c r="J397" s="11"/>
    </row>
    <row r="400" spans="2:10" x14ac:dyDescent="0.3">
      <c r="B400" s="124" t="s">
        <v>13225</v>
      </c>
      <c r="C400" s="152"/>
    </row>
    <row r="402" spans="2:3" x14ac:dyDescent="0.3">
      <c r="B402" s="128" t="s">
        <v>13231</v>
      </c>
      <c r="C402" s="152"/>
    </row>
    <row r="404" spans="2:3" x14ac:dyDescent="0.3">
      <c r="B404" s="124" t="s">
        <v>13232</v>
      </c>
      <c r="C404" s="152"/>
    </row>
    <row r="406" spans="2:3" x14ac:dyDescent="0.3">
      <c r="B406" s="124" t="s">
        <v>13236</v>
      </c>
      <c r="C406" s="152"/>
    </row>
    <row r="408" spans="2:3" x14ac:dyDescent="0.3">
      <c r="B408" s="124" t="s">
        <v>13234</v>
      </c>
      <c r="C408" s="152"/>
    </row>
    <row r="410" spans="2:3" x14ac:dyDescent="0.3">
      <c r="B410" s="124" t="s">
        <v>13235</v>
      </c>
      <c r="C410" s="152"/>
    </row>
    <row r="412" spans="2:3" x14ac:dyDescent="0.3">
      <c r="B412" s="124" t="s">
        <v>13307</v>
      </c>
      <c r="C412" s="152" t="str">
        <f>"NB"</f>
        <v>NB</v>
      </c>
    </row>
  </sheetData>
  <mergeCells count="19">
    <mergeCell ref="C387:I387"/>
    <mergeCell ref="C356:E356"/>
    <mergeCell ref="C383:D383"/>
    <mergeCell ref="C173:I173"/>
    <mergeCell ref="C144:I144"/>
    <mergeCell ref="C253:I253"/>
    <mergeCell ref="C330:I330"/>
    <mergeCell ref="L274:L275"/>
    <mergeCell ref="M274:M275"/>
    <mergeCell ref="N274:N275"/>
    <mergeCell ref="O274:O275"/>
    <mergeCell ref="C10:I10"/>
    <mergeCell ref="C26:I26"/>
    <mergeCell ref="C92:I92"/>
    <mergeCell ref="C110:I110"/>
    <mergeCell ref="C128:I128"/>
    <mergeCell ref="C94:E94"/>
    <mergeCell ref="D112:I112"/>
    <mergeCell ref="C103:E103"/>
  </mergeCells>
  <phoneticPr fontId="9" type="noConversion"/>
  <dataValidations disablePrompts="1" count="12">
    <dataValidation type="list" allowBlank="1" showInputMessage="1" showErrorMessage="1" sqref="E13 C79 G76 G29 C234 G106 C100 D153:D159 D168:D170" xr:uid="{00000000-0002-0000-0000-000000000000}">
      <formula1>yes_no_master</formula1>
    </dataValidation>
    <dataValidation type="list" allowBlank="1" showInputMessage="1" showErrorMessage="1" sqref="E76" xr:uid="{00000000-0002-0000-0000-000001000000}">
      <formula1>policy_term_master</formula1>
    </dataValidation>
    <dataValidation type="list" allowBlank="1" showInputMessage="1" showErrorMessage="1" sqref="D150" xr:uid="{00000000-0002-0000-0000-000002000000}">
      <formula1>experience_master</formula1>
    </dataValidation>
    <dataValidation type="list" allowBlank="1" showInputMessage="1" showErrorMessage="1" sqref="D152" xr:uid="{00000000-0002-0000-0000-000003000000}">
      <formula1>group_size_master</formula1>
    </dataValidation>
    <dataValidation type="list" allowBlank="1" showInputMessage="1" showErrorMessage="1" sqref="D166" xr:uid="{00000000-0002-0000-0000-000004000000}">
      <formula1>terrain_master</formula1>
    </dataValidation>
    <dataValidation type="list" allowBlank="1" showInputMessage="1" showErrorMessage="1" sqref="D167" xr:uid="{00000000-0002-0000-0000-000005000000}">
      <formula1>extent_master</formula1>
    </dataValidation>
    <dataValidation type="list" allowBlank="1" showInputMessage="1" showErrorMessage="1" sqref="D163:D165 D151 D148:D149 C333:C353" xr:uid="{00000000-0002-0000-0000-000007000000}">
      <formula1>yes_no_param_load</formula1>
    </dataValidation>
    <dataValidation type="list" allowBlank="1" showInputMessage="1" showErrorMessage="1" sqref="D147" xr:uid="{00000000-0002-0000-0000-000008000000}">
      <formula1>workforce_master</formula1>
    </dataValidation>
    <dataValidation type="list" allowBlank="1" showInputMessage="1" showErrorMessage="1" sqref="C176" xr:uid="{00000000-0002-0000-0000-00000A000000}">
      <formula1>worker_count_master</formula1>
    </dataValidation>
    <dataValidation type="list" allowBlank="1" showInputMessage="1" showErrorMessage="1" sqref="C32" xr:uid="{00000000-0002-0000-0000-00000B000000}">
      <formula1>location_count_master</formula1>
    </dataValidation>
    <dataValidation type="list" allowBlank="1" showInputMessage="1" showErrorMessage="1" sqref="I29" xr:uid="{00000000-0002-0000-0100-000002000000}">
      <formula1>locationtype_uw</formula1>
    </dataValidation>
    <dataValidation type="list" allowBlank="1" showInputMessage="1" showErrorMessage="1" sqref="I13" xr:uid="{B0B2A63B-B2B9-4807-B4C3-2B194366F520}">
      <formula1>sme_master</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B51A7-07E8-4A47-941C-765C5E3F4B15}">
  <dimension ref="B3:Q55"/>
  <sheetViews>
    <sheetView showGridLines="0" topLeftCell="A22" zoomScale="85" zoomScaleNormal="85" workbookViewId="0">
      <selection activeCell="F28" sqref="F28"/>
    </sheetView>
  </sheetViews>
  <sheetFormatPr defaultRowHeight="14.4" x14ac:dyDescent="0.3"/>
  <cols>
    <col min="2" max="3" width="10.33203125" bestFit="1" customWidth="1"/>
    <col min="5" max="5" width="10.33203125" bestFit="1" customWidth="1"/>
    <col min="6" max="6" width="9" bestFit="1" customWidth="1"/>
    <col min="7" max="7" width="12.33203125" bestFit="1" customWidth="1"/>
    <col min="8" max="8" width="11.21875" bestFit="1" customWidth="1"/>
    <col min="9" max="11" width="10.33203125" bestFit="1" customWidth="1"/>
    <col min="12" max="12" width="10.5546875" bestFit="1" customWidth="1"/>
    <col min="13" max="14" width="10.33203125" bestFit="1" customWidth="1"/>
    <col min="15" max="15" width="11.5546875" customWidth="1"/>
    <col min="17" max="17" width="10.5546875" bestFit="1" customWidth="1"/>
  </cols>
  <sheetData>
    <row r="3" spans="2:17" x14ac:dyDescent="0.3">
      <c r="K3" s="6">
        <f>SUM(K5:K54)</f>
        <v>0</v>
      </c>
      <c r="L3" s="6">
        <f ca="1">statutory_premium</f>
        <v>0</v>
      </c>
      <c r="M3" s="94">
        <f ca="1">IFERROR(L3/K3-1,0)</f>
        <v>0</v>
      </c>
      <c r="N3" s="6">
        <f>IFERROR(required_premium/(1+medex_loading+od_loading),0)</f>
        <v>0</v>
      </c>
      <c r="O3" s="94">
        <f>IFERROR(N3/K3-1,0)</f>
        <v>0</v>
      </c>
      <c r="Q3" s="6"/>
    </row>
    <row r="4" spans="2:17" ht="72" x14ac:dyDescent="0.3">
      <c r="B4" s="102" t="s">
        <v>12360</v>
      </c>
      <c r="C4" s="102" t="s">
        <v>12353</v>
      </c>
      <c r="D4" s="102" t="s">
        <v>45</v>
      </c>
      <c r="E4" s="102" t="s">
        <v>12354</v>
      </c>
      <c r="F4" s="102" t="s">
        <v>12355</v>
      </c>
      <c r="G4" s="102" t="s">
        <v>12356</v>
      </c>
      <c r="H4" s="102" t="s">
        <v>12357</v>
      </c>
      <c r="I4" s="104" t="s">
        <v>12358</v>
      </c>
      <c r="J4" s="102" t="s">
        <v>12359</v>
      </c>
      <c r="K4" s="102" t="s">
        <v>31</v>
      </c>
      <c r="L4" s="102" t="s">
        <v>12362</v>
      </c>
      <c r="M4" s="103" t="s">
        <v>12361</v>
      </c>
      <c r="N4" s="103" t="s">
        <v>12338</v>
      </c>
      <c r="O4" s="103" t="s">
        <v>12363</v>
      </c>
    </row>
    <row r="5" spans="2:17" x14ac:dyDescent="0.3">
      <c r="B5" s="13">
        <f>policy_term</f>
        <v>12</v>
      </c>
      <c r="C5" s="13">
        <f>Quote!C179</f>
        <v>0</v>
      </c>
      <c r="D5" s="13" t="str">
        <f>Quote!D179</f>
        <v>-</v>
      </c>
      <c r="E5" s="13">
        <f>Quote!F179</f>
        <v>0</v>
      </c>
      <c r="F5" s="13">
        <f>E5*C5*$B$5</f>
        <v>0</v>
      </c>
      <c r="G5" s="95">
        <f>IF(E5&gt;=15000,15000,E5)*C5*$B$5</f>
        <v>0</v>
      </c>
      <c r="H5" s="96">
        <f>F5-G5</f>
        <v>0</v>
      </c>
      <c r="I5" s="13"/>
      <c r="J5" s="13">
        <f>MAX(I5*6.25%&gt;2,I5*6.25%,2)</f>
        <v>2</v>
      </c>
      <c r="K5" s="13">
        <f>IFERROR((G5*I5/1000)+(H5*J5/1000),0)</f>
        <v>0</v>
      </c>
      <c r="L5" s="13">
        <f t="shared" ref="L5:L36" ca="1" si="0">statutory_premium</f>
        <v>0</v>
      </c>
      <c r="M5" s="97">
        <f ca="1">IFERROR(L5/K5-1,0)</f>
        <v>0</v>
      </c>
      <c r="N5" s="13">
        <f t="shared" ref="N5:N36" si="1">required_premium</f>
        <v>0</v>
      </c>
      <c r="O5" s="98">
        <f>IFERROR(N5/K5-1,0)</f>
        <v>0</v>
      </c>
    </row>
    <row r="6" spans="2:17" x14ac:dyDescent="0.3">
      <c r="C6" s="13">
        <f>Quote!C180</f>
        <v>0</v>
      </c>
      <c r="D6" s="13" t="str">
        <f>Quote!D180</f>
        <v>-</v>
      </c>
      <c r="E6" s="13">
        <f>Quote!F180</f>
        <v>0</v>
      </c>
      <c r="F6" s="13">
        <f t="shared" ref="F6:F54" si="2">E6*C6*$B$5</f>
        <v>0</v>
      </c>
      <c r="G6" s="95">
        <f t="shared" ref="G6:G54" si="3">IF(E6&gt;=15000,15000,E6)*C6*$B$5</f>
        <v>0</v>
      </c>
      <c r="H6" s="96">
        <f t="shared" ref="H6:H54" si="4">F6-G6</f>
        <v>0</v>
      </c>
      <c r="I6" s="13"/>
      <c r="J6" s="13">
        <f t="shared" ref="J6:J54" si="5">MAX(I6*6.25%&gt;2,I6*6.25%,2)</f>
        <v>2</v>
      </c>
      <c r="K6" s="13">
        <f t="shared" ref="K6:K54" si="6">IFERROR((G6*I6/1000)+(H6*J6/1000),0)</f>
        <v>0</v>
      </c>
      <c r="L6" s="13">
        <f t="shared" ca="1" si="0"/>
        <v>0</v>
      </c>
      <c r="M6" s="97">
        <f t="shared" ref="M6:M54" ca="1" si="7">IFERROR(L6/K6-1,0)</f>
        <v>0</v>
      </c>
      <c r="N6" s="13">
        <f t="shared" si="1"/>
        <v>0</v>
      </c>
      <c r="O6" s="98">
        <f t="shared" ref="O6:O54" si="8">IFERROR(N6/K6-1,0)</f>
        <v>0</v>
      </c>
    </row>
    <row r="7" spans="2:17" x14ac:dyDescent="0.3">
      <c r="C7" s="13">
        <f>Quote!C181</f>
        <v>0</v>
      </c>
      <c r="D7" s="13" t="str">
        <f>Quote!D181</f>
        <v>-</v>
      </c>
      <c r="E7" s="13">
        <f>Quote!F181</f>
        <v>0</v>
      </c>
      <c r="F7" s="13">
        <f t="shared" si="2"/>
        <v>0</v>
      </c>
      <c r="G7" s="95">
        <f t="shared" si="3"/>
        <v>0</v>
      </c>
      <c r="H7" s="96">
        <f t="shared" si="4"/>
        <v>0</v>
      </c>
      <c r="I7" s="13"/>
      <c r="J7" s="13">
        <f t="shared" si="5"/>
        <v>2</v>
      </c>
      <c r="K7" s="13">
        <f t="shared" si="6"/>
        <v>0</v>
      </c>
      <c r="L7" s="13">
        <f t="shared" ca="1" si="0"/>
        <v>0</v>
      </c>
      <c r="M7" s="97">
        <f t="shared" ca="1" si="7"/>
        <v>0</v>
      </c>
      <c r="N7" s="13">
        <f t="shared" si="1"/>
        <v>0</v>
      </c>
      <c r="O7" s="98">
        <f t="shared" si="8"/>
        <v>0</v>
      </c>
    </row>
    <row r="8" spans="2:17" x14ac:dyDescent="0.3">
      <c r="C8" s="13">
        <f>Quote!C182</f>
        <v>0</v>
      </c>
      <c r="D8" s="13" t="str">
        <f>Quote!D182</f>
        <v>-</v>
      </c>
      <c r="E8" s="13">
        <f>Quote!F182</f>
        <v>0</v>
      </c>
      <c r="F8" s="13">
        <f t="shared" si="2"/>
        <v>0</v>
      </c>
      <c r="G8" s="95">
        <f t="shared" si="3"/>
        <v>0</v>
      </c>
      <c r="H8" s="96">
        <f t="shared" si="4"/>
        <v>0</v>
      </c>
      <c r="I8" s="13"/>
      <c r="J8" s="13">
        <f t="shared" si="5"/>
        <v>2</v>
      </c>
      <c r="K8" s="13">
        <f t="shared" si="6"/>
        <v>0</v>
      </c>
      <c r="L8" s="13">
        <f t="shared" ca="1" si="0"/>
        <v>0</v>
      </c>
      <c r="M8" s="97">
        <f t="shared" ca="1" si="7"/>
        <v>0</v>
      </c>
      <c r="N8" s="13">
        <f t="shared" si="1"/>
        <v>0</v>
      </c>
      <c r="O8" s="98">
        <f t="shared" si="8"/>
        <v>0</v>
      </c>
    </row>
    <row r="9" spans="2:17" x14ac:dyDescent="0.3">
      <c r="C9" s="13">
        <f>Quote!C183</f>
        <v>0</v>
      </c>
      <c r="D9" s="13" t="str">
        <f>Quote!D183</f>
        <v>-</v>
      </c>
      <c r="E9" s="13">
        <f>Quote!F183</f>
        <v>0</v>
      </c>
      <c r="F9" s="13">
        <f t="shared" si="2"/>
        <v>0</v>
      </c>
      <c r="G9" s="95">
        <f t="shared" si="3"/>
        <v>0</v>
      </c>
      <c r="H9" s="96">
        <f t="shared" si="4"/>
        <v>0</v>
      </c>
      <c r="I9" s="13"/>
      <c r="J9" s="13">
        <f t="shared" si="5"/>
        <v>2</v>
      </c>
      <c r="K9" s="13">
        <f t="shared" si="6"/>
        <v>0</v>
      </c>
      <c r="L9" s="13">
        <f t="shared" ca="1" si="0"/>
        <v>0</v>
      </c>
      <c r="M9" s="97">
        <f t="shared" ca="1" si="7"/>
        <v>0</v>
      </c>
      <c r="N9" s="13">
        <f t="shared" si="1"/>
        <v>0</v>
      </c>
      <c r="O9" s="98">
        <f t="shared" si="8"/>
        <v>0</v>
      </c>
    </row>
    <row r="10" spans="2:17" x14ac:dyDescent="0.3">
      <c r="C10" s="13">
        <f>Quote!C184</f>
        <v>0</v>
      </c>
      <c r="D10" s="13" t="str">
        <f>Quote!D184</f>
        <v>-</v>
      </c>
      <c r="E10" s="13">
        <f>Quote!F184</f>
        <v>0</v>
      </c>
      <c r="F10" s="13">
        <f t="shared" si="2"/>
        <v>0</v>
      </c>
      <c r="G10" s="95">
        <f t="shared" si="3"/>
        <v>0</v>
      </c>
      <c r="H10" s="96">
        <f t="shared" si="4"/>
        <v>0</v>
      </c>
      <c r="I10" s="13"/>
      <c r="J10" s="13">
        <f t="shared" si="5"/>
        <v>2</v>
      </c>
      <c r="K10" s="13">
        <f t="shared" si="6"/>
        <v>0</v>
      </c>
      <c r="L10" s="13">
        <f t="shared" ca="1" si="0"/>
        <v>0</v>
      </c>
      <c r="M10" s="97">
        <f t="shared" ca="1" si="7"/>
        <v>0</v>
      </c>
      <c r="N10" s="13">
        <f t="shared" si="1"/>
        <v>0</v>
      </c>
      <c r="O10" s="98">
        <f t="shared" si="8"/>
        <v>0</v>
      </c>
    </row>
    <row r="11" spans="2:17" x14ac:dyDescent="0.3">
      <c r="C11" s="13">
        <f>Quote!C185</f>
        <v>0</v>
      </c>
      <c r="D11" s="13" t="str">
        <f>Quote!D185</f>
        <v>-</v>
      </c>
      <c r="E11" s="13">
        <f>Quote!F185</f>
        <v>0</v>
      </c>
      <c r="F11" s="13">
        <f t="shared" si="2"/>
        <v>0</v>
      </c>
      <c r="G11" s="95">
        <f t="shared" si="3"/>
        <v>0</v>
      </c>
      <c r="H11" s="96">
        <f t="shared" si="4"/>
        <v>0</v>
      </c>
      <c r="I11" s="13"/>
      <c r="J11" s="13">
        <f t="shared" si="5"/>
        <v>2</v>
      </c>
      <c r="K11" s="13">
        <f t="shared" si="6"/>
        <v>0</v>
      </c>
      <c r="L11" s="13">
        <f t="shared" ca="1" si="0"/>
        <v>0</v>
      </c>
      <c r="M11" s="97">
        <f t="shared" ca="1" si="7"/>
        <v>0</v>
      </c>
      <c r="N11" s="13">
        <f t="shared" si="1"/>
        <v>0</v>
      </c>
      <c r="O11" s="98">
        <f t="shared" si="8"/>
        <v>0</v>
      </c>
    </row>
    <row r="12" spans="2:17" x14ac:dyDescent="0.3">
      <c r="C12" s="13">
        <f>Quote!C186</f>
        <v>0</v>
      </c>
      <c r="D12" s="13" t="str">
        <f>Quote!D186</f>
        <v>-</v>
      </c>
      <c r="E12" s="13">
        <f>Quote!F186</f>
        <v>0</v>
      </c>
      <c r="F12" s="13">
        <f t="shared" si="2"/>
        <v>0</v>
      </c>
      <c r="G12" s="95">
        <f t="shared" si="3"/>
        <v>0</v>
      </c>
      <c r="H12" s="96">
        <f t="shared" si="4"/>
        <v>0</v>
      </c>
      <c r="I12" s="13"/>
      <c r="J12" s="13">
        <f t="shared" si="5"/>
        <v>2</v>
      </c>
      <c r="K12" s="13">
        <f t="shared" si="6"/>
        <v>0</v>
      </c>
      <c r="L12" s="13">
        <f t="shared" ca="1" si="0"/>
        <v>0</v>
      </c>
      <c r="M12" s="97">
        <f t="shared" ca="1" si="7"/>
        <v>0</v>
      </c>
      <c r="N12" s="13">
        <f t="shared" si="1"/>
        <v>0</v>
      </c>
      <c r="O12" s="98">
        <f t="shared" si="8"/>
        <v>0</v>
      </c>
    </row>
    <row r="13" spans="2:17" x14ac:dyDescent="0.3">
      <c r="C13" s="13">
        <f>Quote!C187</f>
        <v>0</v>
      </c>
      <c r="D13" s="13" t="str">
        <f>Quote!D187</f>
        <v>-</v>
      </c>
      <c r="E13" s="13">
        <f>Quote!F187</f>
        <v>0</v>
      </c>
      <c r="F13" s="13">
        <f t="shared" si="2"/>
        <v>0</v>
      </c>
      <c r="G13" s="95">
        <f t="shared" si="3"/>
        <v>0</v>
      </c>
      <c r="H13" s="96">
        <f t="shared" si="4"/>
        <v>0</v>
      </c>
      <c r="I13" s="13"/>
      <c r="J13" s="13">
        <f t="shared" si="5"/>
        <v>2</v>
      </c>
      <c r="K13" s="13">
        <f t="shared" si="6"/>
        <v>0</v>
      </c>
      <c r="L13" s="13">
        <f t="shared" ca="1" si="0"/>
        <v>0</v>
      </c>
      <c r="M13" s="97">
        <f t="shared" ca="1" si="7"/>
        <v>0</v>
      </c>
      <c r="N13" s="13">
        <f t="shared" si="1"/>
        <v>0</v>
      </c>
      <c r="O13" s="98">
        <f t="shared" si="8"/>
        <v>0</v>
      </c>
    </row>
    <row r="14" spans="2:17" x14ac:dyDescent="0.3">
      <c r="C14" s="13">
        <f>Quote!C188</f>
        <v>0</v>
      </c>
      <c r="D14" s="13" t="str">
        <f>Quote!D188</f>
        <v>-</v>
      </c>
      <c r="E14" s="13">
        <f>Quote!F188</f>
        <v>0</v>
      </c>
      <c r="F14" s="13">
        <f t="shared" si="2"/>
        <v>0</v>
      </c>
      <c r="G14" s="95">
        <f t="shared" si="3"/>
        <v>0</v>
      </c>
      <c r="H14" s="96">
        <f t="shared" si="4"/>
        <v>0</v>
      </c>
      <c r="I14" s="13"/>
      <c r="J14" s="13">
        <f t="shared" si="5"/>
        <v>2</v>
      </c>
      <c r="K14" s="13">
        <f t="shared" si="6"/>
        <v>0</v>
      </c>
      <c r="L14" s="13">
        <f t="shared" ca="1" si="0"/>
        <v>0</v>
      </c>
      <c r="M14" s="97">
        <f t="shared" ca="1" si="7"/>
        <v>0</v>
      </c>
      <c r="N14" s="13">
        <f t="shared" si="1"/>
        <v>0</v>
      </c>
      <c r="O14" s="98">
        <f t="shared" si="8"/>
        <v>0</v>
      </c>
    </row>
    <row r="15" spans="2:17" x14ac:dyDescent="0.3">
      <c r="C15" s="13">
        <f>Quote!C189</f>
        <v>0</v>
      </c>
      <c r="D15" s="13" t="str">
        <f>Quote!D189</f>
        <v>-</v>
      </c>
      <c r="E15" s="13">
        <f>Quote!F189</f>
        <v>0</v>
      </c>
      <c r="F15" s="13">
        <f t="shared" si="2"/>
        <v>0</v>
      </c>
      <c r="G15" s="95">
        <f t="shared" si="3"/>
        <v>0</v>
      </c>
      <c r="H15" s="96">
        <f t="shared" si="4"/>
        <v>0</v>
      </c>
      <c r="I15" s="13"/>
      <c r="J15" s="13">
        <f t="shared" si="5"/>
        <v>2</v>
      </c>
      <c r="K15" s="13">
        <f t="shared" si="6"/>
        <v>0</v>
      </c>
      <c r="L15" s="13">
        <f t="shared" ca="1" si="0"/>
        <v>0</v>
      </c>
      <c r="M15" s="97">
        <f t="shared" ca="1" si="7"/>
        <v>0</v>
      </c>
      <c r="N15" s="13">
        <f t="shared" si="1"/>
        <v>0</v>
      </c>
      <c r="O15" s="98">
        <f t="shared" si="8"/>
        <v>0</v>
      </c>
    </row>
    <row r="16" spans="2:17" x14ac:dyDescent="0.3">
      <c r="C16" s="13">
        <f>Quote!C190</f>
        <v>0</v>
      </c>
      <c r="D16" s="13" t="str">
        <f>Quote!D190</f>
        <v>-</v>
      </c>
      <c r="E16" s="13">
        <f>Quote!F190</f>
        <v>0</v>
      </c>
      <c r="F16" s="13">
        <f t="shared" si="2"/>
        <v>0</v>
      </c>
      <c r="G16" s="95">
        <f t="shared" si="3"/>
        <v>0</v>
      </c>
      <c r="H16" s="96">
        <f t="shared" si="4"/>
        <v>0</v>
      </c>
      <c r="I16" s="13"/>
      <c r="J16" s="13">
        <f t="shared" si="5"/>
        <v>2</v>
      </c>
      <c r="K16" s="13">
        <f t="shared" si="6"/>
        <v>0</v>
      </c>
      <c r="L16" s="13">
        <f t="shared" ca="1" si="0"/>
        <v>0</v>
      </c>
      <c r="M16" s="97">
        <f t="shared" ca="1" si="7"/>
        <v>0</v>
      </c>
      <c r="N16" s="13">
        <f t="shared" si="1"/>
        <v>0</v>
      </c>
      <c r="O16" s="98">
        <f t="shared" si="8"/>
        <v>0</v>
      </c>
    </row>
    <row r="17" spans="3:15" x14ac:dyDescent="0.3">
      <c r="C17" s="13">
        <f>Quote!C191</f>
        <v>0</v>
      </c>
      <c r="D17" s="13" t="str">
        <f>Quote!D191</f>
        <v>-</v>
      </c>
      <c r="E17" s="13">
        <f>Quote!F191</f>
        <v>0</v>
      </c>
      <c r="F17" s="13">
        <f t="shared" si="2"/>
        <v>0</v>
      </c>
      <c r="G17" s="95">
        <f t="shared" si="3"/>
        <v>0</v>
      </c>
      <c r="H17" s="96">
        <f t="shared" si="4"/>
        <v>0</v>
      </c>
      <c r="I17" s="13"/>
      <c r="J17" s="13">
        <f t="shared" si="5"/>
        <v>2</v>
      </c>
      <c r="K17" s="13">
        <f t="shared" si="6"/>
        <v>0</v>
      </c>
      <c r="L17" s="13">
        <f t="shared" ca="1" si="0"/>
        <v>0</v>
      </c>
      <c r="M17" s="97">
        <f t="shared" ca="1" si="7"/>
        <v>0</v>
      </c>
      <c r="N17" s="13">
        <f t="shared" si="1"/>
        <v>0</v>
      </c>
      <c r="O17" s="98">
        <f t="shared" si="8"/>
        <v>0</v>
      </c>
    </row>
    <row r="18" spans="3:15" x14ac:dyDescent="0.3">
      <c r="C18" s="13">
        <f>Quote!C192</f>
        <v>0</v>
      </c>
      <c r="D18" s="13" t="str">
        <f>Quote!D192</f>
        <v>-</v>
      </c>
      <c r="E18" s="13">
        <f>Quote!F192</f>
        <v>0</v>
      </c>
      <c r="F18" s="13">
        <f t="shared" si="2"/>
        <v>0</v>
      </c>
      <c r="G18" s="95">
        <f t="shared" si="3"/>
        <v>0</v>
      </c>
      <c r="H18" s="96">
        <f t="shared" si="4"/>
        <v>0</v>
      </c>
      <c r="I18" s="13"/>
      <c r="J18" s="13">
        <f t="shared" si="5"/>
        <v>2</v>
      </c>
      <c r="K18" s="13">
        <f t="shared" si="6"/>
        <v>0</v>
      </c>
      <c r="L18" s="13">
        <f t="shared" ca="1" si="0"/>
        <v>0</v>
      </c>
      <c r="M18" s="97">
        <f t="shared" ca="1" si="7"/>
        <v>0</v>
      </c>
      <c r="N18" s="13">
        <f t="shared" si="1"/>
        <v>0</v>
      </c>
      <c r="O18" s="98">
        <f t="shared" si="8"/>
        <v>0</v>
      </c>
    </row>
    <row r="19" spans="3:15" x14ac:dyDescent="0.3">
      <c r="C19" s="13">
        <f>Quote!C193</f>
        <v>0</v>
      </c>
      <c r="D19" s="13" t="str">
        <f>Quote!D193</f>
        <v>-</v>
      </c>
      <c r="E19" s="13">
        <f>Quote!F193</f>
        <v>0</v>
      </c>
      <c r="F19" s="13">
        <f t="shared" si="2"/>
        <v>0</v>
      </c>
      <c r="G19" s="95">
        <f t="shared" si="3"/>
        <v>0</v>
      </c>
      <c r="H19" s="96">
        <f t="shared" si="4"/>
        <v>0</v>
      </c>
      <c r="I19" s="13"/>
      <c r="J19" s="13">
        <f t="shared" si="5"/>
        <v>2</v>
      </c>
      <c r="K19" s="13">
        <f t="shared" si="6"/>
        <v>0</v>
      </c>
      <c r="L19" s="13">
        <f t="shared" ca="1" si="0"/>
        <v>0</v>
      </c>
      <c r="M19" s="97">
        <f t="shared" ca="1" si="7"/>
        <v>0</v>
      </c>
      <c r="N19" s="13">
        <f t="shared" si="1"/>
        <v>0</v>
      </c>
      <c r="O19" s="98">
        <f t="shared" si="8"/>
        <v>0</v>
      </c>
    </row>
    <row r="20" spans="3:15" x14ac:dyDescent="0.3">
      <c r="C20" s="13">
        <f>Quote!C194</f>
        <v>0</v>
      </c>
      <c r="D20" s="13" t="str">
        <f>Quote!D194</f>
        <v>-</v>
      </c>
      <c r="E20" s="13">
        <f>Quote!F194</f>
        <v>0</v>
      </c>
      <c r="F20" s="13">
        <f t="shared" si="2"/>
        <v>0</v>
      </c>
      <c r="G20" s="95">
        <f t="shared" si="3"/>
        <v>0</v>
      </c>
      <c r="H20" s="96">
        <f t="shared" si="4"/>
        <v>0</v>
      </c>
      <c r="I20" s="13"/>
      <c r="J20" s="13">
        <f t="shared" si="5"/>
        <v>2</v>
      </c>
      <c r="K20" s="13">
        <f t="shared" si="6"/>
        <v>0</v>
      </c>
      <c r="L20" s="13">
        <f t="shared" ca="1" si="0"/>
        <v>0</v>
      </c>
      <c r="M20" s="97">
        <f t="shared" ca="1" si="7"/>
        <v>0</v>
      </c>
      <c r="N20" s="13">
        <f t="shared" si="1"/>
        <v>0</v>
      </c>
      <c r="O20" s="98">
        <f t="shared" si="8"/>
        <v>0</v>
      </c>
    </row>
    <row r="21" spans="3:15" x14ac:dyDescent="0.3">
      <c r="C21" s="13">
        <f>Quote!C195</f>
        <v>0</v>
      </c>
      <c r="D21" s="13" t="str">
        <f>Quote!D195</f>
        <v>-</v>
      </c>
      <c r="E21" s="13">
        <f>Quote!F195</f>
        <v>0</v>
      </c>
      <c r="F21" s="13">
        <f t="shared" si="2"/>
        <v>0</v>
      </c>
      <c r="G21" s="95">
        <f t="shared" si="3"/>
        <v>0</v>
      </c>
      <c r="H21" s="96">
        <f t="shared" si="4"/>
        <v>0</v>
      </c>
      <c r="I21" s="13"/>
      <c r="J21" s="13">
        <f t="shared" si="5"/>
        <v>2</v>
      </c>
      <c r="K21" s="13">
        <f t="shared" si="6"/>
        <v>0</v>
      </c>
      <c r="L21" s="13">
        <f t="shared" ca="1" si="0"/>
        <v>0</v>
      </c>
      <c r="M21" s="97">
        <f t="shared" ca="1" si="7"/>
        <v>0</v>
      </c>
      <c r="N21" s="13">
        <f t="shared" si="1"/>
        <v>0</v>
      </c>
      <c r="O21" s="98">
        <f t="shared" si="8"/>
        <v>0</v>
      </c>
    </row>
    <row r="22" spans="3:15" x14ac:dyDescent="0.3">
      <c r="C22" s="13">
        <f>Quote!C196</f>
        <v>0</v>
      </c>
      <c r="D22" s="13" t="str">
        <f>Quote!D196</f>
        <v>-</v>
      </c>
      <c r="E22" s="13">
        <f>Quote!F196</f>
        <v>0</v>
      </c>
      <c r="F22" s="13">
        <f t="shared" si="2"/>
        <v>0</v>
      </c>
      <c r="G22" s="95">
        <f t="shared" si="3"/>
        <v>0</v>
      </c>
      <c r="H22" s="96">
        <f t="shared" si="4"/>
        <v>0</v>
      </c>
      <c r="I22" s="13"/>
      <c r="J22" s="13">
        <f t="shared" si="5"/>
        <v>2</v>
      </c>
      <c r="K22" s="13">
        <f t="shared" si="6"/>
        <v>0</v>
      </c>
      <c r="L22" s="13">
        <f t="shared" ca="1" si="0"/>
        <v>0</v>
      </c>
      <c r="M22" s="97">
        <f t="shared" ca="1" si="7"/>
        <v>0</v>
      </c>
      <c r="N22" s="13">
        <f t="shared" si="1"/>
        <v>0</v>
      </c>
      <c r="O22" s="98">
        <f t="shared" si="8"/>
        <v>0</v>
      </c>
    </row>
    <row r="23" spans="3:15" x14ac:dyDescent="0.3">
      <c r="C23" s="13">
        <f>Quote!C197</f>
        <v>0</v>
      </c>
      <c r="D23" s="13" t="str">
        <f>Quote!D197</f>
        <v>-</v>
      </c>
      <c r="E23" s="13">
        <f>Quote!F197</f>
        <v>0</v>
      </c>
      <c r="F23" s="13">
        <f t="shared" si="2"/>
        <v>0</v>
      </c>
      <c r="G23" s="95">
        <f t="shared" si="3"/>
        <v>0</v>
      </c>
      <c r="H23" s="96">
        <f t="shared" si="4"/>
        <v>0</v>
      </c>
      <c r="I23" s="13"/>
      <c r="J23" s="13">
        <f t="shared" si="5"/>
        <v>2</v>
      </c>
      <c r="K23" s="13">
        <f t="shared" si="6"/>
        <v>0</v>
      </c>
      <c r="L23" s="13">
        <f t="shared" ca="1" si="0"/>
        <v>0</v>
      </c>
      <c r="M23" s="97">
        <f t="shared" ca="1" si="7"/>
        <v>0</v>
      </c>
      <c r="N23" s="13">
        <f t="shared" si="1"/>
        <v>0</v>
      </c>
      <c r="O23" s="98">
        <f t="shared" si="8"/>
        <v>0</v>
      </c>
    </row>
    <row r="24" spans="3:15" x14ac:dyDescent="0.3">
      <c r="C24" s="13">
        <f>Quote!C198</f>
        <v>0</v>
      </c>
      <c r="D24" s="13" t="str">
        <f>Quote!D198</f>
        <v>-</v>
      </c>
      <c r="E24" s="13">
        <f>Quote!F198</f>
        <v>0</v>
      </c>
      <c r="F24" s="13">
        <f t="shared" si="2"/>
        <v>0</v>
      </c>
      <c r="G24" s="95">
        <f t="shared" si="3"/>
        <v>0</v>
      </c>
      <c r="H24" s="96">
        <f t="shared" si="4"/>
        <v>0</v>
      </c>
      <c r="I24" s="13"/>
      <c r="J24" s="13">
        <f t="shared" si="5"/>
        <v>2</v>
      </c>
      <c r="K24" s="13">
        <f t="shared" si="6"/>
        <v>0</v>
      </c>
      <c r="L24" s="13">
        <f t="shared" ca="1" si="0"/>
        <v>0</v>
      </c>
      <c r="M24" s="97">
        <f t="shared" ca="1" si="7"/>
        <v>0</v>
      </c>
      <c r="N24" s="13">
        <f t="shared" si="1"/>
        <v>0</v>
      </c>
      <c r="O24" s="98">
        <f t="shared" si="8"/>
        <v>0</v>
      </c>
    </row>
    <row r="25" spans="3:15" x14ac:dyDescent="0.3">
      <c r="C25" s="13">
        <f>Quote!C199</f>
        <v>0</v>
      </c>
      <c r="D25" s="13" t="str">
        <f>Quote!D199</f>
        <v>-</v>
      </c>
      <c r="E25" s="13">
        <f>Quote!F199</f>
        <v>0</v>
      </c>
      <c r="F25" s="13">
        <f t="shared" si="2"/>
        <v>0</v>
      </c>
      <c r="G25" s="95">
        <f t="shared" si="3"/>
        <v>0</v>
      </c>
      <c r="H25" s="96">
        <f t="shared" si="4"/>
        <v>0</v>
      </c>
      <c r="I25" s="13"/>
      <c r="J25" s="13">
        <f t="shared" si="5"/>
        <v>2</v>
      </c>
      <c r="K25" s="13">
        <f t="shared" si="6"/>
        <v>0</v>
      </c>
      <c r="L25" s="13">
        <f t="shared" ca="1" si="0"/>
        <v>0</v>
      </c>
      <c r="M25" s="97">
        <f t="shared" ca="1" si="7"/>
        <v>0</v>
      </c>
      <c r="N25" s="13">
        <f t="shared" si="1"/>
        <v>0</v>
      </c>
      <c r="O25" s="98">
        <f t="shared" si="8"/>
        <v>0</v>
      </c>
    </row>
    <row r="26" spans="3:15" x14ac:dyDescent="0.3">
      <c r="C26" s="13">
        <f>Quote!C200</f>
        <v>0</v>
      </c>
      <c r="D26" s="13" t="str">
        <f>Quote!D200</f>
        <v>-</v>
      </c>
      <c r="E26" s="13">
        <f>Quote!F200</f>
        <v>0</v>
      </c>
      <c r="F26" s="13">
        <f t="shared" si="2"/>
        <v>0</v>
      </c>
      <c r="G26" s="95">
        <f t="shared" si="3"/>
        <v>0</v>
      </c>
      <c r="H26" s="96">
        <f t="shared" si="4"/>
        <v>0</v>
      </c>
      <c r="I26" s="13"/>
      <c r="J26" s="13">
        <f t="shared" si="5"/>
        <v>2</v>
      </c>
      <c r="K26" s="13">
        <f t="shared" si="6"/>
        <v>0</v>
      </c>
      <c r="L26" s="13">
        <f t="shared" ca="1" si="0"/>
        <v>0</v>
      </c>
      <c r="M26" s="97">
        <f t="shared" ca="1" si="7"/>
        <v>0</v>
      </c>
      <c r="N26" s="13">
        <f t="shared" si="1"/>
        <v>0</v>
      </c>
      <c r="O26" s="98">
        <f t="shared" si="8"/>
        <v>0</v>
      </c>
    </row>
    <row r="27" spans="3:15" x14ac:dyDescent="0.3">
      <c r="C27" s="13">
        <f>Quote!C201</f>
        <v>0</v>
      </c>
      <c r="D27" s="13" t="str">
        <f>Quote!D201</f>
        <v>-</v>
      </c>
      <c r="E27" s="13">
        <f>Quote!F201</f>
        <v>0</v>
      </c>
      <c r="F27" s="13">
        <f t="shared" si="2"/>
        <v>0</v>
      </c>
      <c r="G27" s="95">
        <f t="shared" si="3"/>
        <v>0</v>
      </c>
      <c r="H27" s="96">
        <f t="shared" si="4"/>
        <v>0</v>
      </c>
      <c r="I27" s="13"/>
      <c r="J27" s="13">
        <f t="shared" si="5"/>
        <v>2</v>
      </c>
      <c r="K27" s="13">
        <f t="shared" si="6"/>
        <v>0</v>
      </c>
      <c r="L27" s="13">
        <f t="shared" ca="1" si="0"/>
        <v>0</v>
      </c>
      <c r="M27" s="97">
        <f t="shared" ca="1" si="7"/>
        <v>0</v>
      </c>
      <c r="N27" s="13">
        <f t="shared" si="1"/>
        <v>0</v>
      </c>
      <c r="O27" s="98">
        <f t="shared" si="8"/>
        <v>0</v>
      </c>
    </row>
    <row r="28" spans="3:15" x14ac:dyDescent="0.3">
      <c r="C28" s="13">
        <f>Quote!C202</f>
        <v>0</v>
      </c>
      <c r="D28" s="13" t="str">
        <f>Quote!D202</f>
        <v>-</v>
      </c>
      <c r="E28" s="13">
        <f>Quote!F202</f>
        <v>0</v>
      </c>
      <c r="F28" s="13">
        <f t="shared" si="2"/>
        <v>0</v>
      </c>
      <c r="G28" s="95">
        <f t="shared" si="3"/>
        <v>0</v>
      </c>
      <c r="H28" s="96">
        <f t="shared" si="4"/>
        <v>0</v>
      </c>
      <c r="I28" s="13"/>
      <c r="J28" s="13">
        <f t="shared" si="5"/>
        <v>2</v>
      </c>
      <c r="K28" s="13">
        <f t="shared" si="6"/>
        <v>0</v>
      </c>
      <c r="L28" s="13">
        <f t="shared" ca="1" si="0"/>
        <v>0</v>
      </c>
      <c r="M28" s="97">
        <f t="shared" ca="1" si="7"/>
        <v>0</v>
      </c>
      <c r="N28" s="13">
        <f t="shared" si="1"/>
        <v>0</v>
      </c>
      <c r="O28" s="98">
        <f t="shared" si="8"/>
        <v>0</v>
      </c>
    </row>
    <row r="29" spans="3:15" x14ac:dyDescent="0.3">
      <c r="C29" s="13">
        <f>Quote!C203</f>
        <v>0</v>
      </c>
      <c r="D29" s="13" t="str">
        <f>Quote!D203</f>
        <v>-</v>
      </c>
      <c r="E29" s="13">
        <f>Quote!F203</f>
        <v>0</v>
      </c>
      <c r="F29" s="13">
        <f t="shared" si="2"/>
        <v>0</v>
      </c>
      <c r="G29" s="95">
        <f t="shared" si="3"/>
        <v>0</v>
      </c>
      <c r="H29" s="96">
        <f t="shared" si="4"/>
        <v>0</v>
      </c>
      <c r="I29" s="13"/>
      <c r="J29" s="13">
        <f t="shared" si="5"/>
        <v>2</v>
      </c>
      <c r="K29" s="13">
        <f t="shared" si="6"/>
        <v>0</v>
      </c>
      <c r="L29" s="13">
        <f t="shared" ca="1" si="0"/>
        <v>0</v>
      </c>
      <c r="M29" s="97">
        <f t="shared" ca="1" si="7"/>
        <v>0</v>
      </c>
      <c r="N29" s="13">
        <f t="shared" si="1"/>
        <v>0</v>
      </c>
      <c r="O29" s="98">
        <f t="shared" si="8"/>
        <v>0</v>
      </c>
    </row>
    <row r="30" spans="3:15" x14ac:dyDescent="0.3">
      <c r="C30" s="13">
        <f>Quote!C204</f>
        <v>0</v>
      </c>
      <c r="D30" s="13" t="str">
        <f>Quote!D204</f>
        <v>-</v>
      </c>
      <c r="E30" s="13">
        <f>Quote!F204</f>
        <v>0</v>
      </c>
      <c r="F30" s="13">
        <f t="shared" si="2"/>
        <v>0</v>
      </c>
      <c r="G30" s="95">
        <f t="shared" si="3"/>
        <v>0</v>
      </c>
      <c r="H30" s="96">
        <f t="shared" si="4"/>
        <v>0</v>
      </c>
      <c r="I30" s="13"/>
      <c r="J30" s="13">
        <f t="shared" si="5"/>
        <v>2</v>
      </c>
      <c r="K30" s="13">
        <f t="shared" si="6"/>
        <v>0</v>
      </c>
      <c r="L30" s="13">
        <f t="shared" ca="1" si="0"/>
        <v>0</v>
      </c>
      <c r="M30" s="97">
        <f t="shared" ca="1" si="7"/>
        <v>0</v>
      </c>
      <c r="N30" s="13">
        <f t="shared" si="1"/>
        <v>0</v>
      </c>
      <c r="O30" s="98">
        <f t="shared" si="8"/>
        <v>0</v>
      </c>
    </row>
    <row r="31" spans="3:15" x14ac:dyDescent="0.3">
      <c r="C31" s="13">
        <f>Quote!C205</f>
        <v>0</v>
      </c>
      <c r="D31" s="13" t="str">
        <f>Quote!D205</f>
        <v>-</v>
      </c>
      <c r="E31" s="13">
        <f>Quote!F205</f>
        <v>0</v>
      </c>
      <c r="F31" s="13">
        <f t="shared" si="2"/>
        <v>0</v>
      </c>
      <c r="G31" s="95">
        <f t="shared" si="3"/>
        <v>0</v>
      </c>
      <c r="H31" s="96">
        <f t="shared" si="4"/>
        <v>0</v>
      </c>
      <c r="I31" s="13"/>
      <c r="J31" s="13">
        <f t="shared" si="5"/>
        <v>2</v>
      </c>
      <c r="K31" s="13">
        <f t="shared" si="6"/>
        <v>0</v>
      </c>
      <c r="L31" s="13">
        <f t="shared" ca="1" si="0"/>
        <v>0</v>
      </c>
      <c r="M31" s="97">
        <f t="shared" ca="1" si="7"/>
        <v>0</v>
      </c>
      <c r="N31" s="13">
        <f t="shared" si="1"/>
        <v>0</v>
      </c>
      <c r="O31" s="98">
        <f t="shared" si="8"/>
        <v>0</v>
      </c>
    </row>
    <row r="32" spans="3:15" x14ac:dyDescent="0.3">
      <c r="C32" s="13">
        <f>Quote!C206</f>
        <v>0</v>
      </c>
      <c r="D32" s="13" t="str">
        <f>Quote!D206</f>
        <v>-</v>
      </c>
      <c r="E32" s="13">
        <f>Quote!F206</f>
        <v>0</v>
      </c>
      <c r="F32" s="13">
        <f t="shared" si="2"/>
        <v>0</v>
      </c>
      <c r="G32" s="95">
        <f t="shared" si="3"/>
        <v>0</v>
      </c>
      <c r="H32" s="96">
        <f t="shared" si="4"/>
        <v>0</v>
      </c>
      <c r="I32" s="13"/>
      <c r="J32" s="13">
        <f t="shared" si="5"/>
        <v>2</v>
      </c>
      <c r="K32" s="13">
        <f t="shared" si="6"/>
        <v>0</v>
      </c>
      <c r="L32" s="13">
        <f t="shared" ca="1" si="0"/>
        <v>0</v>
      </c>
      <c r="M32" s="97">
        <f t="shared" ca="1" si="7"/>
        <v>0</v>
      </c>
      <c r="N32" s="13">
        <f t="shared" si="1"/>
        <v>0</v>
      </c>
      <c r="O32" s="98">
        <f t="shared" si="8"/>
        <v>0</v>
      </c>
    </row>
    <row r="33" spans="3:15" x14ac:dyDescent="0.3">
      <c r="C33" s="13">
        <f>Quote!C207</f>
        <v>0</v>
      </c>
      <c r="D33" s="13" t="str">
        <f>Quote!D207</f>
        <v>-</v>
      </c>
      <c r="E33" s="13">
        <f>Quote!F207</f>
        <v>0</v>
      </c>
      <c r="F33" s="13">
        <f t="shared" si="2"/>
        <v>0</v>
      </c>
      <c r="G33" s="95">
        <f t="shared" si="3"/>
        <v>0</v>
      </c>
      <c r="H33" s="96">
        <f t="shared" si="4"/>
        <v>0</v>
      </c>
      <c r="I33" s="13"/>
      <c r="J33" s="13">
        <f t="shared" si="5"/>
        <v>2</v>
      </c>
      <c r="K33" s="13">
        <f t="shared" si="6"/>
        <v>0</v>
      </c>
      <c r="L33" s="13">
        <f t="shared" ca="1" si="0"/>
        <v>0</v>
      </c>
      <c r="M33" s="97">
        <f t="shared" ca="1" si="7"/>
        <v>0</v>
      </c>
      <c r="N33" s="13">
        <f t="shared" si="1"/>
        <v>0</v>
      </c>
      <c r="O33" s="98">
        <f t="shared" si="8"/>
        <v>0</v>
      </c>
    </row>
    <row r="34" spans="3:15" x14ac:dyDescent="0.3">
      <c r="C34" s="13">
        <f>Quote!C208</f>
        <v>0</v>
      </c>
      <c r="D34" s="13" t="str">
        <f>Quote!D208</f>
        <v>-</v>
      </c>
      <c r="E34" s="13">
        <f>Quote!F208</f>
        <v>0</v>
      </c>
      <c r="F34" s="13">
        <f t="shared" si="2"/>
        <v>0</v>
      </c>
      <c r="G34" s="95">
        <f t="shared" si="3"/>
        <v>0</v>
      </c>
      <c r="H34" s="96">
        <f t="shared" si="4"/>
        <v>0</v>
      </c>
      <c r="I34" s="13"/>
      <c r="J34" s="13">
        <f t="shared" si="5"/>
        <v>2</v>
      </c>
      <c r="K34" s="13">
        <f t="shared" si="6"/>
        <v>0</v>
      </c>
      <c r="L34" s="13">
        <f t="shared" ca="1" si="0"/>
        <v>0</v>
      </c>
      <c r="M34" s="97">
        <f t="shared" ca="1" si="7"/>
        <v>0</v>
      </c>
      <c r="N34" s="13">
        <f t="shared" si="1"/>
        <v>0</v>
      </c>
      <c r="O34" s="98">
        <f t="shared" si="8"/>
        <v>0</v>
      </c>
    </row>
    <row r="35" spans="3:15" x14ac:dyDescent="0.3">
      <c r="C35" s="13">
        <f>Quote!C209</f>
        <v>0</v>
      </c>
      <c r="D35" s="13" t="str">
        <f>Quote!D209</f>
        <v>-</v>
      </c>
      <c r="E35" s="13">
        <f>Quote!F209</f>
        <v>0</v>
      </c>
      <c r="F35" s="13">
        <f t="shared" si="2"/>
        <v>0</v>
      </c>
      <c r="G35" s="95">
        <f t="shared" si="3"/>
        <v>0</v>
      </c>
      <c r="H35" s="96">
        <f t="shared" si="4"/>
        <v>0</v>
      </c>
      <c r="I35" s="13"/>
      <c r="J35" s="13">
        <f t="shared" si="5"/>
        <v>2</v>
      </c>
      <c r="K35" s="13">
        <f t="shared" si="6"/>
        <v>0</v>
      </c>
      <c r="L35" s="13">
        <f t="shared" ca="1" si="0"/>
        <v>0</v>
      </c>
      <c r="M35" s="97">
        <f t="shared" ca="1" si="7"/>
        <v>0</v>
      </c>
      <c r="N35" s="13">
        <f t="shared" si="1"/>
        <v>0</v>
      </c>
      <c r="O35" s="98">
        <f t="shared" si="8"/>
        <v>0</v>
      </c>
    </row>
    <row r="36" spans="3:15" x14ac:dyDescent="0.3">
      <c r="C36" s="13">
        <f>Quote!C210</f>
        <v>0</v>
      </c>
      <c r="D36" s="13" t="str">
        <f>Quote!D210</f>
        <v>-</v>
      </c>
      <c r="E36" s="13">
        <f>Quote!F210</f>
        <v>0</v>
      </c>
      <c r="F36" s="13">
        <f t="shared" si="2"/>
        <v>0</v>
      </c>
      <c r="G36" s="95">
        <f t="shared" si="3"/>
        <v>0</v>
      </c>
      <c r="H36" s="96">
        <f t="shared" si="4"/>
        <v>0</v>
      </c>
      <c r="I36" s="13"/>
      <c r="J36" s="13">
        <f t="shared" si="5"/>
        <v>2</v>
      </c>
      <c r="K36" s="13">
        <f t="shared" si="6"/>
        <v>0</v>
      </c>
      <c r="L36" s="13">
        <f t="shared" ca="1" si="0"/>
        <v>0</v>
      </c>
      <c r="M36" s="97">
        <f t="shared" ca="1" si="7"/>
        <v>0</v>
      </c>
      <c r="N36" s="13">
        <f t="shared" si="1"/>
        <v>0</v>
      </c>
      <c r="O36" s="98">
        <f t="shared" si="8"/>
        <v>0</v>
      </c>
    </row>
    <row r="37" spans="3:15" x14ac:dyDescent="0.3">
      <c r="C37" s="13">
        <f>Quote!C211</f>
        <v>0</v>
      </c>
      <c r="D37" s="13" t="str">
        <f>Quote!D211</f>
        <v>-</v>
      </c>
      <c r="E37" s="13">
        <f>Quote!F211</f>
        <v>0</v>
      </c>
      <c r="F37" s="13">
        <f t="shared" si="2"/>
        <v>0</v>
      </c>
      <c r="G37" s="95">
        <f t="shared" si="3"/>
        <v>0</v>
      </c>
      <c r="H37" s="96">
        <f t="shared" si="4"/>
        <v>0</v>
      </c>
      <c r="I37" s="13"/>
      <c r="J37" s="13">
        <f t="shared" si="5"/>
        <v>2</v>
      </c>
      <c r="K37" s="13">
        <f t="shared" si="6"/>
        <v>0</v>
      </c>
      <c r="L37" s="13">
        <f t="shared" ref="L37:L54" ca="1" si="9">statutory_premium</f>
        <v>0</v>
      </c>
      <c r="M37" s="97">
        <f t="shared" ca="1" si="7"/>
        <v>0</v>
      </c>
      <c r="N37" s="13">
        <f t="shared" ref="N37:N54" si="10">required_premium</f>
        <v>0</v>
      </c>
      <c r="O37" s="98">
        <f t="shared" si="8"/>
        <v>0</v>
      </c>
    </row>
    <row r="38" spans="3:15" x14ac:dyDescent="0.3">
      <c r="C38" s="13">
        <f>Quote!C212</f>
        <v>0</v>
      </c>
      <c r="D38" s="13" t="str">
        <f>Quote!D212</f>
        <v>-</v>
      </c>
      <c r="E38" s="13">
        <f>Quote!F212</f>
        <v>0</v>
      </c>
      <c r="F38" s="13">
        <f t="shared" si="2"/>
        <v>0</v>
      </c>
      <c r="G38" s="95">
        <f t="shared" si="3"/>
        <v>0</v>
      </c>
      <c r="H38" s="96">
        <f t="shared" si="4"/>
        <v>0</v>
      </c>
      <c r="I38" s="13"/>
      <c r="J38" s="13">
        <f t="shared" si="5"/>
        <v>2</v>
      </c>
      <c r="K38" s="13">
        <f t="shared" si="6"/>
        <v>0</v>
      </c>
      <c r="L38" s="13">
        <f t="shared" ca="1" si="9"/>
        <v>0</v>
      </c>
      <c r="M38" s="97">
        <f t="shared" ca="1" si="7"/>
        <v>0</v>
      </c>
      <c r="N38" s="13">
        <f t="shared" si="10"/>
        <v>0</v>
      </c>
      <c r="O38" s="98">
        <f t="shared" si="8"/>
        <v>0</v>
      </c>
    </row>
    <row r="39" spans="3:15" x14ac:dyDescent="0.3">
      <c r="C39" s="13">
        <f>Quote!C213</f>
        <v>0</v>
      </c>
      <c r="D39" s="13" t="str">
        <f>Quote!D213</f>
        <v>-</v>
      </c>
      <c r="E39" s="13">
        <f>Quote!F213</f>
        <v>0</v>
      </c>
      <c r="F39" s="13">
        <f t="shared" si="2"/>
        <v>0</v>
      </c>
      <c r="G39" s="95">
        <f t="shared" si="3"/>
        <v>0</v>
      </c>
      <c r="H39" s="96">
        <f t="shared" si="4"/>
        <v>0</v>
      </c>
      <c r="I39" s="13"/>
      <c r="J39" s="13">
        <f t="shared" si="5"/>
        <v>2</v>
      </c>
      <c r="K39" s="13">
        <f t="shared" si="6"/>
        <v>0</v>
      </c>
      <c r="L39" s="13">
        <f t="shared" ca="1" si="9"/>
        <v>0</v>
      </c>
      <c r="M39" s="97">
        <f t="shared" ca="1" si="7"/>
        <v>0</v>
      </c>
      <c r="N39" s="13">
        <f t="shared" si="10"/>
        <v>0</v>
      </c>
      <c r="O39" s="98">
        <f t="shared" si="8"/>
        <v>0</v>
      </c>
    </row>
    <row r="40" spans="3:15" x14ac:dyDescent="0.3">
      <c r="C40" s="13">
        <f>Quote!C214</f>
        <v>0</v>
      </c>
      <c r="D40" s="13" t="str">
        <f>Quote!D214</f>
        <v>-</v>
      </c>
      <c r="E40" s="13">
        <f>Quote!F214</f>
        <v>0</v>
      </c>
      <c r="F40" s="13">
        <f t="shared" si="2"/>
        <v>0</v>
      </c>
      <c r="G40" s="95">
        <f t="shared" si="3"/>
        <v>0</v>
      </c>
      <c r="H40" s="96">
        <f t="shared" si="4"/>
        <v>0</v>
      </c>
      <c r="I40" s="13"/>
      <c r="J40" s="13">
        <f t="shared" si="5"/>
        <v>2</v>
      </c>
      <c r="K40" s="13">
        <f t="shared" si="6"/>
        <v>0</v>
      </c>
      <c r="L40" s="13">
        <f t="shared" ca="1" si="9"/>
        <v>0</v>
      </c>
      <c r="M40" s="97">
        <f t="shared" ca="1" si="7"/>
        <v>0</v>
      </c>
      <c r="N40" s="13">
        <f t="shared" si="10"/>
        <v>0</v>
      </c>
      <c r="O40" s="98">
        <f t="shared" si="8"/>
        <v>0</v>
      </c>
    </row>
    <row r="41" spans="3:15" x14ac:dyDescent="0.3">
      <c r="C41" s="13">
        <f>Quote!C215</f>
        <v>0</v>
      </c>
      <c r="D41" s="13" t="str">
        <f>Quote!D215</f>
        <v>-</v>
      </c>
      <c r="E41" s="13">
        <f>Quote!F215</f>
        <v>0</v>
      </c>
      <c r="F41" s="13">
        <f t="shared" si="2"/>
        <v>0</v>
      </c>
      <c r="G41" s="95">
        <f t="shared" si="3"/>
        <v>0</v>
      </c>
      <c r="H41" s="96">
        <f t="shared" si="4"/>
        <v>0</v>
      </c>
      <c r="I41" s="13"/>
      <c r="J41" s="13">
        <f t="shared" si="5"/>
        <v>2</v>
      </c>
      <c r="K41" s="13">
        <f t="shared" si="6"/>
        <v>0</v>
      </c>
      <c r="L41" s="13">
        <f t="shared" ca="1" si="9"/>
        <v>0</v>
      </c>
      <c r="M41" s="97">
        <f t="shared" ca="1" si="7"/>
        <v>0</v>
      </c>
      <c r="N41" s="13">
        <f t="shared" si="10"/>
        <v>0</v>
      </c>
      <c r="O41" s="98">
        <f t="shared" si="8"/>
        <v>0</v>
      </c>
    </row>
    <row r="42" spans="3:15" x14ac:dyDescent="0.3">
      <c r="C42" s="13">
        <f>Quote!C216</f>
        <v>0</v>
      </c>
      <c r="D42" s="13" t="str">
        <f>Quote!D216</f>
        <v>-</v>
      </c>
      <c r="E42" s="13">
        <f>Quote!F216</f>
        <v>0</v>
      </c>
      <c r="F42" s="13">
        <f t="shared" si="2"/>
        <v>0</v>
      </c>
      <c r="G42" s="95">
        <f t="shared" si="3"/>
        <v>0</v>
      </c>
      <c r="H42" s="96">
        <f t="shared" si="4"/>
        <v>0</v>
      </c>
      <c r="I42" s="13"/>
      <c r="J42" s="13">
        <f t="shared" si="5"/>
        <v>2</v>
      </c>
      <c r="K42" s="13">
        <f t="shared" si="6"/>
        <v>0</v>
      </c>
      <c r="L42" s="13">
        <f t="shared" ca="1" si="9"/>
        <v>0</v>
      </c>
      <c r="M42" s="97">
        <f t="shared" ca="1" si="7"/>
        <v>0</v>
      </c>
      <c r="N42" s="13">
        <f t="shared" si="10"/>
        <v>0</v>
      </c>
      <c r="O42" s="98">
        <f t="shared" si="8"/>
        <v>0</v>
      </c>
    </row>
    <row r="43" spans="3:15" x14ac:dyDescent="0.3">
      <c r="C43" s="13">
        <f>Quote!C217</f>
        <v>0</v>
      </c>
      <c r="D43" s="13" t="str">
        <f>Quote!D217</f>
        <v>-</v>
      </c>
      <c r="E43" s="13">
        <f>Quote!F217</f>
        <v>0</v>
      </c>
      <c r="F43" s="13">
        <f t="shared" si="2"/>
        <v>0</v>
      </c>
      <c r="G43" s="95">
        <f t="shared" si="3"/>
        <v>0</v>
      </c>
      <c r="H43" s="96">
        <f t="shared" si="4"/>
        <v>0</v>
      </c>
      <c r="I43" s="13"/>
      <c r="J43" s="13">
        <f t="shared" si="5"/>
        <v>2</v>
      </c>
      <c r="K43" s="13">
        <f t="shared" si="6"/>
        <v>0</v>
      </c>
      <c r="L43" s="13">
        <f t="shared" ca="1" si="9"/>
        <v>0</v>
      </c>
      <c r="M43" s="97">
        <f t="shared" ca="1" si="7"/>
        <v>0</v>
      </c>
      <c r="N43" s="13">
        <f t="shared" si="10"/>
        <v>0</v>
      </c>
      <c r="O43" s="98">
        <f t="shared" si="8"/>
        <v>0</v>
      </c>
    </row>
    <row r="44" spans="3:15" x14ac:dyDescent="0.3">
      <c r="C44" s="13">
        <f>Quote!C218</f>
        <v>0</v>
      </c>
      <c r="D44" s="13" t="str">
        <f>Quote!D218</f>
        <v>-</v>
      </c>
      <c r="E44" s="13">
        <f>Quote!F218</f>
        <v>0</v>
      </c>
      <c r="F44" s="13">
        <f t="shared" si="2"/>
        <v>0</v>
      </c>
      <c r="G44" s="95">
        <f t="shared" si="3"/>
        <v>0</v>
      </c>
      <c r="H44" s="96">
        <f t="shared" si="4"/>
        <v>0</v>
      </c>
      <c r="I44" s="13"/>
      <c r="J44" s="13">
        <f t="shared" si="5"/>
        <v>2</v>
      </c>
      <c r="K44" s="13">
        <f t="shared" si="6"/>
        <v>0</v>
      </c>
      <c r="L44" s="13">
        <f t="shared" ca="1" si="9"/>
        <v>0</v>
      </c>
      <c r="M44" s="97">
        <f t="shared" ca="1" si="7"/>
        <v>0</v>
      </c>
      <c r="N44" s="13">
        <f t="shared" si="10"/>
        <v>0</v>
      </c>
      <c r="O44" s="98">
        <f t="shared" si="8"/>
        <v>0</v>
      </c>
    </row>
    <row r="45" spans="3:15" x14ac:dyDescent="0.3">
      <c r="C45" s="13">
        <f>Quote!C219</f>
        <v>0</v>
      </c>
      <c r="D45" s="13" t="str">
        <f>Quote!D219</f>
        <v>-</v>
      </c>
      <c r="E45" s="13">
        <f>Quote!F219</f>
        <v>0</v>
      </c>
      <c r="F45" s="13">
        <f t="shared" si="2"/>
        <v>0</v>
      </c>
      <c r="G45" s="95">
        <f t="shared" si="3"/>
        <v>0</v>
      </c>
      <c r="H45" s="96">
        <f t="shared" si="4"/>
        <v>0</v>
      </c>
      <c r="I45" s="13"/>
      <c r="J45" s="13">
        <f t="shared" si="5"/>
        <v>2</v>
      </c>
      <c r="K45" s="13">
        <f t="shared" si="6"/>
        <v>0</v>
      </c>
      <c r="L45" s="13">
        <f t="shared" ca="1" si="9"/>
        <v>0</v>
      </c>
      <c r="M45" s="97">
        <f t="shared" ca="1" si="7"/>
        <v>0</v>
      </c>
      <c r="N45" s="13">
        <f t="shared" si="10"/>
        <v>0</v>
      </c>
      <c r="O45" s="98">
        <f t="shared" si="8"/>
        <v>0</v>
      </c>
    </row>
    <row r="46" spans="3:15" x14ac:dyDescent="0.3">
      <c r="C46" s="13">
        <f>Quote!C220</f>
        <v>0</v>
      </c>
      <c r="D46" s="13" t="str">
        <f>Quote!D220</f>
        <v>-</v>
      </c>
      <c r="E46" s="13">
        <f>Quote!F220</f>
        <v>0</v>
      </c>
      <c r="F46" s="13">
        <f t="shared" si="2"/>
        <v>0</v>
      </c>
      <c r="G46" s="95">
        <f t="shared" si="3"/>
        <v>0</v>
      </c>
      <c r="H46" s="96">
        <f t="shared" si="4"/>
        <v>0</v>
      </c>
      <c r="I46" s="13"/>
      <c r="J46" s="13">
        <f t="shared" si="5"/>
        <v>2</v>
      </c>
      <c r="K46" s="13">
        <f t="shared" si="6"/>
        <v>0</v>
      </c>
      <c r="L46" s="13">
        <f t="shared" ca="1" si="9"/>
        <v>0</v>
      </c>
      <c r="M46" s="97">
        <f t="shared" ca="1" si="7"/>
        <v>0</v>
      </c>
      <c r="N46" s="13">
        <f t="shared" si="10"/>
        <v>0</v>
      </c>
      <c r="O46" s="98">
        <f t="shared" si="8"/>
        <v>0</v>
      </c>
    </row>
    <row r="47" spans="3:15" x14ac:dyDescent="0.3">
      <c r="C47" s="13">
        <f>Quote!C221</f>
        <v>0</v>
      </c>
      <c r="D47" s="13" t="str">
        <f>Quote!D221</f>
        <v>-</v>
      </c>
      <c r="E47" s="13">
        <f>Quote!F221</f>
        <v>0</v>
      </c>
      <c r="F47" s="13">
        <f t="shared" si="2"/>
        <v>0</v>
      </c>
      <c r="G47" s="95">
        <f t="shared" si="3"/>
        <v>0</v>
      </c>
      <c r="H47" s="96">
        <f t="shared" si="4"/>
        <v>0</v>
      </c>
      <c r="I47" s="13"/>
      <c r="J47" s="13">
        <f t="shared" si="5"/>
        <v>2</v>
      </c>
      <c r="K47" s="13">
        <f t="shared" si="6"/>
        <v>0</v>
      </c>
      <c r="L47" s="13">
        <f t="shared" ca="1" si="9"/>
        <v>0</v>
      </c>
      <c r="M47" s="97">
        <f t="shared" ca="1" si="7"/>
        <v>0</v>
      </c>
      <c r="N47" s="13">
        <f t="shared" si="10"/>
        <v>0</v>
      </c>
      <c r="O47" s="98">
        <f t="shared" si="8"/>
        <v>0</v>
      </c>
    </row>
    <row r="48" spans="3:15" x14ac:dyDescent="0.3">
      <c r="C48" s="13">
        <f>Quote!C222</f>
        <v>0</v>
      </c>
      <c r="D48" s="13" t="str">
        <f>Quote!D222</f>
        <v>-</v>
      </c>
      <c r="E48" s="13">
        <f>Quote!F222</f>
        <v>0</v>
      </c>
      <c r="F48" s="13">
        <f t="shared" si="2"/>
        <v>0</v>
      </c>
      <c r="G48" s="95">
        <f t="shared" si="3"/>
        <v>0</v>
      </c>
      <c r="H48" s="96">
        <f t="shared" si="4"/>
        <v>0</v>
      </c>
      <c r="I48" s="13"/>
      <c r="J48" s="13">
        <f t="shared" si="5"/>
        <v>2</v>
      </c>
      <c r="K48" s="13">
        <f t="shared" si="6"/>
        <v>0</v>
      </c>
      <c r="L48" s="13">
        <f t="shared" ca="1" si="9"/>
        <v>0</v>
      </c>
      <c r="M48" s="97">
        <f t="shared" ca="1" si="7"/>
        <v>0</v>
      </c>
      <c r="N48" s="13">
        <f t="shared" si="10"/>
        <v>0</v>
      </c>
      <c r="O48" s="98">
        <f t="shared" si="8"/>
        <v>0</v>
      </c>
    </row>
    <row r="49" spans="3:15" x14ac:dyDescent="0.3">
      <c r="C49" s="13">
        <f>Quote!C223</f>
        <v>0</v>
      </c>
      <c r="D49" s="13" t="str">
        <f>Quote!D223</f>
        <v>-</v>
      </c>
      <c r="E49" s="13">
        <f>Quote!F223</f>
        <v>0</v>
      </c>
      <c r="F49" s="13">
        <f t="shared" si="2"/>
        <v>0</v>
      </c>
      <c r="G49" s="95">
        <f t="shared" si="3"/>
        <v>0</v>
      </c>
      <c r="H49" s="96">
        <f t="shared" si="4"/>
        <v>0</v>
      </c>
      <c r="I49" s="13"/>
      <c r="J49" s="13">
        <f t="shared" si="5"/>
        <v>2</v>
      </c>
      <c r="K49" s="13">
        <f t="shared" si="6"/>
        <v>0</v>
      </c>
      <c r="L49" s="13">
        <f t="shared" ca="1" si="9"/>
        <v>0</v>
      </c>
      <c r="M49" s="97">
        <f t="shared" ca="1" si="7"/>
        <v>0</v>
      </c>
      <c r="N49" s="13">
        <f t="shared" si="10"/>
        <v>0</v>
      </c>
      <c r="O49" s="98">
        <f t="shared" si="8"/>
        <v>0</v>
      </c>
    </row>
    <row r="50" spans="3:15" x14ac:dyDescent="0.3">
      <c r="C50" s="13">
        <f>Quote!C224</f>
        <v>0</v>
      </c>
      <c r="D50" s="13" t="str">
        <f>Quote!D224</f>
        <v>-</v>
      </c>
      <c r="E50" s="13">
        <f>Quote!F224</f>
        <v>0</v>
      </c>
      <c r="F50" s="13">
        <f t="shared" si="2"/>
        <v>0</v>
      </c>
      <c r="G50" s="95">
        <f t="shared" si="3"/>
        <v>0</v>
      </c>
      <c r="H50" s="96">
        <f t="shared" si="4"/>
        <v>0</v>
      </c>
      <c r="I50" s="13"/>
      <c r="J50" s="13">
        <f t="shared" si="5"/>
        <v>2</v>
      </c>
      <c r="K50" s="13">
        <f t="shared" si="6"/>
        <v>0</v>
      </c>
      <c r="L50" s="13">
        <f t="shared" ca="1" si="9"/>
        <v>0</v>
      </c>
      <c r="M50" s="97">
        <f t="shared" ca="1" si="7"/>
        <v>0</v>
      </c>
      <c r="N50" s="13">
        <f t="shared" si="10"/>
        <v>0</v>
      </c>
      <c r="O50" s="98">
        <f t="shared" si="8"/>
        <v>0</v>
      </c>
    </row>
    <row r="51" spans="3:15" x14ac:dyDescent="0.3">
      <c r="C51" s="13">
        <f>Quote!C225</f>
        <v>0</v>
      </c>
      <c r="D51" s="13" t="str">
        <f>Quote!D225</f>
        <v>-</v>
      </c>
      <c r="E51" s="13">
        <f>Quote!F225</f>
        <v>0</v>
      </c>
      <c r="F51" s="13">
        <f t="shared" si="2"/>
        <v>0</v>
      </c>
      <c r="G51" s="95">
        <f t="shared" si="3"/>
        <v>0</v>
      </c>
      <c r="H51" s="96">
        <f t="shared" si="4"/>
        <v>0</v>
      </c>
      <c r="I51" s="13"/>
      <c r="J51" s="13">
        <f t="shared" si="5"/>
        <v>2</v>
      </c>
      <c r="K51" s="13">
        <f t="shared" si="6"/>
        <v>0</v>
      </c>
      <c r="L51" s="13">
        <f t="shared" ca="1" si="9"/>
        <v>0</v>
      </c>
      <c r="M51" s="97">
        <f t="shared" ca="1" si="7"/>
        <v>0</v>
      </c>
      <c r="N51" s="13">
        <f t="shared" si="10"/>
        <v>0</v>
      </c>
      <c r="O51" s="98">
        <f t="shared" si="8"/>
        <v>0</v>
      </c>
    </row>
    <row r="52" spans="3:15" x14ac:dyDescent="0.3">
      <c r="C52" s="13">
        <f>Quote!C226</f>
        <v>0</v>
      </c>
      <c r="D52" s="13" t="str">
        <f>Quote!D226</f>
        <v>-</v>
      </c>
      <c r="E52" s="13">
        <f>Quote!F226</f>
        <v>0</v>
      </c>
      <c r="F52" s="13">
        <f t="shared" si="2"/>
        <v>0</v>
      </c>
      <c r="G52" s="95">
        <f t="shared" si="3"/>
        <v>0</v>
      </c>
      <c r="H52" s="96">
        <f t="shared" si="4"/>
        <v>0</v>
      </c>
      <c r="I52" s="13"/>
      <c r="J52" s="13">
        <f t="shared" si="5"/>
        <v>2</v>
      </c>
      <c r="K52" s="13">
        <f t="shared" si="6"/>
        <v>0</v>
      </c>
      <c r="L52" s="13">
        <f t="shared" ca="1" si="9"/>
        <v>0</v>
      </c>
      <c r="M52" s="97">
        <f t="shared" ca="1" si="7"/>
        <v>0</v>
      </c>
      <c r="N52" s="13">
        <f t="shared" si="10"/>
        <v>0</v>
      </c>
      <c r="O52" s="98">
        <f t="shared" si="8"/>
        <v>0</v>
      </c>
    </row>
    <row r="53" spans="3:15" x14ac:dyDescent="0.3">
      <c r="C53" s="13">
        <f>Quote!C227</f>
        <v>0</v>
      </c>
      <c r="D53" s="13" t="str">
        <f>Quote!D227</f>
        <v>-</v>
      </c>
      <c r="E53" s="13">
        <f>Quote!F227</f>
        <v>0</v>
      </c>
      <c r="F53" s="13">
        <f t="shared" si="2"/>
        <v>0</v>
      </c>
      <c r="G53" s="95">
        <f t="shared" si="3"/>
        <v>0</v>
      </c>
      <c r="H53" s="96">
        <f t="shared" si="4"/>
        <v>0</v>
      </c>
      <c r="I53" s="13"/>
      <c r="J53" s="13">
        <f t="shared" si="5"/>
        <v>2</v>
      </c>
      <c r="K53" s="13">
        <f t="shared" si="6"/>
        <v>0</v>
      </c>
      <c r="L53" s="13">
        <f t="shared" ca="1" si="9"/>
        <v>0</v>
      </c>
      <c r="M53" s="97">
        <f t="shared" ca="1" si="7"/>
        <v>0</v>
      </c>
      <c r="N53" s="13">
        <f t="shared" si="10"/>
        <v>0</v>
      </c>
      <c r="O53" s="98">
        <f t="shared" si="8"/>
        <v>0</v>
      </c>
    </row>
    <row r="54" spans="3:15" x14ac:dyDescent="0.3">
      <c r="C54" s="13">
        <f>Quote!C228</f>
        <v>0</v>
      </c>
      <c r="D54" s="13" t="str">
        <f>Quote!D228</f>
        <v>-</v>
      </c>
      <c r="E54" s="13">
        <f>Quote!F228</f>
        <v>0</v>
      </c>
      <c r="F54" s="13">
        <f t="shared" si="2"/>
        <v>0</v>
      </c>
      <c r="G54" s="95">
        <f t="shared" si="3"/>
        <v>0</v>
      </c>
      <c r="H54" s="96">
        <f t="shared" si="4"/>
        <v>0</v>
      </c>
      <c r="I54" s="13"/>
      <c r="J54" s="13">
        <f t="shared" si="5"/>
        <v>2</v>
      </c>
      <c r="K54" s="13">
        <f t="shared" si="6"/>
        <v>0</v>
      </c>
      <c r="L54" s="13">
        <f t="shared" ca="1" si="9"/>
        <v>0</v>
      </c>
      <c r="M54" s="97">
        <f t="shared" ca="1" si="7"/>
        <v>0</v>
      </c>
      <c r="N54" s="13">
        <f t="shared" si="10"/>
        <v>0</v>
      </c>
      <c r="O54" s="98">
        <f t="shared" si="8"/>
        <v>0</v>
      </c>
    </row>
    <row r="55" spans="3:15" x14ac:dyDescent="0.3">
      <c r="C55" s="6"/>
    </row>
  </sheetData>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2:AL107"/>
  <sheetViews>
    <sheetView zoomScale="85" zoomScaleNormal="85" workbookViewId="0">
      <pane ySplit="4" topLeftCell="A5" activePane="bottomLeft" state="frozen"/>
      <selection activeCell="B57" sqref="B57"/>
      <selection pane="bottomLeft" activeCell="B5" sqref="B5"/>
    </sheetView>
  </sheetViews>
  <sheetFormatPr defaultRowHeight="14.4" x14ac:dyDescent="0.3"/>
  <cols>
    <col min="1" max="1" width="7.5546875" style="6" customWidth="1"/>
    <col min="2" max="2" width="13.6640625" style="6" bestFit="1" customWidth="1"/>
    <col min="3" max="3" width="18.33203125" style="6" bestFit="1" customWidth="1"/>
    <col min="4" max="4" width="13.5546875" style="6" customWidth="1"/>
    <col min="5" max="5" width="15" style="6" bestFit="1" customWidth="1"/>
    <col min="6" max="6" width="13.6640625" style="6" bestFit="1" customWidth="1"/>
    <col min="7" max="7" width="13.6640625" style="6" customWidth="1"/>
    <col min="8" max="8" width="44.5546875" style="6" bestFit="1" customWidth="1"/>
    <col min="9" max="9" width="19.33203125" style="6" bestFit="1" customWidth="1"/>
    <col min="10" max="10" width="17.88671875" style="6" bestFit="1" customWidth="1"/>
    <col min="11" max="11" width="16.21875" style="6" customWidth="1"/>
    <col min="12" max="12" width="21.109375" style="6" customWidth="1"/>
    <col min="13" max="13" width="22.21875" style="6" bestFit="1" customWidth="1"/>
    <col min="14" max="14" width="19.88671875" style="6" customWidth="1"/>
    <col min="15" max="15" width="18.21875" style="6" bestFit="1" customWidth="1"/>
    <col min="16" max="16" width="14.21875" style="6" customWidth="1"/>
    <col min="17" max="17" width="17.77734375" style="6" bestFit="1" customWidth="1"/>
    <col min="18" max="18" width="16.6640625" style="6" bestFit="1" customWidth="1"/>
    <col min="19" max="19" width="14.33203125" style="6" bestFit="1" customWidth="1"/>
    <col min="20" max="20" width="16.33203125" style="6" bestFit="1" customWidth="1"/>
    <col min="21" max="21" width="19.109375" style="6" bestFit="1" customWidth="1"/>
    <col min="22" max="22" width="21.88671875" style="6" bestFit="1" customWidth="1"/>
    <col min="23" max="23" width="19.109375" style="6" bestFit="1" customWidth="1"/>
    <col min="24" max="24" width="19.33203125" style="6" bestFit="1" customWidth="1"/>
    <col min="25" max="25" width="12.88671875" style="6" bestFit="1" customWidth="1"/>
    <col min="26" max="27" width="18.33203125" style="6" bestFit="1" customWidth="1"/>
    <col min="28" max="28" width="17.88671875" style="6" customWidth="1"/>
    <col min="29" max="29" width="13.88671875" style="6" customWidth="1"/>
    <col min="30" max="16384" width="8.88671875" style="6"/>
  </cols>
  <sheetData>
    <row r="2" spans="1:38" x14ac:dyDescent="0.3">
      <c r="Q2" s="45"/>
      <c r="R2" s="45"/>
    </row>
    <row r="3" spans="1:38" x14ac:dyDescent="0.3">
      <c r="A3" s="22" t="s">
        <v>72</v>
      </c>
      <c r="B3" s="22">
        <f>SUM(B5:B54)</f>
        <v>0</v>
      </c>
      <c r="C3" s="22"/>
      <c r="D3" s="22">
        <f>SUM(D5:D54)</f>
        <v>0</v>
      </c>
      <c r="E3" s="22">
        <f>SUM(E5:E54)</f>
        <v>0</v>
      </c>
      <c r="F3" s="22">
        <f>SUM(F5:F54)</f>
        <v>0</v>
      </c>
      <c r="G3" s="22"/>
      <c r="H3" s="22">
        <f>SUM(H5:H54)</f>
        <v>0</v>
      </c>
      <c r="I3" s="22"/>
      <c r="J3" s="22"/>
      <c r="K3" s="22"/>
      <c r="L3" s="22"/>
      <c r="M3" s="22"/>
      <c r="N3" s="22"/>
      <c r="O3" s="22"/>
      <c r="P3" s="22"/>
      <c r="Q3" s="22">
        <f ca="1">SUM(Q5:Q54)</f>
        <v>0</v>
      </c>
      <c r="R3" s="22">
        <f ca="1">SUM(R5:R54)</f>
        <v>0</v>
      </c>
      <c r="S3" s="22">
        <f ca="1">SUM(S5:S54)</f>
        <v>0</v>
      </c>
    </row>
    <row r="4" spans="1:38" x14ac:dyDescent="0.3">
      <c r="A4" s="16" t="s">
        <v>43</v>
      </c>
      <c r="B4" s="16" t="s">
        <v>67</v>
      </c>
      <c r="C4" s="16" t="s">
        <v>44</v>
      </c>
      <c r="D4" s="16" t="s">
        <v>45</v>
      </c>
      <c r="E4" s="16" t="s">
        <v>68</v>
      </c>
      <c r="F4" s="16" t="s">
        <v>69</v>
      </c>
      <c r="G4" s="16" t="s">
        <v>209</v>
      </c>
      <c r="H4" s="16" t="s">
        <v>70</v>
      </c>
      <c r="I4" s="16" t="s">
        <v>123</v>
      </c>
      <c r="J4" s="16" t="s">
        <v>12334</v>
      </c>
      <c r="K4" s="16" t="s">
        <v>124</v>
      </c>
      <c r="L4" s="16" t="s">
        <v>125</v>
      </c>
      <c r="M4" s="16" t="s">
        <v>126</v>
      </c>
      <c r="N4" s="16" t="s">
        <v>12335</v>
      </c>
      <c r="O4" s="16" t="s">
        <v>12336</v>
      </c>
      <c r="P4" s="16" t="s">
        <v>12337</v>
      </c>
      <c r="Q4" s="16" t="s">
        <v>127</v>
      </c>
      <c r="R4" s="16" t="s">
        <v>128</v>
      </c>
      <c r="S4" s="16" t="s">
        <v>71</v>
      </c>
      <c r="U4" s="123" t="s">
        <v>76</v>
      </c>
      <c r="V4" s="118" t="s">
        <v>13222</v>
      </c>
      <c r="W4" s="118" t="s">
        <v>13223</v>
      </c>
      <c r="X4" s="118" t="s">
        <v>13224</v>
      </c>
      <c r="Z4" t="s">
        <v>13213</v>
      </c>
      <c r="AA4" s="172" t="str">
        <f ca="1">IF(old_new_uin="new",AA8,IF(Quote!J297&gt;revised_exp_policy_premium,"Discount","Loading"))</f>
        <v>Loading</v>
      </c>
      <c r="AC4" s="147"/>
      <c r="AD4" s="39"/>
      <c r="AE4" s="39"/>
      <c r="AF4" s="39"/>
      <c r="AG4" s="39"/>
      <c r="AH4" s="39"/>
      <c r="AI4" s="39"/>
      <c r="AJ4" s="39"/>
      <c r="AK4" s="39"/>
      <c r="AL4" s="39"/>
    </row>
    <row r="5" spans="1:38" x14ac:dyDescent="0.3">
      <c r="A5" s="13" t="str">
        <f>IF(B5&gt;0,1,"")</f>
        <v/>
      </c>
      <c r="B5" s="18">
        <f>Quote!C179</f>
        <v>0</v>
      </c>
      <c r="C5" s="18" t="str">
        <f>IFERROR(INDEX('Trade Category'!$A$2:$A$830,MATCH(Quote!D179,'Trade Category'!$F$2:$F$830,0),0),"")</f>
        <v/>
      </c>
      <c r="D5" s="18" t="str">
        <f>Quote!D179</f>
        <v>-</v>
      </c>
      <c r="E5" s="18">
        <f>Quote!E179</f>
        <v>0</v>
      </c>
      <c r="F5" s="18">
        <f>Quote!F179</f>
        <v>0</v>
      </c>
      <c r="G5" s="13" t="str">
        <f>CONCATENATE(B5,D5,E5,F5)</f>
        <v>0-00</v>
      </c>
      <c r="H5" s="13">
        <f>Quote!G179</f>
        <v>0</v>
      </c>
      <c r="I5" s="13">
        <f t="shared" ref="I5:I36" si="0">IF(F5&gt;15000,15000,F5)</f>
        <v>0</v>
      </c>
      <c r="J5" s="13">
        <f>F5-I5</f>
        <v>0</v>
      </c>
      <c r="K5" s="13"/>
      <c r="L5" s="13"/>
      <c r="M5" s="13"/>
      <c r="N5" s="13"/>
      <c r="O5" s="13"/>
      <c r="P5" s="13"/>
      <c r="Q5" s="90">
        <f ca="1">SUM(((I5*$B5*$K5*policy_term)/1000*uw_final_cont_1)+SUM((I5*$B5*$L5*policy_term)/1000*uw_final_cont_2)+SUM((I5*$B5*$M5*policy_term)/1000*uw_final_cont_3))</f>
        <v>0</v>
      </c>
      <c r="R5" s="90">
        <f ca="1">SUM(((J5*$B5*$N5*policy_term)/1000*uw_final_cont_1)+SUM((J5*$B5*$O5*policy_term)/1000*uw_final_cont_2)+SUM((J5*$B5*$P5*policy_term)/1000*uw_final_cont_3))</f>
        <v>0</v>
      </c>
      <c r="S5" s="90">
        <f ca="1">ROUND(SUM(Q5:R5),2)</f>
        <v>0</v>
      </c>
      <c r="U5" s="46">
        <f>Renewal_Loading!I3</f>
        <v>0</v>
      </c>
      <c r="V5" s="1">
        <f>Renewal_Loading!C2</f>
        <v>0</v>
      </c>
      <c r="W5" s="1">
        <f>Renewal_Loading!D2</f>
        <v>0</v>
      </c>
      <c r="X5" s="1">
        <f>Renewal_Loading!E2</f>
        <v>0</v>
      </c>
      <c r="Z5" t="s">
        <v>13214</v>
      </c>
      <c r="AA5" s="173" t="str">
        <f ca="1">IF(AA4="Discount",revised_exp_policy_premium-Quote!J297,"")</f>
        <v/>
      </c>
      <c r="AB5" s="138">
        <f ca="1">IF(AA4="Loading",revised_exp_policy_premium-V26,"")</f>
        <v>0</v>
      </c>
      <c r="AJ5" s="84"/>
      <c r="AK5" s="84"/>
      <c r="AL5" s="84"/>
    </row>
    <row r="6" spans="1:38" x14ac:dyDescent="0.3">
      <c r="A6" s="13" t="str">
        <f>IF(AND(A5&gt;0,B6&gt;0),A5+1,"")</f>
        <v/>
      </c>
      <c r="B6" s="18">
        <f>Quote!C180</f>
        <v>0</v>
      </c>
      <c r="C6" s="18" t="str">
        <f t="array" ref="C6">IFERROR(INDEX('Trade Category'!$A$2:$A$830,MATCH(Quote!D180,'Trade Category'!$F$2:$F$830,0),0),"")</f>
        <v/>
      </c>
      <c r="D6" s="18" t="str">
        <f>Quote!D180</f>
        <v>-</v>
      </c>
      <c r="E6" s="18">
        <f>Quote!E180</f>
        <v>0</v>
      </c>
      <c r="F6" s="18">
        <f>Quote!F180</f>
        <v>0</v>
      </c>
      <c r="G6" s="13" t="str">
        <f>CONCATENATE(B6,D6,E6,F6)</f>
        <v>0-00</v>
      </c>
      <c r="H6" s="13">
        <f>Quote!G180</f>
        <v>0</v>
      </c>
      <c r="I6" s="13">
        <f t="shared" si="0"/>
        <v>0</v>
      </c>
      <c r="J6" s="13">
        <f t="shared" ref="J6:J54" si="1">F6-I6</f>
        <v>0</v>
      </c>
      <c r="K6" s="13"/>
      <c r="L6" s="13"/>
      <c r="M6" s="13"/>
      <c r="N6" s="13"/>
      <c r="O6" s="13"/>
      <c r="P6" s="13"/>
      <c r="Q6" s="90">
        <f t="shared" ref="Q6:Q36" ca="1" si="2">SUM(((I6*$B6*$K6*policy_term)/1000*uw_final_cont_1)+SUM((I6*$B6*$L6*policy_term)/1000*uw_final_cont_2)+SUM((I6*$B6*$M6*policy_term)/1000*uw_final_cont_3))</f>
        <v>0</v>
      </c>
      <c r="R6" s="90">
        <f t="shared" ref="R6:R36" ca="1" si="3">SUM(((J6*$B6*$N6*policy_term)/1000*uw_final_cont_1)+SUM((J6*$B6*$O6*policy_term)/1000*uw_final_cont_2)+SUM((J6*$B6*$P6*policy_term)/1000*uw_final_cont_3))</f>
        <v>0</v>
      </c>
      <c r="S6" s="90">
        <f t="shared" ref="S6:S36" ca="1" si="4">ROUND(SUM(Q6:R6),2)</f>
        <v>0</v>
      </c>
      <c r="U6" s="133">
        <f>Renewal_Loading!Q3</f>
        <v>0</v>
      </c>
      <c r="V6" s="1">
        <v>0.2</v>
      </c>
      <c r="W6" s="1">
        <v>0.79</v>
      </c>
      <c r="X6" s="1">
        <v>0.01</v>
      </c>
      <c r="Z6" t="s">
        <v>13215</v>
      </c>
      <c r="AA6" s="174">
        <f ca="1">IFERROR(IF(test_2="",0,MAX(AA5/Quote!J297,Master!BT1)),0)</f>
        <v>0</v>
      </c>
      <c r="AB6" s="174">
        <f ca="1">IFERROR(IF(test_3="",0,MIN(AB5/V26,Master!BT2)),0)</f>
        <v>0</v>
      </c>
      <c r="AJ6" s="84"/>
      <c r="AK6" s="84"/>
      <c r="AL6" s="84"/>
    </row>
    <row r="7" spans="1:38" x14ac:dyDescent="0.3">
      <c r="A7" s="13" t="str">
        <f t="shared" ref="A7:A54" si="5">IF(AND(A6&gt;0,B7&gt;0),A6+1,"")</f>
        <v/>
      </c>
      <c r="B7" s="13">
        <f>Quote!C181</f>
        <v>0</v>
      </c>
      <c r="C7" s="18" t="str">
        <f t="array" ref="C7">IFERROR(INDEX('Trade Category'!$A$2:$A$830,MATCH(Quote!D181,'Trade Category'!$F$2:$F$830,0),0),"")</f>
        <v/>
      </c>
      <c r="D7" s="13" t="str">
        <f>Quote!D181</f>
        <v>-</v>
      </c>
      <c r="E7" s="13">
        <f>Quote!E181</f>
        <v>0</v>
      </c>
      <c r="F7" s="13">
        <f>Quote!F181</f>
        <v>0</v>
      </c>
      <c r="G7" s="13" t="str">
        <f>CONCATENATE(B7,D7,E7,F7)</f>
        <v>0-00</v>
      </c>
      <c r="H7" s="13">
        <f>Quote!G181</f>
        <v>0</v>
      </c>
      <c r="I7" s="13">
        <f t="shared" si="0"/>
        <v>0</v>
      </c>
      <c r="J7" s="13">
        <f t="shared" si="1"/>
        <v>0</v>
      </c>
      <c r="K7" s="13"/>
      <c r="L7" s="13"/>
      <c r="M7" s="13"/>
      <c r="N7" s="13"/>
      <c r="O7" s="13"/>
      <c r="P7" s="13"/>
      <c r="Q7" s="90">
        <f t="shared" ca="1" si="2"/>
        <v>0</v>
      </c>
      <c r="R7" s="90">
        <f t="shared" ca="1" si="3"/>
        <v>0</v>
      </c>
      <c r="S7" s="90">
        <f t="shared" ca="1" si="4"/>
        <v>0</v>
      </c>
      <c r="U7" s="13">
        <f>Renewal_Loading!Y3</f>
        <v>0</v>
      </c>
      <c r="V7" s="1">
        <v>0.4</v>
      </c>
      <c r="W7" s="1">
        <v>0.59</v>
      </c>
      <c r="X7" s="1">
        <v>0.01</v>
      </c>
      <c r="AA7"/>
      <c r="AB7"/>
      <c r="AJ7" s="84"/>
      <c r="AK7" s="84"/>
      <c r="AL7" s="84"/>
    </row>
    <row r="8" spans="1:38" x14ac:dyDescent="0.3">
      <c r="A8" s="13" t="str">
        <f t="shared" si="5"/>
        <v/>
      </c>
      <c r="B8" s="13">
        <f>Quote!C182</f>
        <v>0</v>
      </c>
      <c r="C8" s="18" t="str">
        <f t="array" ref="C8">IFERROR(INDEX('Trade Category'!$A$2:$A$830,MATCH(Quote!D182,'Trade Category'!$F$2:$F$830,0),0),"")</f>
        <v/>
      </c>
      <c r="D8" s="13" t="str">
        <f>Quote!D182</f>
        <v>-</v>
      </c>
      <c r="E8" s="13">
        <f>Quote!E182</f>
        <v>0</v>
      </c>
      <c r="F8" s="13">
        <f>Quote!F182</f>
        <v>0</v>
      </c>
      <c r="G8" s="13" t="str">
        <f t="shared" ref="G8:G54" si="6">CONCATENATE(B8,D8,E8,F8)</f>
        <v>0-00</v>
      </c>
      <c r="H8" s="13">
        <f>Quote!G182</f>
        <v>0</v>
      </c>
      <c r="I8" s="13">
        <f t="shared" si="0"/>
        <v>0</v>
      </c>
      <c r="J8" s="13">
        <f t="shared" si="1"/>
        <v>0</v>
      </c>
      <c r="K8" s="13"/>
      <c r="L8" s="13"/>
      <c r="M8" s="13"/>
      <c r="N8" s="13"/>
      <c r="O8" s="13"/>
      <c r="P8" s="13"/>
      <c r="Q8" s="90">
        <f t="shared" ca="1" si="2"/>
        <v>0</v>
      </c>
      <c r="R8" s="90">
        <f t="shared" ca="1" si="3"/>
        <v>0</v>
      </c>
      <c r="S8" s="90">
        <f t="shared" ca="1" si="4"/>
        <v>0</v>
      </c>
      <c r="U8" s="13">
        <f>Renewal_Loading!I74</f>
        <v>0</v>
      </c>
      <c r="V8" s="1">
        <v>0.6</v>
      </c>
      <c r="W8" s="1">
        <v>0.39</v>
      </c>
      <c r="X8" s="1">
        <v>0.01</v>
      </c>
      <c r="Z8" s="124" t="s">
        <v>13245</v>
      </c>
      <c r="AA8" s="175" t="str">
        <f ca="1">IF(AND(old_new_uin="new",Quote!J297=revised_exp_policy_premium),"",IF(AND(old_new_uin="new",Quote!J297&gt;revised_exp_policy_premium),"Discount","Loading"))</f>
        <v>Loading</v>
      </c>
      <c r="AB8" s="132"/>
      <c r="AJ8" s="84"/>
      <c r="AK8" s="84"/>
      <c r="AL8" s="84"/>
    </row>
    <row r="9" spans="1:38" x14ac:dyDescent="0.3">
      <c r="A9" s="13" t="str">
        <f t="shared" si="5"/>
        <v/>
      </c>
      <c r="B9" s="13">
        <f>Quote!C183</f>
        <v>0</v>
      </c>
      <c r="C9" s="18" t="str">
        <f t="array" ref="C9">IFERROR(INDEX('Trade Category'!$A$2:$A$830,MATCH(Quote!D183,'Trade Category'!$F$2:$F$830,0),0),"")</f>
        <v/>
      </c>
      <c r="D9" s="13" t="str">
        <f>Quote!D183</f>
        <v>-</v>
      </c>
      <c r="E9" s="13">
        <f>Quote!E183</f>
        <v>0</v>
      </c>
      <c r="F9" s="13">
        <f>Quote!F183</f>
        <v>0</v>
      </c>
      <c r="G9" s="13" t="str">
        <f t="shared" si="6"/>
        <v>0-00</v>
      </c>
      <c r="H9" s="13">
        <f>Quote!G183</f>
        <v>0</v>
      </c>
      <c r="I9" s="13">
        <f t="shared" si="0"/>
        <v>0</v>
      </c>
      <c r="J9" s="13">
        <f t="shared" si="1"/>
        <v>0</v>
      </c>
      <c r="K9" s="13"/>
      <c r="L9" s="13"/>
      <c r="M9" s="13"/>
      <c r="N9" s="13"/>
      <c r="O9" s="13"/>
      <c r="P9" s="13"/>
      <c r="Q9" s="90">
        <f t="shared" ca="1" si="2"/>
        <v>0</v>
      </c>
      <c r="R9" s="90">
        <f t="shared" ca="1" si="3"/>
        <v>0</v>
      </c>
      <c r="S9" s="90">
        <f t="shared" ca="1" si="4"/>
        <v>0</v>
      </c>
      <c r="U9" s="13">
        <f>Renewal_Loading!Q74</f>
        <v>0</v>
      </c>
      <c r="V9" s="1">
        <v>0.8</v>
      </c>
      <c r="W9" s="1">
        <v>0.19</v>
      </c>
      <c r="X9" s="1">
        <v>0.01</v>
      </c>
      <c r="AJ9" s="84"/>
      <c r="AK9" s="84"/>
      <c r="AL9" s="84"/>
    </row>
    <row r="10" spans="1:38" x14ac:dyDescent="0.3">
      <c r="A10" s="13" t="str">
        <f t="shared" si="5"/>
        <v/>
      </c>
      <c r="B10" s="13">
        <f>Quote!C184</f>
        <v>0</v>
      </c>
      <c r="C10" s="18" t="str">
        <f t="array" ref="C10">IFERROR(INDEX('Trade Category'!$A$2:$A$830,MATCH(Quote!D184,'Trade Category'!$F$2:$F$830,0),0),"")</f>
        <v/>
      </c>
      <c r="D10" s="13" t="str">
        <f>Quote!D184</f>
        <v>-</v>
      </c>
      <c r="E10" s="13">
        <f>Quote!E184</f>
        <v>0</v>
      </c>
      <c r="F10" s="13">
        <f>Quote!F184</f>
        <v>0</v>
      </c>
      <c r="G10" s="13" t="str">
        <f t="shared" si="6"/>
        <v>0-00</v>
      </c>
      <c r="H10" s="13">
        <f>Quote!G184</f>
        <v>0</v>
      </c>
      <c r="I10" s="13">
        <f t="shared" si="0"/>
        <v>0</v>
      </c>
      <c r="J10" s="13">
        <f t="shared" si="1"/>
        <v>0</v>
      </c>
      <c r="K10" s="13"/>
      <c r="L10" s="13"/>
      <c r="M10" s="13"/>
      <c r="N10" s="13"/>
      <c r="O10" s="13"/>
      <c r="P10" s="13"/>
      <c r="Q10" s="46">
        <f t="shared" ca="1" si="2"/>
        <v>0</v>
      </c>
      <c r="R10" s="46">
        <f t="shared" ca="1" si="3"/>
        <v>0</v>
      </c>
      <c r="S10" s="46">
        <f t="shared" ca="1" si="4"/>
        <v>0</v>
      </c>
      <c r="U10" s="13">
        <f>Renewal_Loading!Y74</f>
        <v>0</v>
      </c>
      <c r="V10" s="1">
        <v>0.98</v>
      </c>
      <c r="W10" s="1">
        <v>0.01</v>
      </c>
      <c r="X10" s="1">
        <v>0.01</v>
      </c>
      <c r="AJ10" s="61"/>
      <c r="AK10" s="61"/>
      <c r="AL10" s="61"/>
    </row>
    <row r="11" spans="1:38" x14ac:dyDescent="0.3">
      <c r="A11" s="13" t="str">
        <f t="shared" si="5"/>
        <v/>
      </c>
      <c r="B11" s="13">
        <f>Quote!C185</f>
        <v>0</v>
      </c>
      <c r="C11" s="18" t="str">
        <f t="array" ref="C11">IFERROR(INDEX('Trade Category'!$A$2:$A$830,MATCH(Quote!D185,'Trade Category'!$F$2:$F$830,0),0),"")</f>
        <v/>
      </c>
      <c r="D11" s="13" t="str">
        <f>Quote!D185</f>
        <v>-</v>
      </c>
      <c r="E11" s="13">
        <f>Quote!E185</f>
        <v>0</v>
      </c>
      <c r="F11" s="13">
        <f>Quote!F185</f>
        <v>0</v>
      </c>
      <c r="G11" s="13" t="str">
        <f t="shared" si="6"/>
        <v>0-00</v>
      </c>
      <c r="H11" s="13">
        <f>Quote!G185</f>
        <v>0</v>
      </c>
      <c r="I11" s="13">
        <f t="shared" si="0"/>
        <v>0</v>
      </c>
      <c r="J11" s="13">
        <f t="shared" si="1"/>
        <v>0</v>
      </c>
      <c r="K11" s="13"/>
      <c r="L11" s="13"/>
      <c r="M11" s="13"/>
      <c r="N11" s="13"/>
      <c r="O11" s="13"/>
      <c r="P11" s="13"/>
      <c r="Q11" s="46">
        <f t="shared" ca="1" si="2"/>
        <v>0</v>
      </c>
      <c r="R11" s="46">
        <f t="shared" ca="1" si="3"/>
        <v>0</v>
      </c>
      <c r="S11" s="46">
        <f t="shared" ca="1" si="4"/>
        <v>0</v>
      </c>
      <c r="AA11" s="116"/>
      <c r="AJ11" s="61"/>
      <c r="AK11" s="61"/>
      <c r="AL11" s="61"/>
    </row>
    <row r="12" spans="1:38" x14ac:dyDescent="0.3">
      <c r="A12" s="13" t="str">
        <f t="shared" si="5"/>
        <v/>
      </c>
      <c r="B12" s="13">
        <f>Quote!C186</f>
        <v>0</v>
      </c>
      <c r="C12" s="18" t="str">
        <f t="array" ref="C12">IFERROR(INDEX('Trade Category'!$A$2:$A$830,MATCH(Quote!D186,'Trade Category'!$F$2:$F$830,0),0),"")</f>
        <v/>
      </c>
      <c r="D12" s="13" t="str">
        <f>Quote!D186</f>
        <v>-</v>
      </c>
      <c r="E12" s="13">
        <f>Quote!E186</f>
        <v>0</v>
      </c>
      <c r="F12" s="13">
        <f>Quote!F186</f>
        <v>0</v>
      </c>
      <c r="G12" s="13" t="str">
        <f t="shared" si="6"/>
        <v>0-00</v>
      </c>
      <c r="H12" s="13">
        <f>Quote!G186</f>
        <v>0</v>
      </c>
      <c r="I12" s="13">
        <f t="shared" si="0"/>
        <v>0</v>
      </c>
      <c r="J12" s="13">
        <f t="shared" si="1"/>
        <v>0</v>
      </c>
      <c r="K12" s="13"/>
      <c r="L12" s="13"/>
      <c r="M12" s="13"/>
      <c r="N12" s="13"/>
      <c r="O12" s="13"/>
      <c r="P12" s="13"/>
      <c r="Q12" s="46">
        <f t="shared" ca="1" si="2"/>
        <v>0</v>
      </c>
      <c r="R12" s="46">
        <f t="shared" ca="1" si="3"/>
        <v>0</v>
      </c>
      <c r="S12" s="46">
        <f t="shared" ca="1" si="4"/>
        <v>0</v>
      </c>
      <c r="AJ12" s="61"/>
      <c r="AK12" s="61"/>
      <c r="AL12" s="61"/>
    </row>
    <row r="13" spans="1:38" x14ac:dyDescent="0.3">
      <c r="A13" s="13" t="str">
        <f t="shared" si="5"/>
        <v/>
      </c>
      <c r="B13" s="13">
        <f>Quote!C187</f>
        <v>0</v>
      </c>
      <c r="C13" s="18" t="str">
        <f t="array" ref="C13">IFERROR(INDEX('Trade Category'!$A$2:$A$830,MATCH(Quote!D187,'Trade Category'!$F$2:$F$830,0),0),"")</f>
        <v/>
      </c>
      <c r="D13" s="13" t="str">
        <f>Quote!D187</f>
        <v>-</v>
      </c>
      <c r="E13" s="13">
        <f>Quote!E187</f>
        <v>0</v>
      </c>
      <c r="F13" s="13">
        <f>Quote!F187</f>
        <v>0</v>
      </c>
      <c r="G13" s="13" t="str">
        <f t="shared" si="6"/>
        <v>0-00</v>
      </c>
      <c r="H13" s="13">
        <f>Quote!G187</f>
        <v>0</v>
      </c>
      <c r="I13" s="13">
        <f t="shared" si="0"/>
        <v>0</v>
      </c>
      <c r="J13" s="13">
        <f t="shared" si="1"/>
        <v>0</v>
      </c>
      <c r="K13" s="13"/>
      <c r="L13" s="13"/>
      <c r="M13" s="13"/>
      <c r="N13" s="13"/>
      <c r="O13" s="13"/>
      <c r="P13" s="13"/>
      <c r="Q13" s="46">
        <f t="shared" ca="1" si="2"/>
        <v>0</v>
      </c>
      <c r="R13" s="46">
        <f t="shared" ca="1" si="3"/>
        <v>0</v>
      </c>
      <c r="S13" s="46">
        <f t="shared" ca="1" si="4"/>
        <v>0</v>
      </c>
      <c r="Z13" s="140"/>
      <c r="AJ13" s="61"/>
      <c r="AK13" s="61"/>
      <c r="AL13" s="61"/>
    </row>
    <row r="14" spans="1:38" x14ac:dyDescent="0.3">
      <c r="A14" s="13" t="str">
        <f t="shared" si="5"/>
        <v/>
      </c>
      <c r="B14" s="13">
        <f>Quote!C188</f>
        <v>0</v>
      </c>
      <c r="C14" s="18" t="str">
        <f t="array" ref="C14">IFERROR(INDEX('Trade Category'!$A$2:$A$830,MATCH(Quote!D188,'Trade Category'!$F$2:$F$830,0),0),"")</f>
        <v/>
      </c>
      <c r="D14" s="13" t="str">
        <f>Quote!D188</f>
        <v>-</v>
      </c>
      <c r="E14" s="13">
        <f>Quote!E188</f>
        <v>0</v>
      </c>
      <c r="F14" s="13">
        <f>Quote!F188</f>
        <v>0</v>
      </c>
      <c r="G14" s="13" t="str">
        <f t="shared" si="6"/>
        <v>0-00</v>
      </c>
      <c r="H14" s="13">
        <f>Quote!G188</f>
        <v>0</v>
      </c>
      <c r="I14" s="13">
        <f t="shared" si="0"/>
        <v>0</v>
      </c>
      <c r="J14" s="13">
        <f t="shared" si="1"/>
        <v>0</v>
      </c>
      <c r="K14" s="13"/>
      <c r="L14" s="13"/>
      <c r="M14" s="13"/>
      <c r="N14" s="13"/>
      <c r="O14" s="13"/>
      <c r="P14" s="13"/>
      <c r="Q14" s="46">
        <f t="shared" ca="1" si="2"/>
        <v>0</v>
      </c>
      <c r="R14" s="46">
        <f t="shared" ca="1" si="3"/>
        <v>0</v>
      </c>
      <c r="S14" s="46">
        <f t="shared" ca="1" si="4"/>
        <v>0</v>
      </c>
      <c r="AJ14" s="61"/>
      <c r="AK14" s="61"/>
      <c r="AL14" s="61"/>
    </row>
    <row r="15" spans="1:38" x14ac:dyDescent="0.3">
      <c r="A15" s="13" t="str">
        <f t="shared" si="5"/>
        <v/>
      </c>
      <c r="B15" s="13">
        <f>Quote!C189</f>
        <v>0</v>
      </c>
      <c r="C15" s="18" t="str">
        <f t="array" ref="C15">IFERROR(INDEX('Trade Category'!$A$2:$A$830,MATCH(Quote!D189,'Trade Category'!$F$2:$F$830,0),0),"")</f>
        <v/>
      </c>
      <c r="D15" s="13" t="str">
        <f>Quote!D189</f>
        <v>-</v>
      </c>
      <c r="E15" s="13">
        <f>Quote!E189</f>
        <v>0</v>
      </c>
      <c r="F15" s="13">
        <f>Quote!F189</f>
        <v>0</v>
      </c>
      <c r="G15" s="13" t="str">
        <f t="shared" si="6"/>
        <v>0-00</v>
      </c>
      <c r="H15" s="13">
        <f>Quote!G189</f>
        <v>0</v>
      </c>
      <c r="I15" s="13">
        <f t="shared" si="0"/>
        <v>0</v>
      </c>
      <c r="J15" s="13">
        <f t="shared" si="1"/>
        <v>0</v>
      </c>
      <c r="K15" s="13"/>
      <c r="L15" s="13"/>
      <c r="M15" s="13"/>
      <c r="N15" s="13"/>
      <c r="O15" s="13"/>
      <c r="P15" s="13"/>
      <c r="Q15" s="46">
        <f t="shared" ca="1" si="2"/>
        <v>0</v>
      </c>
      <c r="R15" s="46">
        <f t="shared" ca="1" si="3"/>
        <v>0</v>
      </c>
      <c r="S15" s="46">
        <f t="shared" ca="1" si="4"/>
        <v>0</v>
      </c>
      <c r="W15" s="51"/>
      <c r="AJ15" s="61"/>
      <c r="AK15" s="61"/>
      <c r="AL15" s="61"/>
    </row>
    <row r="16" spans="1:38" x14ac:dyDescent="0.3">
      <c r="A16" s="13" t="str">
        <f t="shared" si="5"/>
        <v/>
      </c>
      <c r="B16" s="13">
        <f>Quote!C190</f>
        <v>0</v>
      </c>
      <c r="C16" s="18" t="str">
        <f t="array" ref="C16">IFERROR(INDEX('Trade Category'!$A$2:$A$830,MATCH(Quote!D190,'Trade Category'!$F$2:$F$830,0),0),"")</f>
        <v/>
      </c>
      <c r="D16" s="13" t="str">
        <f>Quote!D190</f>
        <v>-</v>
      </c>
      <c r="E16" s="13">
        <f>Quote!E190</f>
        <v>0</v>
      </c>
      <c r="F16" s="13">
        <f>Quote!F190</f>
        <v>0</v>
      </c>
      <c r="G16" s="13" t="str">
        <f t="shared" si="6"/>
        <v>0-00</v>
      </c>
      <c r="H16" s="13">
        <f>Quote!G190</f>
        <v>0</v>
      </c>
      <c r="I16" s="13">
        <f t="shared" si="0"/>
        <v>0</v>
      </c>
      <c r="J16" s="13">
        <f t="shared" si="1"/>
        <v>0</v>
      </c>
      <c r="K16" s="13"/>
      <c r="L16" s="13"/>
      <c r="M16" s="13"/>
      <c r="N16" s="13"/>
      <c r="O16" s="13"/>
      <c r="P16" s="13"/>
      <c r="Q16" s="46">
        <f t="shared" ca="1" si="2"/>
        <v>0</v>
      </c>
      <c r="R16" s="46">
        <f t="shared" ca="1" si="3"/>
        <v>0</v>
      </c>
      <c r="S16" s="46">
        <f t="shared" ca="1" si="4"/>
        <v>0</v>
      </c>
      <c r="AJ16" s="61"/>
      <c r="AK16" s="61"/>
      <c r="AL16" s="61"/>
    </row>
    <row r="17" spans="1:38" x14ac:dyDescent="0.3">
      <c r="A17" s="13" t="str">
        <f t="shared" si="5"/>
        <v/>
      </c>
      <c r="B17" s="13">
        <f>Quote!C191</f>
        <v>0</v>
      </c>
      <c r="C17" s="18" t="str">
        <f t="array" ref="C17">IFERROR(INDEX('Trade Category'!$A$2:$A$830,MATCH(Quote!D191,'Trade Category'!$F$2:$F$830,0),0),"")</f>
        <v/>
      </c>
      <c r="D17" s="13" t="str">
        <f>Quote!D191</f>
        <v>-</v>
      </c>
      <c r="E17" s="13">
        <f>Quote!E191</f>
        <v>0</v>
      </c>
      <c r="F17" s="13">
        <f>Quote!F191</f>
        <v>0</v>
      </c>
      <c r="G17" s="13" t="str">
        <f t="shared" si="6"/>
        <v>0-00</v>
      </c>
      <c r="H17" s="13">
        <f>Quote!G191</f>
        <v>0</v>
      </c>
      <c r="I17" s="13">
        <f t="shared" si="0"/>
        <v>0</v>
      </c>
      <c r="J17" s="13">
        <f t="shared" si="1"/>
        <v>0</v>
      </c>
      <c r="K17" s="13"/>
      <c r="L17" s="13"/>
      <c r="M17" s="13"/>
      <c r="N17" s="13"/>
      <c r="O17" s="13"/>
      <c r="P17" s="13"/>
      <c r="Q17" s="46">
        <f t="shared" ca="1" si="2"/>
        <v>0</v>
      </c>
      <c r="R17" s="46">
        <f t="shared" ca="1" si="3"/>
        <v>0</v>
      </c>
      <c r="S17" s="46">
        <f t="shared" ca="1" si="4"/>
        <v>0</v>
      </c>
      <c r="U17" s="123" t="s">
        <v>76</v>
      </c>
      <c r="V17" s="118" t="s">
        <v>13222</v>
      </c>
      <c r="W17" s="118" t="s">
        <v>13223</v>
      </c>
      <c r="X17" s="118" t="s">
        <v>13224</v>
      </c>
      <c r="AJ17" s="61"/>
      <c r="AK17" s="61"/>
      <c r="AL17" s="61"/>
    </row>
    <row r="18" spans="1:38" x14ac:dyDescent="0.3">
      <c r="A18" s="13" t="str">
        <f t="shared" si="5"/>
        <v/>
      </c>
      <c r="B18" s="13">
        <f>Quote!C192</f>
        <v>0</v>
      </c>
      <c r="C18" s="18" t="str">
        <f t="array" ref="C18">IFERROR(INDEX('Trade Category'!$A$2:$A$830,MATCH(Quote!D192,'Trade Category'!$F$2:$F$830,0),0),"")</f>
        <v/>
      </c>
      <c r="D18" s="13" t="str">
        <f>Quote!D192</f>
        <v>-</v>
      </c>
      <c r="E18" s="13">
        <f>Quote!E192</f>
        <v>0</v>
      </c>
      <c r="F18" s="13">
        <f>Quote!F192</f>
        <v>0</v>
      </c>
      <c r="G18" s="13" t="str">
        <f t="shared" si="6"/>
        <v>0-00</v>
      </c>
      <c r="H18" s="13">
        <f>Quote!G192</f>
        <v>0</v>
      </c>
      <c r="I18" s="13">
        <f t="shared" si="0"/>
        <v>0</v>
      </c>
      <c r="J18" s="13">
        <f t="shared" si="1"/>
        <v>0</v>
      </c>
      <c r="K18" s="13"/>
      <c r="L18" s="13"/>
      <c r="M18" s="13"/>
      <c r="N18" s="13"/>
      <c r="O18" s="13"/>
      <c r="P18" s="13"/>
      <c r="Q18" s="46">
        <f t="shared" ca="1" si="2"/>
        <v>0</v>
      </c>
      <c r="R18" s="46">
        <f t="shared" ca="1" si="3"/>
        <v>0</v>
      </c>
      <c r="S18" s="46">
        <f t="shared" ca="1" si="4"/>
        <v>0</v>
      </c>
      <c r="U18" s="13">
        <f>IFERROR(SMALL($U$5:$U$10,ROW(U18)-17),0)</f>
        <v>0</v>
      </c>
      <c r="V18" s="50">
        <f t="shared" ref="V18:X23" si="7">VLOOKUP($U18,$U$5:$X$10,MATCH(V$17,$U$4:$X$4,0),0)</f>
        <v>0</v>
      </c>
      <c r="W18" s="50">
        <f t="shared" si="7"/>
        <v>0</v>
      </c>
      <c r="X18" s="50">
        <f t="shared" si="7"/>
        <v>0</v>
      </c>
      <c r="AJ18" s="61"/>
      <c r="AK18" s="61"/>
      <c r="AL18" s="61"/>
    </row>
    <row r="19" spans="1:38" x14ac:dyDescent="0.3">
      <c r="A19" s="13" t="str">
        <f t="shared" si="5"/>
        <v/>
      </c>
      <c r="B19" s="13">
        <f>Quote!C193</f>
        <v>0</v>
      </c>
      <c r="C19" s="18" t="str">
        <f t="array" ref="C19">IFERROR(INDEX('Trade Category'!$A$2:$A$830,MATCH(Quote!D193,'Trade Category'!$F$2:$F$830,0),0),"")</f>
        <v/>
      </c>
      <c r="D19" s="13" t="str">
        <f>Quote!D193</f>
        <v>-</v>
      </c>
      <c r="E19" s="13">
        <f>Quote!E193</f>
        <v>0</v>
      </c>
      <c r="F19" s="13">
        <f>Quote!F193</f>
        <v>0</v>
      </c>
      <c r="G19" s="13" t="str">
        <f t="shared" si="6"/>
        <v>0-00</v>
      </c>
      <c r="H19" s="13">
        <f>Quote!G193</f>
        <v>0</v>
      </c>
      <c r="I19" s="13">
        <f t="shared" si="0"/>
        <v>0</v>
      </c>
      <c r="J19" s="13">
        <f t="shared" si="1"/>
        <v>0</v>
      </c>
      <c r="K19" s="13"/>
      <c r="L19" s="13"/>
      <c r="M19" s="13"/>
      <c r="N19" s="13"/>
      <c r="O19" s="13"/>
      <c r="P19" s="13"/>
      <c r="Q19" s="46">
        <f t="shared" ca="1" si="2"/>
        <v>0</v>
      </c>
      <c r="R19" s="46">
        <f t="shared" ca="1" si="3"/>
        <v>0</v>
      </c>
      <c r="S19" s="46">
        <f t="shared" ca="1" si="4"/>
        <v>0</v>
      </c>
      <c r="U19" s="13">
        <f t="shared" ref="U19:U23" si="8">IFERROR(SMALL($U$5:$U$10,ROW(U19)-17),0)</f>
        <v>0</v>
      </c>
      <c r="V19" s="50">
        <f t="shared" si="7"/>
        <v>0</v>
      </c>
      <c r="W19" s="50">
        <f t="shared" si="7"/>
        <v>0</v>
      </c>
      <c r="X19" s="50">
        <f t="shared" si="7"/>
        <v>0</v>
      </c>
      <c r="AJ19" s="61"/>
      <c r="AK19" s="61"/>
      <c r="AL19" s="61"/>
    </row>
    <row r="20" spans="1:38" x14ac:dyDescent="0.3">
      <c r="A20" s="13" t="str">
        <f t="shared" si="5"/>
        <v/>
      </c>
      <c r="B20" s="13">
        <f>Quote!C194</f>
        <v>0</v>
      </c>
      <c r="C20" s="18" t="str">
        <f t="array" ref="C20">IFERROR(INDEX('Trade Category'!$A$2:$A$830,MATCH(Quote!D194,'Trade Category'!$F$2:$F$830,0),0),"")</f>
        <v/>
      </c>
      <c r="D20" s="13" t="str">
        <f>Quote!D194</f>
        <v>-</v>
      </c>
      <c r="E20" s="13">
        <f>Quote!E194</f>
        <v>0</v>
      </c>
      <c r="F20" s="13">
        <f>Quote!F194</f>
        <v>0</v>
      </c>
      <c r="G20" s="13" t="str">
        <f t="shared" si="6"/>
        <v>0-00</v>
      </c>
      <c r="H20" s="13">
        <f>Quote!G194</f>
        <v>0</v>
      </c>
      <c r="I20" s="13">
        <f t="shared" si="0"/>
        <v>0</v>
      </c>
      <c r="J20" s="13">
        <f t="shared" si="1"/>
        <v>0</v>
      </c>
      <c r="K20" s="13"/>
      <c r="L20" s="13"/>
      <c r="M20" s="13"/>
      <c r="N20" s="13"/>
      <c r="O20" s="13"/>
      <c r="P20" s="13"/>
      <c r="Q20" s="46">
        <f t="shared" ca="1" si="2"/>
        <v>0</v>
      </c>
      <c r="R20" s="46">
        <f t="shared" ca="1" si="3"/>
        <v>0</v>
      </c>
      <c r="S20" s="46">
        <f t="shared" ca="1" si="4"/>
        <v>0</v>
      </c>
      <c r="U20" s="13">
        <f t="shared" si="8"/>
        <v>0</v>
      </c>
      <c r="V20" s="50">
        <f t="shared" si="7"/>
        <v>0</v>
      </c>
      <c r="W20" s="50">
        <f t="shared" si="7"/>
        <v>0</v>
      </c>
      <c r="X20" s="50">
        <f t="shared" si="7"/>
        <v>0</v>
      </c>
      <c r="AJ20" s="61"/>
      <c r="AK20" s="61"/>
      <c r="AL20" s="61"/>
    </row>
    <row r="21" spans="1:38" x14ac:dyDescent="0.3">
      <c r="A21" s="13" t="str">
        <f t="shared" si="5"/>
        <v/>
      </c>
      <c r="B21" s="13">
        <f>Quote!C195</f>
        <v>0</v>
      </c>
      <c r="C21" s="18" t="str">
        <f t="array" ref="C21">IFERROR(INDEX('Trade Category'!$A$2:$A$830,MATCH(Quote!D195,'Trade Category'!$F$2:$F$830,0),0),"")</f>
        <v/>
      </c>
      <c r="D21" s="13" t="str">
        <f>Quote!D195</f>
        <v>-</v>
      </c>
      <c r="E21" s="13">
        <f>Quote!E195</f>
        <v>0</v>
      </c>
      <c r="F21" s="13">
        <f>Quote!F195</f>
        <v>0</v>
      </c>
      <c r="G21" s="13" t="str">
        <f t="shared" si="6"/>
        <v>0-00</v>
      </c>
      <c r="H21" s="13">
        <f>Quote!G195</f>
        <v>0</v>
      </c>
      <c r="I21" s="13">
        <f t="shared" si="0"/>
        <v>0</v>
      </c>
      <c r="J21" s="13">
        <f t="shared" si="1"/>
        <v>0</v>
      </c>
      <c r="K21" s="13"/>
      <c r="L21" s="13"/>
      <c r="M21" s="13"/>
      <c r="N21" s="13"/>
      <c r="O21" s="13"/>
      <c r="P21" s="13"/>
      <c r="Q21" s="46">
        <f t="shared" ca="1" si="2"/>
        <v>0</v>
      </c>
      <c r="R21" s="46">
        <f t="shared" ca="1" si="3"/>
        <v>0</v>
      </c>
      <c r="S21" s="46">
        <f t="shared" ca="1" si="4"/>
        <v>0</v>
      </c>
      <c r="U21" s="13">
        <f t="shared" si="8"/>
        <v>0</v>
      </c>
      <c r="V21" s="50">
        <f t="shared" si="7"/>
        <v>0</v>
      </c>
      <c r="W21" s="50">
        <f t="shared" si="7"/>
        <v>0</v>
      </c>
      <c r="X21" s="50">
        <f t="shared" si="7"/>
        <v>0</v>
      </c>
      <c r="Y21" s="61"/>
      <c r="AJ21" s="61"/>
      <c r="AK21" s="61"/>
      <c r="AL21" s="61"/>
    </row>
    <row r="22" spans="1:38" x14ac:dyDescent="0.3">
      <c r="A22" s="13" t="str">
        <f t="shared" si="5"/>
        <v/>
      </c>
      <c r="B22" s="13">
        <f>Quote!C196</f>
        <v>0</v>
      </c>
      <c r="C22" s="18" t="str">
        <f t="array" ref="C22">IFERROR(INDEX('Trade Category'!$A$2:$A$830,MATCH(Quote!D196,'Trade Category'!$F$2:$F$830,0),0),"")</f>
        <v/>
      </c>
      <c r="D22" s="13" t="str">
        <f>Quote!D196</f>
        <v>-</v>
      </c>
      <c r="E22" s="13">
        <f>Quote!E196</f>
        <v>0</v>
      </c>
      <c r="F22" s="13">
        <f>Quote!F196</f>
        <v>0</v>
      </c>
      <c r="G22" s="13" t="str">
        <f t="shared" si="6"/>
        <v>0-00</v>
      </c>
      <c r="H22" s="13">
        <f>Quote!G196</f>
        <v>0</v>
      </c>
      <c r="I22" s="13">
        <f t="shared" si="0"/>
        <v>0</v>
      </c>
      <c r="J22" s="13">
        <f t="shared" si="1"/>
        <v>0</v>
      </c>
      <c r="K22" s="13"/>
      <c r="L22" s="13"/>
      <c r="M22" s="13"/>
      <c r="N22" s="13"/>
      <c r="O22" s="13"/>
      <c r="P22" s="13"/>
      <c r="Q22" s="46">
        <f t="shared" ca="1" si="2"/>
        <v>0</v>
      </c>
      <c r="R22" s="46">
        <f t="shared" ca="1" si="3"/>
        <v>0</v>
      </c>
      <c r="S22" s="46">
        <f t="shared" ca="1" si="4"/>
        <v>0</v>
      </c>
      <c r="U22" s="13">
        <f t="shared" si="8"/>
        <v>0</v>
      </c>
      <c r="V22" s="50">
        <f t="shared" si="7"/>
        <v>0</v>
      </c>
      <c r="W22" s="50">
        <f t="shared" si="7"/>
        <v>0</v>
      </c>
      <c r="X22" s="50">
        <f t="shared" si="7"/>
        <v>0</v>
      </c>
      <c r="AJ22" s="61"/>
      <c r="AK22" s="61"/>
      <c r="AL22" s="61"/>
    </row>
    <row r="23" spans="1:38" x14ac:dyDescent="0.3">
      <c r="A23" s="13" t="str">
        <f t="shared" si="5"/>
        <v/>
      </c>
      <c r="B23" s="13">
        <f>Quote!C197</f>
        <v>0</v>
      </c>
      <c r="C23" s="18" t="str">
        <f t="array" ref="C23">IFERROR(INDEX('Trade Category'!$A$2:$A$830,MATCH(Quote!D197,'Trade Category'!$F$2:$F$830,0),0),"")</f>
        <v/>
      </c>
      <c r="D23" s="13" t="str">
        <f>Quote!D197</f>
        <v>-</v>
      </c>
      <c r="E23" s="13">
        <f>Quote!E197</f>
        <v>0</v>
      </c>
      <c r="F23" s="13">
        <f>Quote!F197</f>
        <v>0</v>
      </c>
      <c r="G23" s="13" t="str">
        <f t="shared" si="6"/>
        <v>0-00</v>
      </c>
      <c r="H23" s="13">
        <f>Quote!G197</f>
        <v>0</v>
      </c>
      <c r="I23" s="13">
        <f t="shared" si="0"/>
        <v>0</v>
      </c>
      <c r="J23" s="13">
        <f t="shared" si="1"/>
        <v>0</v>
      </c>
      <c r="K23" s="13"/>
      <c r="L23" s="13"/>
      <c r="M23" s="13"/>
      <c r="N23" s="13"/>
      <c r="O23" s="13"/>
      <c r="P23" s="13"/>
      <c r="Q23" s="46">
        <f t="shared" ca="1" si="2"/>
        <v>0</v>
      </c>
      <c r="R23" s="46">
        <f t="shared" ca="1" si="3"/>
        <v>0</v>
      </c>
      <c r="S23" s="46">
        <f t="shared" ca="1" si="4"/>
        <v>0</v>
      </c>
      <c r="U23" s="13">
        <f t="shared" si="8"/>
        <v>0</v>
      </c>
      <c r="V23" s="50">
        <f t="shared" si="7"/>
        <v>0</v>
      </c>
      <c r="W23" s="50">
        <f t="shared" si="7"/>
        <v>0</v>
      </c>
      <c r="X23" s="50">
        <f t="shared" si="7"/>
        <v>0</v>
      </c>
      <c r="AJ23" s="61"/>
      <c r="AK23" s="61"/>
      <c r="AL23" s="61"/>
    </row>
    <row r="24" spans="1:38" x14ac:dyDescent="0.3">
      <c r="A24" s="13" t="str">
        <f t="shared" si="5"/>
        <v/>
      </c>
      <c r="B24" s="13">
        <f>Quote!C198</f>
        <v>0</v>
      </c>
      <c r="C24" s="18" t="str">
        <f t="array" ref="C24">IFERROR(INDEX('Trade Category'!$A$2:$A$830,MATCH(Quote!D198,'Trade Category'!$F$2:$F$830,0),0),"")</f>
        <v/>
      </c>
      <c r="D24" s="13" t="str">
        <f>Quote!D198</f>
        <v>-</v>
      </c>
      <c r="E24" s="13">
        <f>Quote!E198</f>
        <v>0</v>
      </c>
      <c r="F24" s="13">
        <f>Quote!F198</f>
        <v>0</v>
      </c>
      <c r="G24" s="13" t="str">
        <f t="shared" si="6"/>
        <v>0-00</v>
      </c>
      <c r="H24" s="13">
        <f>Quote!G198</f>
        <v>0</v>
      </c>
      <c r="I24" s="13">
        <f t="shared" si="0"/>
        <v>0</v>
      </c>
      <c r="J24" s="13">
        <f t="shared" si="1"/>
        <v>0</v>
      </c>
      <c r="K24" s="13"/>
      <c r="L24" s="13"/>
      <c r="M24" s="13"/>
      <c r="N24" s="13"/>
      <c r="O24" s="13"/>
      <c r="P24" s="13"/>
      <c r="Q24" s="46">
        <f t="shared" ca="1" si="2"/>
        <v>0</v>
      </c>
      <c r="R24" s="46">
        <f t="shared" ca="1" si="3"/>
        <v>0</v>
      </c>
      <c r="S24" s="46">
        <f t="shared" ca="1" si="4"/>
        <v>0</v>
      </c>
      <c r="AJ24" s="61"/>
      <c r="AK24" s="61"/>
      <c r="AL24" s="61"/>
    </row>
    <row r="25" spans="1:38" x14ac:dyDescent="0.3">
      <c r="A25" s="13" t="str">
        <f t="shared" si="5"/>
        <v/>
      </c>
      <c r="B25" s="13">
        <f>Quote!C199</f>
        <v>0</v>
      </c>
      <c r="C25" s="18" t="str">
        <f t="array" ref="C25">IFERROR(INDEX('Trade Category'!$A$2:$A$830,MATCH(Quote!D199,'Trade Category'!$F$2:$F$830,0),0),"")</f>
        <v/>
      </c>
      <c r="D25" s="13" t="str">
        <f>Quote!D199</f>
        <v>-</v>
      </c>
      <c r="E25" s="13">
        <f>Quote!E199</f>
        <v>0</v>
      </c>
      <c r="F25" s="13">
        <f>Quote!F199</f>
        <v>0</v>
      </c>
      <c r="G25" s="13" t="str">
        <f t="shared" si="6"/>
        <v>0-00</v>
      </c>
      <c r="H25" s="13">
        <f>Quote!G199</f>
        <v>0</v>
      </c>
      <c r="I25" s="13">
        <f t="shared" si="0"/>
        <v>0</v>
      </c>
      <c r="J25" s="13">
        <f t="shared" si="1"/>
        <v>0</v>
      </c>
      <c r="K25" s="13"/>
      <c r="L25" s="13"/>
      <c r="M25" s="13"/>
      <c r="N25" s="13"/>
      <c r="O25" s="13"/>
      <c r="P25" s="13"/>
      <c r="Q25" s="46">
        <f t="shared" ca="1" si="2"/>
        <v>0</v>
      </c>
      <c r="R25" s="46">
        <f t="shared" ca="1" si="3"/>
        <v>0</v>
      </c>
      <c r="S25" s="46">
        <f t="shared" ca="1" si="4"/>
        <v>0</v>
      </c>
      <c r="AJ25" s="61"/>
      <c r="AK25" s="61"/>
      <c r="AL25" s="61"/>
    </row>
    <row r="26" spans="1:38" x14ac:dyDescent="0.3">
      <c r="A26" s="13" t="str">
        <f t="shared" si="5"/>
        <v/>
      </c>
      <c r="B26" s="13">
        <f>Quote!C200</f>
        <v>0</v>
      </c>
      <c r="C26" s="18" t="str">
        <f t="array" ref="C26">IFERROR(INDEX('Trade Category'!$A$2:$A$830,MATCH(Quote!D200,'Trade Category'!$F$2:$F$830,0),0),"")</f>
        <v/>
      </c>
      <c r="D26" s="13" t="str">
        <f>Quote!D200</f>
        <v>-</v>
      </c>
      <c r="E26" s="13">
        <f>Quote!E200</f>
        <v>0</v>
      </c>
      <c r="F26" s="13">
        <f>Quote!F200</f>
        <v>0</v>
      </c>
      <c r="G26" s="13" t="str">
        <f t="shared" si="6"/>
        <v>0-00</v>
      </c>
      <c r="H26" s="13">
        <f>Quote!G200</f>
        <v>0</v>
      </c>
      <c r="I26" s="13">
        <f t="shared" si="0"/>
        <v>0</v>
      </c>
      <c r="J26" s="13">
        <f t="shared" si="1"/>
        <v>0</v>
      </c>
      <c r="K26" s="13"/>
      <c r="L26" s="13"/>
      <c r="M26" s="13"/>
      <c r="N26" s="13"/>
      <c r="O26" s="13"/>
      <c r="P26" s="13"/>
      <c r="Q26" s="46">
        <f t="shared" ca="1" si="2"/>
        <v>0</v>
      </c>
      <c r="R26" s="46">
        <f t="shared" ca="1" si="3"/>
        <v>0</v>
      </c>
      <c r="S26" s="46">
        <f t="shared" ca="1" si="4"/>
        <v>0</v>
      </c>
      <c r="U26" s="124" t="s">
        <v>13228</v>
      </c>
      <c r="V26" s="180">
        <f ca="1">IFERROR(VLOOKUP(revised_exp_policy_premium,U18:U23,1,1),0)</f>
        <v>0</v>
      </c>
      <c r="W26" s="61"/>
      <c r="X26" s="61"/>
      <c r="AJ26" s="61"/>
      <c r="AK26" s="61"/>
      <c r="AL26" s="61"/>
    </row>
    <row r="27" spans="1:38" x14ac:dyDescent="0.3">
      <c r="A27" s="13" t="str">
        <f t="shared" si="5"/>
        <v/>
      </c>
      <c r="B27" s="13">
        <f>Quote!C201</f>
        <v>0</v>
      </c>
      <c r="C27" s="18" t="str">
        <f t="array" ref="C27">IFERROR(INDEX('Trade Category'!$A$2:$A$830,MATCH(Quote!D201,'Trade Category'!$F$2:$F$830,0),0),"")</f>
        <v/>
      </c>
      <c r="D27" s="13" t="str">
        <f>Quote!D201</f>
        <v>-</v>
      </c>
      <c r="E27" s="13">
        <f>Quote!E201</f>
        <v>0</v>
      </c>
      <c r="F27" s="13">
        <f>Quote!F201</f>
        <v>0</v>
      </c>
      <c r="G27" s="13" t="str">
        <f t="shared" si="6"/>
        <v>0-00</v>
      </c>
      <c r="H27" s="13">
        <f>Quote!G201</f>
        <v>0</v>
      </c>
      <c r="I27" s="13">
        <f t="shared" si="0"/>
        <v>0</v>
      </c>
      <c r="J27" s="13">
        <f t="shared" si="1"/>
        <v>0</v>
      </c>
      <c r="K27" s="13"/>
      <c r="L27" s="13"/>
      <c r="M27" s="13"/>
      <c r="N27" s="13"/>
      <c r="O27" s="13"/>
      <c r="P27" s="13"/>
      <c r="Q27" s="46">
        <f t="shared" ca="1" si="2"/>
        <v>0</v>
      </c>
      <c r="R27" s="46">
        <f t="shared" ca="1" si="3"/>
        <v>0</v>
      </c>
      <c r="S27" s="46">
        <f t="shared" ca="1" si="4"/>
        <v>0</v>
      </c>
      <c r="AJ27" s="61"/>
      <c r="AK27" s="61"/>
      <c r="AL27" s="61"/>
    </row>
    <row r="28" spans="1:38" x14ac:dyDescent="0.3">
      <c r="A28" s="13" t="str">
        <f t="shared" si="5"/>
        <v/>
      </c>
      <c r="B28" s="13">
        <f>Quote!C202</f>
        <v>0</v>
      </c>
      <c r="C28" s="18" t="str">
        <f t="array" ref="C28">IFERROR(INDEX('Trade Category'!$A$2:$A$830,MATCH(Quote!D202,'Trade Category'!$F$2:$F$830,0),0),"")</f>
        <v/>
      </c>
      <c r="D28" s="13" t="str">
        <f>Quote!D202</f>
        <v>-</v>
      </c>
      <c r="E28" s="13">
        <f>Quote!E202</f>
        <v>0</v>
      </c>
      <c r="F28" s="13">
        <f>Quote!F202</f>
        <v>0</v>
      </c>
      <c r="G28" s="13" t="str">
        <f t="shared" si="6"/>
        <v>0-00</v>
      </c>
      <c r="H28" s="13">
        <f>Quote!G202</f>
        <v>0</v>
      </c>
      <c r="I28" s="13">
        <f t="shared" si="0"/>
        <v>0</v>
      </c>
      <c r="J28" s="13">
        <f t="shared" si="1"/>
        <v>0</v>
      </c>
      <c r="K28" s="13"/>
      <c r="L28" s="13"/>
      <c r="M28" s="13"/>
      <c r="N28" s="13"/>
      <c r="O28" s="13"/>
      <c r="P28" s="13"/>
      <c r="Q28" s="46">
        <f t="shared" ca="1" si="2"/>
        <v>0</v>
      </c>
      <c r="R28" s="46">
        <f t="shared" ca="1" si="3"/>
        <v>0</v>
      </c>
      <c r="S28" s="46">
        <f t="shared" ca="1" si="4"/>
        <v>0</v>
      </c>
      <c r="U28" s="124"/>
      <c r="V28" s="140"/>
      <c r="W28" s="140"/>
      <c r="X28" s="140"/>
      <c r="AJ28" s="61"/>
      <c r="AK28" s="61"/>
      <c r="AL28" s="61"/>
    </row>
    <row r="29" spans="1:38" x14ac:dyDescent="0.3">
      <c r="A29" s="13" t="str">
        <f t="shared" si="5"/>
        <v/>
      </c>
      <c r="B29" s="13">
        <f>Quote!C203</f>
        <v>0</v>
      </c>
      <c r="C29" s="18" t="str">
        <f t="array" ref="C29">IFERROR(INDEX('Trade Category'!$A$2:$A$830,MATCH(Quote!D203,'Trade Category'!$F$2:$F$830,0),0),"")</f>
        <v/>
      </c>
      <c r="D29" s="13" t="str">
        <f>Quote!D203</f>
        <v>-</v>
      </c>
      <c r="E29" s="13">
        <f>Quote!E203</f>
        <v>0</v>
      </c>
      <c r="F29" s="13">
        <f>Quote!F203</f>
        <v>0</v>
      </c>
      <c r="G29" s="13" t="str">
        <f t="shared" si="6"/>
        <v>0-00</v>
      </c>
      <c r="H29" s="13">
        <f>Quote!G203</f>
        <v>0</v>
      </c>
      <c r="I29" s="13">
        <f t="shared" si="0"/>
        <v>0</v>
      </c>
      <c r="J29" s="13">
        <f t="shared" si="1"/>
        <v>0</v>
      </c>
      <c r="K29" s="13"/>
      <c r="L29" s="13"/>
      <c r="M29" s="13"/>
      <c r="N29" s="13"/>
      <c r="O29" s="13"/>
      <c r="P29" s="13"/>
      <c r="Q29" s="46">
        <f t="shared" ca="1" si="2"/>
        <v>0</v>
      </c>
      <c r="R29" s="46">
        <f t="shared" ca="1" si="3"/>
        <v>0</v>
      </c>
      <c r="S29" s="46">
        <f t="shared" ca="1" si="4"/>
        <v>0</v>
      </c>
      <c r="AJ29" s="61"/>
      <c r="AK29" s="61"/>
      <c r="AL29" s="61"/>
    </row>
    <row r="30" spans="1:38" x14ac:dyDescent="0.3">
      <c r="A30" s="13" t="str">
        <f t="shared" si="5"/>
        <v/>
      </c>
      <c r="B30" s="13">
        <f>Quote!C204</f>
        <v>0</v>
      </c>
      <c r="C30" s="18" t="str">
        <f t="array" ref="C30">IFERROR(INDEX('Trade Category'!$A$2:$A$830,MATCH(Quote!D204,'Trade Category'!$F$2:$F$830,0),0),"")</f>
        <v/>
      </c>
      <c r="D30" s="13" t="str">
        <f>Quote!D204</f>
        <v>-</v>
      </c>
      <c r="E30" s="13">
        <f>Quote!E204</f>
        <v>0</v>
      </c>
      <c r="F30" s="13">
        <f>Quote!F204</f>
        <v>0</v>
      </c>
      <c r="G30" s="13" t="str">
        <f t="shared" si="6"/>
        <v>0-00</v>
      </c>
      <c r="H30" s="13">
        <f>Quote!G204</f>
        <v>0</v>
      </c>
      <c r="I30" s="13">
        <f t="shared" si="0"/>
        <v>0</v>
      </c>
      <c r="J30" s="13">
        <f t="shared" si="1"/>
        <v>0</v>
      </c>
      <c r="K30" s="13"/>
      <c r="L30" s="13"/>
      <c r="M30" s="13"/>
      <c r="N30" s="13"/>
      <c r="O30" s="13"/>
      <c r="P30" s="13"/>
      <c r="Q30" s="46">
        <f t="shared" ca="1" si="2"/>
        <v>0</v>
      </c>
      <c r="R30" s="46">
        <f t="shared" ca="1" si="3"/>
        <v>0</v>
      </c>
      <c r="S30" s="46">
        <f t="shared" ca="1" si="4"/>
        <v>0</v>
      </c>
      <c r="AJ30" s="61"/>
      <c r="AK30" s="61"/>
      <c r="AL30" s="61"/>
    </row>
    <row r="31" spans="1:38" x14ac:dyDescent="0.3">
      <c r="A31" s="13" t="str">
        <f t="shared" si="5"/>
        <v/>
      </c>
      <c r="B31" s="13">
        <f>Quote!C205</f>
        <v>0</v>
      </c>
      <c r="C31" s="18" t="str">
        <f t="array" ref="C31">IFERROR(INDEX('Trade Category'!$A$2:$A$830,MATCH(Quote!D205,'Trade Category'!$F$2:$F$830,0),0),"")</f>
        <v/>
      </c>
      <c r="D31" s="13" t="str">
        <f>Quote!D205</f>
        <v>-</v>
      </c>
      <c r="E31" s="13">
        <f>Quote!E205</f>
        <v>0</v>
      </c>
      <c r="F31" s="13">
        <f>Quote!F205</f>
        <v>0</v>
      </c>
      <c r="G31" s="13" t="str">
        <f t="shared" si="6"/>
        <v>0-00</v>
      </c>
      <c r="H31" s="13">
        <f>Quote!G205</f>
        <v>0</v>
      </c>
      <c r="I31" s="13">
        <f t="shared" si="0"/>
        <v>0</v>
      </c>
      <c r="J31" s="13">
        <f t="shared" si="1"/>
        <v>0</v>
      </c>
      <c r="K31" s="13"/>
      <c r="L31" s="13"/>
      <c r="M31" s="13"/>
      <c r="N31" s="13"/>
      <c r="O31" s="13"/>
      <c r="P31" s="13"/>
      <c r="Q31" s="46">
        <f t="shared" ca="1" si="2"/>
        <v>0</v>
      </c>
      <c r="R31" s="46">
        <f t="shared" ca="1" si="3"/>
        <v>0</v>
      </c>
      <c r="S31" s="46">
        <f t="shared" ca="1" si="4"/>
        <v>0</v>
      </c>
      <c r="AJ31" s="61"/>
      <c r="AK31" s="61"/>
      <c r="AL31" s="61"/>
    </row>
    <row r="32" spans="1:38" x14ac:dyDescent="0.3">
      <c r="A32" s="13" t="str">
        <f t="shared" si="5"/>
        <v/>
      </c>
      <c r="B32" s="13">
        <f>Quote!C206</f>
        <v>0</v>
      </c>
      <c r="C32" s="18" t="str">
        <f t="array" ref="C32">IFERROR(INDEX('Trade Category'!$A$2:$A$830,MATCH(Quote!D206,'Trade Category'!$F$2:$F$830,0),0),"")</f>
        <v/>
      </c>
      <c r="D32" s="13" t="str">
        <f>Quote!D206</f>
        <v>-</v>
      </c>
      <c r="E32" s="13">
        <f>Quote!E206</f>
        <v>0</v>
      </c>
      <c r="F32" s="13">
        <f>Quote!F206</f>
        <v>0</v>
      </c>
      <c r="G32" s="13" t="str">
        <f t="shared" si="6"/>
        <v>0-00</v>
      </c>
      <c r="H32" s="13">
        <f>Quote!G206</f>
        <v>0</v>
      </c>
      <c r="I32" s="13">
        <f t="shared" si="0"/>
        <v>0</v>
      </c>
      <c r="J32" s="13">
        <f t="shared" si="1"/>
        <v>0</v>
      </c>
      <c r="K32" s="13"/>
      <c r="L32" s="13"/>
      <c r="M32" s="13"/>
      <c r="N32" s="13"/>
      <c r="O32" s="13"/>
      <c r="P32" s="13"/>
      <c r="Q32" s="46">
        <f t="shared" ca="1" si="2"/>
        <v>0</v>
      </c>
      <c r="R32" s="46">
        <f t="shared" ca="1" si="3"/>
        <v>0</v>
      </c>
      <c r="S32" s="46">
        <f t="shared" ca="1" si="4"/>
        <v>0</v>
      </c>
      <c r="AJ32" s="61"/>
      <c r="AK32" s="61"/>
      <c r="AL32" s="61"/>
    </row>
    <row r="33" spans="1:38" x14ac:dyDescent="0.3">
      <c r="A33" s="13" t="str">
        <f t="shared" si="5"/>
        <v/>
      </c>
      <c r="B33" s="13">
        <f>Quote!C207</f>
        <v>0</v>
      </c>
      <c r="C33" s="18" t="str">
        <f t="array" ref="C33">IFERROR(INDEX('Trade Category'!$A$2:$A$830,MATCH(Quote!D207,'Trade Category'!$F$2:$F$830,0),0),"")</f>
        <v/>
      </c>
      <c r="D33" s="13" t="str">
        <f>Quote!D207</f>
        <v>-</v>
      </c>
      <c r="E33" s="13">
        <f>Quote!E207</f>
        <v>0</v>
      </c>
      <c r="F33" s="13">
        <f>Quote!F207</f>
        <v>0</v>
      </c>
      <c r="G33" s="13" t="str">
        <f t="shared" si="6"/>
        <v>0-00</v>
      </c>
      <c r="H33" s="13">
        <f>Quote!G207</f>
        <v>0</v>
      </c>
      <c r="I33" s="13">
        <f t="shared" si="0"/>
        <v>0</v>
      </c>
      <c r="J33" s="13">
        <f t="shared" si="1"/>
        <v>0</v>
      </c>
      <c r="K33" s="13"/>
      <c r="L33" s="13"/>
      <c r="M33" s="13"/>
      <c r="N33" s="13"/>
      <c r="O33" s="13"/>
      <c r="P33" s="13"/>
      <c r="Q33" s="46">
        <f t="shared" ca="1" si="2"/>
        <v>0</v>
      </c>
      <c r="R33" s="46">
        <f t="shared" ca="1" si="3"/>
        <v>0</v>
      </c>
      <c r="S33" s="46">
        <f t="shared" ca="1" si="4"/>
        <v>0</v>
      </c>
      <c r="AJ33" s="61"/>
      <c r="AK33" s="61"/>
      <c r="AL33" s="61"/>
    </row>
    <row r="34" spans="1:38" x14ac:dyDescent="0.3">
      <c r="A34" s="13" t="str">
        <f t="shared" si="5"/>
        <v/>
      </c>
      <c r="B34" s="13">
        <f>Quote!C208</f>
        <v>0</v>
      </c>
      <c r="C34" s="18" t="str">
        <f t="array" ref="C34">IFERROR(INDEX('Trade Category'!$A$2:$A$830,MATCH(Quote!D208,'Trade Category'!$F$2:$F$830,0),0),"")</f>
        <v/>
      </c>
      <c r="D34" s="13" t="str">
        <f>Quote!D208</f>
        <v>-</v>
      </c>
      <c r="E34" s="13">
        <f>Quote!E208</f>
        <v>0</v>
      </c>
      <c r="F34" s="13">
        <f>Quote!F208</f>
        <v>0</v>
      </c>
      <c r="G34" s="13" t="str">
        <f t="shared" si="6"/>
        <v>0-00</v>
      </c>
      <c r="H34" s="13">
        <f>Quote!G208</f>
        <v>0</v>
      </c>
      <c r="I34" s="13">
        <f t="shared" si="0"/>
        <v>0</v>
      </c>
      <c r="J34" s="13">
        <f t="shared" si="1"/>
        <v>0</v>
      </c>
      <c r="K34" s="13"/>
      <c r="L34" s="13"/>
      <c r="M34" s="13"/>
      <c r="N34" s="13"/>
      <c r="O34" s="13"/>
      <c r="P34" s="13"/>
      <c r="Q34" s="46">
        <f t="shared" ca="1" si="2"/>
        <v>0</v>
      </c>
      <c r="R34" s="46">
        <f t="shared" ca="1" si="3"/>
        <v>0</v>
      </c>
      <c r="S34" s="46">
        <f t="shared" ca="1" si="4"/>
        <v>0</v>
      </c>
      <c r="AJ34" s="61"/>
      <c r="AK34" s="61"/>
      <c r="AL34" s="61"/>
    </row>
    <row r="35" spans="1:38" x14ac:dyDescent="0.3">
      <c r="A35" s="13" t="str">
        <f t="shared" si="5"/>
        <v/>
      </c>
      <c r="B35" s="13">
        <f>Quote!C209</f>
        <v>0</v>
      </c>
      <c r="C35" s="18" t="str">
        <f t="array" ref="C35">IFERROR(INDEX('Trade Category'!$A$2:$A$830,MATCH(Quote!D209,'Trade Category'!$F$2:$F$830,0),0),"")</f>
        <v/>
      </c>
      <c r="D35" s="13" t="str">
        <f>Quote!D209</f>
        <v>-</v>
      </c>
      <c r="E35" s="13">
        <f>Quote!E209</f>
        <v>0</v>
      </c>
      <c r="F35" s="13">
        <f>Quote!F209</f>
        <v>0</v>
      </c>
      <c r="G35" s="13" t="str">
        <f t="shared" si="6"/>
        <v>0-00</v>
      </c>
      <c r="H35" s="13">
        <f>Quote!G209</f>
        <v>0</v>
      </c>
      <c r="I35" s="13">
        <f t="shared" si="0"/>
        <v>0</v>
      </c>
      <c r="J35" s="13">
        <f t="shared" si="1"/>
        <v>0</v>
      </c>
      <c r="K35" s="13"/>
      <c r="L35" s="13"/>
      <c r="M35" s="13"/>
      <c r="N35" s="13"/>
      <c r="O35" s="13"/>
      <c r="P35" s="13"/>
      <c r="Q35" s="46">
        <f t="shared" ca="1" si="2"/>
        <v>0</v>
      </c>
      <c r="R35" s="46">
        <f t="shared" ca="1" si="3"/>
        <v>0</v>
      </c>
      <c r="S35" s="46">
        <f t="shared" ca="1" si="4"/>
        <v>0</v>
      </c>
      <c r="AJ35" s="61"/>
      <c r="AK35" s="61"/>
      <c r="AL35" s="61"/>
    </row>
    <row r="36" spans="1:38" x14ac:dyDescent="0.3">
      <c r="A36" s="13" t="str">
        <f t="shared" si="5"/>
        <v/>
      </c>
      <c r="B36" s="13">
        <f>Quote!C210</f>
        <v>0</v>
      </c>
      <c r="C36" s="18" t="str">
        <f t="array" ref="C36">IFERROR(INDEX('Trade Category'!$A$2:$A$830,MATCH(Quote!D210,'Trade Category'!$F$2:$F$830,0),0),"")</f>
        <v/>
      </c>
      <c r="D36" s="13" t="str">
        <f>Quote!D210</f>
        <v>-</v>
      </c>
      <c r="E36" s="13">
        <f>Quote!E210</f>
        <v>0</v>
      </c>
      <c r="F36" s="13">
        <f>Quote!F210</f>
        <v>0</v>
      </c>
      <c r="G36" s="13" t="str">
        <f t="shared" si="6"/>
        <v>0-00</v>
      </c>
      <c r="H36" s="13">
        <f>Quote!G210</f>
        <v>0</v>
      </c>
      <c r="I36" s="13">
        <f t="shared" si="0"/>
        <v>0</v>
      </c>
      <c r="J36" s="13">
        <f t="shared" si="1"/>
        <v>0</v>
      </c>
      <c r="K36" s="13"/>
      <c r="L36" s="13"/>
      <c r="M36" s="13"/>
      <c r="N36" s="13"/>
      <c r="O36" s="13"/>
      <c r="P36" s="13"/>
      <c r="Q36" s="46">
        <f t="shared" ca="1" si="2"/>
        <v>0</v>
      </c>
      <c r="R36" s="46">
        <f t="shared" ca="1" si="3"/>
        <v>0</v>
      </c>
      <c r="S36" s="46">
        <f t="shared" ca="1" si="4"/>
        <v>0</v>
      </c>
      <c r="AJ36" s="61"/>
      <c r="AK36" s="61"/>
      <c r="AL36" s="61"/>
    </row>
    <row r="37" spans="1:38" x14ac:dyDescent="0.3">
      <c r="A37" s="13" t="str">
        <f t="shared" si="5"/>
        <v/>
      </c>
      <c r="B37" s="13">
        <f>Quote!C211</f>
        <v>0</v>
      </c>
      <c r="C37" s="18" t="str">
        <f t="array" ref="C37">IFERROR(INDEX('Trade Category'!$A$2:$A$830,MATCH(Quote!D211,'Trade Category'!$F$2:$F$830,0),0),"")</f>
        <v/>
      </c>
      <c r="D37" s="13" t="str">
        <f>Quote!D211</f>
        <v>-</v>
      </c>
      <c r="E37" s="13">
        <f>Quote!E211</f>
        <v>0</v>
      </c>
      <c r="F37" s="13">
        <f>Quote!F211</f>
        <v>0</v>
      </c>
      <c r="G37" s="13" t="str">
        <f t="shared" si="6"/>
        <v>0-00</v>
      </c>
      <c r="H37" s="13">
        <f>Quote!G211</f>
        <v>0</v>
      </c>
      <c r="I37" s="13">
        <f t="shared" ref="I37:I54" si="9">IF(F37&gt;15000,15000,F37)</f>
        <v>0</v>
      </c>
      <c r="J37" s="13">
        <f t="shared" si="1"/>
        <v>0</v>
      </c>
      <c r="K37" s="13"/>
      <c r="L37" s="13"/>
      <c r="M37" s="13"/>
      <c r="N37" s="13"/>
      <c r="O37" s="13"/>
      <c r="P37" s="13"/>
      <c r="Q37" s="46">
        <f t="shared" ref="Q37:Q54" ca="1" si="10">SUM(((I37*$B37*$K37*policy_term)/1000*uw_final_cont_1)+SUM((I37*$B37*$L37*policy_term)/1000*uw_final_cont_2)+SUM((I37*$B37*$M37*policy_term)/1000*uw_final_cont_3))</f>
        <v>0</v>
      </c>
      <c r="R37" s="46">
        <f t="shared" ref="R37:R54" ca="1" si="11">SUM(((J37*$B37*$N37*policy_term)/1000*uw_final_cont_1)+SUM((J37*$B37*$O37*policy_term)/1000*uw_final_cont_2)+SUM((J37*$B37*$P37*policy_term)/1000*uw_final_cont_3))</f>
        <v>0</v>
      </c>
      <c r="S37" s="46">
        <f t="shared" ref="S37:S54" ca="1" si="12">ROUND(SUM(Q37:R37),2)</f>
        <v>0</v>
      </c>
      <c r="AJ37" s="61"/>
      <c r="AK37" s="61"/>
      <c r="AL37" s="61"/>
    </row>
    <row r="38" spans="1:38" x14ac:dyDescent="0.3">
      <c r="A38" s="13" t="str">
        <f t="shared" si="5"/>
        <v/>
      </c>
      <c r="B38" s="13">
        <f>Quote!C212</f>
        <v>0</v>
      </c>
      <c r="C38" s="18" t="str">
        <f t="array" ref="C38">IFERROR(INDEX('Trade Category'!$A$2:$A$830,MATCH(Quote!D212,'Trade Category'!$F$2:$F$830,0),0),"")</f>
        <v/>
      </c>
      <c r="D38" s="13" t="str">
        <f>Quote!D212</f>
        <v>-</v>
      </c>
      <c r="E38" s="13">
        <f>Quote!E212</f>
        <v>0</v>
      </c>
      <c r="F38" s="13">
        <f>Quote!F212</f>
        <v>0</v>
      </c>
      <c r="G38" s="13" t="str">
        <f t="shared" si="6"/>
        <v>0-00</v>
      </c>
      <c r="H38" s="13">
        <f>Quote!G212</f>
        <v>0</v>
      </c>
      <c r="I38" s="13">
        <f t="shared" si="9"/>
        <v>0</v>
      </c>
      <c r="J38" s="13">
        <f t="shared" si="1"/>
        <v>0</v>
      </c>
      <c r="K38" s="13"/>
      <c r="L38" s="13"/>
      <c r="M38" s="13"/>
      <c r="N38" s="13"/>
      <c r="O38" s="13"/>
      <c r="P38" s="13"/>
      <c r="Q38" s="46">
        <f t="shared" ca="1" si="10"/>
        <v>0</v>
      </c>
      <c r="R38" s="46">
        <f t="shared" ca="1" si="11"/>
        <v>0</v>
      </c>
      <c r="S38" s="46">
        <f t="shared" ca="1" si="12"/>
        <v>0</v>
      </c>
      <c r="AJ38" s="61"/>
      <c r="AK38" s="61"/>
      <c r="AL38" s="61"/>
    </row>
    <row r="39" spans="1:38" x14ac:dyDescent="0.3">
      <c r="A39" s="13" t="str">
        <f t="shared" si="5"/>
        <v/>
      </c>
      <c r="B39" s="13">
        <f>Quote!C213</f>
        <v>0</v>
      </c>
      <c r="C39" s="18" t="str">
        <f t="array" ref="C39">IFERROR(INDEX('Trade Category'!$A$2:$A$830,MATCH(Quote!D213,'Trade Category'!$F$2:$F$830,0),0),"")</f>
        <v/>
      </c>
      <c r="D39" s="13" t="str">
        <f>Quote!D213</f>
        <v>-</v>
      </c>
      <c r="E39" s="13">
        <f>Quote!E213</f>
        <v>0</v>
      </c>
      <c r="F39" s="13">
        <f>Quote!F213</f>
        <v>0</v>
      </c>
      <c r="G39" s="13" t="str">
        <f t="shared" si="6"/>
        <v>0-00</v>
      </c>
      <c r="H39" s="13">
        <f>Quote!G213</f>
        <v>0</v>
      </c>
      <c r="I39" s="13">
        <f t="shared" si="9"/>
        <v>0</v>
      </c>
      <c r="J39" s="13">
        <f t="shared" si="1"/>
        <v>0</v>
      </c>
      <c r="K39" s="13"/>
      <c r="L39" s="13"/>
      <c r="M39" s="13"/>
      <c r="N39" s="13"/>
      <c r="O39" s="13"/>
      <c r="P39" s="13"/>
      <c r="Q39" s="46">
        <f t="shared" ca="1" si="10"/>
        <v>0</v>
      </c>
      <c r="R39" s="46">
        <f t="shared" ca="1" si="11"/>
        <v>0</v>
      </c>
      <c r="S39" s="46">
        <f t="shared" ca="1" si="12"/>
        <v>0</v>
      </c>
      <c r="AJ39" s="61"/>
      <c r="AK39" s="61"/>
      <c r="AL39" s="61"/>
    </row>
    <row r="40" spans="1:38" x14ac:dyDescent="0.3">
      <c r="A40" s="13" t="str">
        <f t="shared" si="5"/>
        <v/>
      </c>
      <c r="B40" s="13">
        <f>Quote!C214</f>
        <v>0</v>
      </c>
      <c r="C40" s="18" t="str">
        <f t="array" ref="C40">IFERROR(INDEX('Trade Category'!$A$2:$A$830,MATCH(Quote!D214,'Trade Category'!$F$2:$F$830,0),0),"")</f>
        <v/>
      </c>
      <c r="D40" s="13" t="str">
        <f>Quote!D214</f>
        <v>-</v>
      </c>
      <c r="E40" s="13">
        <f>Quote!E214</f>
        <v>0</v>
      </c>
      <c r="F40" s="13">
        <f>Quote!F214</f>
        <v>0</v>
      </c>
      <c r="G40" s="13" t="str">
        <f t="shared" si="6"/>
        <v>0-00</v>
      </c>
      <c r="H40" s="13">
        <f>Quote!G214</f>
        <v>0</v>
      </c>
      <c r="I40" s="13">
        <f t="shared" si="9"/>
        <v>0</v>
      </c>
      <c r="J40" s="13">
        <f t="shared" si="1"/>
        <v>0</v>
      </c>
      <c r="K40" s="13"/>
      <c r="L40" s="13"/>
      <c r="M40" s="13"/>
      <c r="N40" s="13"/>
      <c r="O40" s="13"/>
      <c r="P40" s="13"/>
      <c r="Q40" s="46">
        <f t="shared" ca="1" si="10"/>
        <v>0</v>
      </c>
      <c r="R40" s="46">
        <f t="shared" ca="1" si="11"/>
        <v>0</v>
      </c>
      <c r="S40" s="46">
        <f t="shared" ca="1" si="12"/>
        <v>0</v>
      </c>
      <c r="AJ40" s="61"/>
      <c r="AK40" s="61"/>
      <c r="AL40" s="61"/>
    </row>
    <row r="41" spans="1:38" x14ac:dyDescent="0.3">
      <c r="A41" s="13" t="str">
        <f t="shared" si="5"/>
        <v/>
      </c>
      <c r="B41" s="13">
        <f>Quote!C215</f>
        <v>0</v>
      </c>
      <c r="C41" s="18" t="str">
        <f t="array" ref="C41">IFERROR(INDEX('Trade Category'!$A$2:$A$830,MATCH(Quote!D215,'Trade Category'!$F$2:$F$830,0),0),"")</f>
        <v/>
      </c>
      <c r="D41" s="13" t="str">
        <f>Quote!D215</f>
        <v>-</v>
      </c>
      <c r="E41" s="13">
        <f>Quote!E215</f>
        <v>0</v>
      </c>
      <c r="F41" s="13">
        <f>Quote!F215</f>
        <v>0</v>
      </c>
      <c r="G41" s="13" t="str">
        <f t="shared" si="6"/>
        <v>0-00</v>
      </c>
      <c r="H41" s="13">
        <f>Quote!G215</f>
        <v>0</v>
      </c>
      <c r="I41" s="13">
        <f t="shared" si="9"/>
        <v>0</v>
      </c>
      <c r="J41" s="13">
        <f t="shared" si="1"/>
        <v>0</v>
      </c>
      <c r="K41" s="13"/>
      <c r="L41" s="13"/>
      <c r="M41" s="13"/>
      <c r="N41" s="13"/>
      <c r="O41" s="13"/>
      <c r="P41" s="13"/>
      <c r="Q41" s="46">
        <f t="shared" ca="1" si="10"/>
        <v>0</v>
      </c>
      <c r="R41" s="46">
        <f t="shared" ca="1" si="11"/>
        <v>0</v>
      </c>
      <c r="S41" s="46">
        <f t="shared" ca="1" si="12"/>
        <v>0</v>
      </c>
      <c r="AJ41" s="61"/>
      <c r="AK41" s="61"/>
      <c r="AL41" s="61"/>
    </row>
    <row r="42" spans="1:38" x14ac:dyDescent="0.3">
      <c r="A42" s="13" t="str">
        <f t="shared" si="5"/>
        <v/>
      </c>
      <c r="B42" s="13">
        <f>Quote!C216</f>
        <v>0</v>
      </c>
      <c r="C42" s="18" t="str">
        <f t="array" ref="C42">IFERROR(INDEX('Trade Category'!$A$2:$A$830,MATCH(Quote!D216,'Trade Category'!$F$2:$F$830,0),0),"")</f>
        <v/>
      </c>
      <c r="D42" s="13" t="str">
        <f>Quote!D216</f>
        <v>-</v>
      </c>
      <c r="E42" s="13">
        <f>Quote!E216</f>
        <v>0</v>
      </c>
      <c r="F42" s="13">
        <f>Quote!F216</f>
        <v>0</v>
      </c>
      <c r="G42" s="13" t="str">
        <f t="shared" si="6"/>
        <v>0-00</v>
      </c>
      <c r="H42" s="13">
        <f>Quote!G216</f>
        <v>0</v>
      </c>
      <c r="I42" s="13">
        <f t="shared" si="9"/>
        <v>0</v>
      </c>
      <c r="J42" s="13">
        <f t="shared" si="1"/>
        <v>0</v>
      </c>
      <c r="K42" s="13"/>
      <c r="L42" s="13"/>
      <c r="M42" s="13"/>
      <c r="N42" s="13"/>
      <c r="O42" s="13"/>
      <c r="P42" s="13"/>
      <c r="Q42" s="46">
        <f t="shared" ca="1" si="10"/>
        <v>0</v>
      </c>
      <c r="R42" s="46">
        <f t="shared" ca="1" si="11"/>
        <v>0</v>
      </c>
      <c r="S42" s="46">
        <f t="shared" ca="1" si="12"/>
        <v>0</v>
      </c>
      <c r="AJ42" s="61"/>
      <c r="AK42" s="61"/>
      <c r="AL42" s="61"/>
    </row>
    <row r="43" spans="1:38" x14ac:dyDescent="0.3">
      <c r="A43" s="13" t="str">
        <f t="shared" si="5"/>
        <v/>
      </c>
      <c r="B43" s="13">
        <f>Quote!C217</f>
        <v>0</v>
      </c>
      <c r="C43" s="18" t="str">
        <f t="array" ref="C43">IFERROR(INDEX('Trade Category'!$A$2:$A$830,MATCH(Quote!D217,'Trade Category'!$F$2:$F$830,0),0),"")</f>
        <v/>
      </c>
      <c r="D43" s="13" t="str">
        <f>Quote!D217</f>
        <v>-</v>
      </c>
      <c r="E43" s="13">
        <f>Quote!E217</f>
        <v>0</v>
      </c>
      <c r="F43" s="13">
        <f>Quote!F217</f>
        <v>0</v>
      </c>
      <c r="G43" s="13" t="str">
        <f t="shared" si="6"/>
        <v>0-00</v>
      </c>
      <c r="H43" s="13">
        <f>Quote!G217</f>
        <v>0</v>
      </c>
      <c r="I43" s="13">
        <f t="shared" si="9"/>
        <v>0</v>
      </c>
      <c r="J43" s="13">
        <f t="shared" si="1"/>
        <v>0</v>
      </c>
      <c r="K43" s="13"/>
      <c r="L43" s="13"/>
      <c r="M43" s="13"/>
      <c r="N43" s="13"/>
      <c r="O43" s="13"/>
      <c r="P43" s="13"/>
      <c r="Q43" s="46">
        <f t="shared" ca="1" si="10"/>
        <v>0</v>
      </c>
      <c r="R43" s="46">
        <f t="shared" ca="1" si="11"/>
        <v>0</v>
      </c>
      <c r="S43" s="46">
        <f t="shared" ca="1" si="12"/>
        <v>0</v>
      </c>
      <c r="AJ43" s="61"/>
      <c r="AK43" s="61"/>
      <c r="AL43" s="61"/>
    </row>
    <row r="44" spans="1:38" x14ac:dyDescent="0.3">
      <c r="A44" s="13" t="str">
        <f t="shared" si="5"/>
        <v/>
      </c>
      <c r="B44" s="13">
        <f>Quote!C218</f>
        <v>0</v>
      </c>
      <c r="C44" s="18" t="str">
        <f t="array" ref="C44">IFERROR(INDEX('Trade Category'!$A$2:$A$830,MATCH(Quote!D218,'Trade Category'!$F$2:$F$830,0),0),"")</f>
        <v/>
      </c>
      <c r="D44" s="13" t="str">
        <f>Quote!D218</f>
        <v>-</v>
      </c>
      <c r="E44" s="13">
        <f>Quote!E218</f>
        <v>0</v>
      </c>
      <c r="F44" s="13">
        <f>Quote!F218</f>
        <v>0</v>
      </c>
      <c r="G44" s="13" t="str">
        <f t="shared" si="6"/>
        <v>0-00</v>
      </c>
      <c r="H44" s="13">
        <f>Quote!G218</f>
        <v>0</v>
      </c>
      <c r="I44" s="13">
        <f t="shared" si="9"/>
        <v>0</v>
      </c>
      <c r="J44" s="13">
        <f t="shared" si="1"/>
        <v>0</v>
      </c>
      <c r="K44" s="13"/>
      <c r="L44" s="13"/>
      <c r="M44" s="13"/>
      <c r="N44" s="13"/>
      <c r="O44" s="13"/>
      <c r="P44" s="13"/>
      <c r="Q44" s="46">
        <f t="shared" ca="1" si="10"/>
        <v>0</v>
      </c>
      <c r="R44" s="46">
        <f t="shared" ca="1" si="11"/>
        <v>0</v>
      </c>
      <c r="S44" s="46">
        <f t="shared" ca="1" si="12"/>
        <v>0</v>
      </c>
      <c r="AJ44" s="61"/>
      <c r="AK44" s="61"/>
      <c r="AL44" s="61"/>
    </row>
    <row r="45" spans="1:38" x14ac:dyDescent="0.3">
      <c r="A45" s="13" t="str">
        <f t="shared" si="5"/>
        <v/>
      </c>
      <c r="B45" s="13">
        <f>Quote!C219</f>
        <v>0</v>
      </c>
      <c r="C45" s="18" t="str">
        <f t="array" ref="C45">IFERROR(INDEX('Trade Category'!$A$2:$A$830,MATCH(Quote!D219,'Trade Category'!$F$2:$F$830,0),0),"")</f>
        <v/>
      </c>
      <c r="D45" s="13" t="str">
        <f>Quote!D219</f>
        <v>-</v>
      </c>
      <c r="E45" s="13">
        <f>Quote!E219</f>
        <v>0</v>
      </c>
      <c r="F45" s="13">
        <f>Quote!F219</f>
        <v>0</v>
      </c>
      <c r="G45" s="13" t="str">
        <f t="shared" si="6"/>
        <v>0-00</v>
      </c>
      <c r="H45" s="13">
        <f>Quote!G219</f>
        <v>0</v>
      </c>
      <c r="I45" s="13">
        <f t="shared" si="9"/>
        <v>0</v>
      </c>
      <c r="J45" s="13">
        <f t="shared" si="1"/>
        <v>0</v>
      </c>
      <c r="K45" s="13"/>
      <c r="L45" s="13"/>
      <c r="M45" s="13"/>
      <c r="N45" s="13"/>
      <c r="O45" s="13"/>
      <c r="P45" s="13"/>
      <c r="Q45" s="46">
        <f t="shared" ca="1" si="10"/>
        <v>0</v>
      </c>
      <c r="R45" s="46">
        <f t="shared" ca="1" si="11"/>
        <v>0</v>
      </c>
      <c r="S45" s="46">
        <f t="shared" ca="1" si="12"/>
        <v>0</v>
      </c>
      <c r="AJ45" s="61"/>
      <c r="AK45" s="61"/>
      <c r="AL45" s="61"/>
    </row>
    <row r="46" spans="1:38" x14ac:dyDescent="0.3">
      <c r="A46" s="13" t="str">
        <f t="shared" si="5"/>
        <v/>
      </c>
      <c r="B46" s="13">
        <f>Quote!C220</f>
        <v>0</v>
      </c>
      <c r="C46" s="18" t="str">
        <f t="array" ref="C46">IFERROR(INDEX('Trade Category'!$A$2:$A$830,MATCH(Quote!D220,'Trade Category'!$F$2:$F$830,0),0),"")</f>
        <v/>
      </c>
      <c r="D46" s="13" t="str">
        <f>Quote!D220</f>
        <v>-</v>
      </c>
      <c r="E46" s="13">
        <f>Quote!E220</f>
        <v>0</v>
      </c>
      <c r="F46" s="13">
        <f>Quote!F220</f>
        <v>0</v>
      </c>
      <c r="G46" s="13" t="str">
        <f t="shared" si="6"/>
        <v>0-00</v>
      </c>
      <c r="H46" s="13">
        <f>Quote!G220</f>
        <v>0</v>
      </c>
      <c r="I46" s="13">
        <f t="shared" si="9"/>
        <v>0</v>
      </c>
      <c r="J46" s="13">
        <f t="shared" si="1"/>
        <v>0</v>
      </c>
      <c r="K46" s="13"/>
      <c r="L46" s="13"/>
      <c r="M46" s="13"/>
      <c r="N46" s="13"/>
      <c r="O46" s="13"/>
      <c r="P46" s="13"/>
      <c r="Q46" s="46">
        <f t="shared" ca="1" si="10"/>
        <v>0</v>
      </c>
      <c r="R46" s="46">
        <f t="shared" ca="1" si="11"/>
        <v>0</v>
      </c>
      <c r="S46" s="46">
        <f t="shared" ca="1" si="12"/>
        <v>0</v>
      </c>
      <c r="AJ46" s="61"/>
      <c r="AK46" s="61"/>
      <c r="AL46" s="61"/>
    </row>
    <row r="47" spans="1:38" x14ac:dyDescent="0.3">
      <c r="A47" s="13" t="str">
        <f t="shared" si="5"/>
        <v/>
      </c>
      <c r="B47" s="13">
        <f>Quote!C221</f>
        <v>0</v>
      </c>
      <c r="C47" s="18" t="str">
        <f t="array" ref="C47">IFERROR(INDEX('Trade Category'!$A$2:$A$830,MATCH(Quote!D221,'Trade Category'!$F$2:$F$830,0),0),"")</f>
        <v/>
      </c>
      <c r="D47" s="13" t="str">
        <f>Quote!D221</f>
        <v>-</v>
      </c>
      <c r="E47" s="13">
        <f>Quote!E221</f>
        <v>0</v>
      </c>
      <c r="F47" s="13">
        <f>Quote!F221</f>
        <v>0</v>
      </c>
      <c r="G47" s="13" t="str">
        <f t="shared" si="6"/>
        <v>0-00</v>
      </c>
      <c r="H47" s="13">
        <f>Quote!G221</f>
        <v>0</v>
      </c>
      <c r="I47" s="13">
        <f t="shared" si="9"/>
        <v>0</v>
      </c>
      <c r="J47" s="13">
        <f t="shared" si="1"/>
        <v>0</v>
      </c>
      <c r="K47" s="13"/>
      <c r="L47" s="13"/>
      <c r="M47" s="13"/>
      <c r="N47" s="13"/>
      <c r="O47" s="13"/>
      <c r="P47" s="13"/>
      <c r="Q47" s="46">
        <f t="shared" ca="1" si="10"/>
        <v>0</v>
      </c>
      <c r="R47" s="46">
        <f t="shared" ca="1" si="11"/>
        <v>0</v>
      </c>
      <c r="S47" s="46">
        <f t="shared" ca="1" si="12"/>
        <v>0</v>
      </c>
      <c r="AJ47" s="61"/>
      <c r="AK47" s="61"/>
      <c r="AL47" s="61"/>
    </row>
    <row r="48" spans="1:38" x14ac:dyDescent="0.3">
      <c r="A48" s="13" t="str">
        <f t="shared" si="5"/>
        <v/>
      </c>
      <c r="B48" s="13">
        <f>Quote!C222</f>
        <v>0</v>
      </c>
      <c r="C48" s="18" t="str">
        <f t="array" ref="C48">IFERROR(INDEX('Trade Category'!$A$2:$A$830,MATCH(Quote!D222,'Trade Category'!$F$2:$F$830,0),0),"")</f>
        <v/>
      </c>
      <c r="D48" s="13" t="str">
        <f>Quote!D222</f>
        <v>-</v>
      </c>
      <c r="E48" s="13">
        <f>Quote!E222</f>
        <v>0</v>
      </c>
      <c r="F48" s="13">
        <f>Quote!F222</f>
        <v>0</v>
      </c>
      <c r="G48" s="13" t="str">
        <f t="shared" si="6"/>
        <v>0-00</v>
      </c>
      <c r="H48" s="13">
        <f>Quote!G222</f>
        <v>0</v>
      </c>
      <c r="I48" s="13">
        <f t="shared" si="9"/>
        <v>0</v>
      </c>
      <c r="J48" s="13">
        <f t="shared" si="1"/>
        <v>0</v>
      </c>
      <c r="K48" s="13"/>
      <c r="L48" s="13"/>
      <c r="M48" s="13"/>
      <c r="N48" s="13"/>
      <c r="O48" s="13"/>
      <c r="P48" s="13"/>
      <c r="Q48" s="46">
        <f t="shared" ca="1" si="10"/>
        <v>0</v>
      </c>
      <c r="R48" s="46">
        <f t="shared" ca="1" si="11"/>
        <v>0</v>
      </c>
      <c r="S48" s="46">
        <f t="shared" ca="1" si="12"/>
        <v>0</v>
      </c>
      <c r="AJ48" s="61"/>
      <c r="AK48" s="61"/>
      <c r="AL48" s="61"/>
    </row>
    <row r="49" spans="1:38" x14ac:dyDescent="0.3">
      <c r="A49" s="13" t="str">
        <f t="shared" si="5"/>
        <v/>
      </c>
      <c r="B49" s="13">
        <f>Quote!C223</f>
        <v>0</v>
      </c>
      <c r="C49" s="18" t="str">
        <f t="array" ref="C49">IFERROR(INDEX('Trade Category'!$A$2:$A$830,MATCH(Quote!D223,'Trade Category'!$F$2:$F$830,0),0),"")</f>
        <v/>
      </c>
      <c r="D49" s="13" t="str">
        <f>Quote!D223</f>
        <v>-</v>
      </c>
      <c r="E49" s="13">
        <f>Quote!E223</f>
        <v>0</v>
      </c>
      <c r="F49" s="13">
        <f>Quote!F223</f>
        <v>0</v>
      </c>
      <c r="G49" s="13" t="str">
        <f t="shared" si="6"/>
        <v>0-00</v>
      </c>
      <c r="H49" s="13">
        <f>Quote!G223</f>
        <v>0</v>
      </c>
      <c r="I49" s="13">
        <f t="shared" si="9"/>
        <v>0</v>
      </c>
      <c r="J49" s="13">
        <f t="shared" si="1"/>
        <v>0</v>
      </c>
      <c r="K49" s="13"/>
      <c r="L49" s="13"/>
      <c r="M49" s="13"/>
      <c r="N49" s="13"/>
      <c r="O49" s="13"/>
      <c r="P49" s="13"/>
      <c r="Q49" s="46">
        <f t="shared" ca="1" si="10"/>
        <v>0</v>
      </c>
      <c r="R49" s="46">
        <f t="shared" ca="1" si="11"/>
        <v>0</v>
      </c>
      <c r="S49" s="46">
        <f t="shared" ca="1" si="12"/>
        <v>0</v>
      </c>
      <c r="AJ49" s="61"/>
      <c r="AK49" s="61"/>
      <c r="AL49" s="61"/>
    </row>
    <row r="50" spans="1:38" x14ac:dyDescent="0.3">
      <c r="A50" s="13" t="str">
        <f t="shared" si="5"/>
        <v/>
      </c>
      <c r="B50" s="13">
        <f>Quote!C224</f>
        <v>0</v>
      </c>
      <c r="C50" s="18" t="str">
        <f t="array" ref="C50">IFERROR(INDEX('Trade Category'!$A$2:$A$830,MATCH(Quote!D224,'Trade Category'!$F$2:$F$830,0),0),"")</f>
        <v/>
      </c>
      <c r="D50" s="13" t="str">
        <f>Quote!D224</f>
        <v>-</v>
      </c>
      <c r="E50" s="13">
        <f>Quote!E224</f>
        <v>0</v>
      </c>
      <c r="F50" s="13">
        <f>Quote!F224</f>
        <v>0</v>
      </c>
      <c r="G50" s="13" t="str">
        <f t="shared" si="6"/>
        <v>0-00</v>
      </c>
      <c r="H50" s="13">
        <f>Quote!G224</f>
        <v>0</v>
      </c>
      <c r="I50" s="13">
        <f t="shared" si="9"/>
        <v>0</v>
      </c>
      <c r="J50" s="13">
        <f t="shared" si="1"/>
        <v>0</v>
      </c>
      <c r="K50" s="13"/>
      <c r="L50" s="13"/>
      <c r="M50" s="13"/>
      <c r="N50" s="13"/>
      <c r="O50" s="13"/>
      <c r="P50" s="13"/>
      <c r="Q50" s="46">
        <f t="shared" ca="1" si="10"/>
        <v>0</v>
      </c>
      <c r="R50" s="46">
        <f t="shared" ca="1" si="11"/>
        <v>0</v>
      </c>
      <c r="S50" s="46">
        <f t="shared" ca="1" si="12"/>
        <v>0</v>
      </c>
      <c r="AJ50" s="61"/>
      <c r="AK50" s="61"/>
      <c r="AL50" s="61"/>
    </row>
    <row r="51" spans="1:38" x14ac:dyDescent="0.3">
      <c r="A51" s="13" t="str">
        <f t="shared" si="5"/>
        <v/>
      </c>
      <c r="B51" s="13">
        <f>Quote!C225</f>
        <v>0</v>
      </c>
      <c r="C51" s="18" t="str">
        <f t="array" ref="C51">IFERROR(INDEX('Trade Category'!$A$2:$A$830,MATCH(Quote!D225,'Trade Category'!$F$2:$F$830,0),0),"")</f>
        <v/>
      </c>
      <c r="D51" s="13" t="str">
        <f>Quote!D225</f>
        <v>-</v>
      </c>
      <c r="E51" s="13">
        <f>Quote!E225</f>
        <v>0</v>
      </c>
      <c r="F51" s="13">
        <f>Quote!F225</f>
        <v>0</v>
      </c>
      <c r="G51" s="13" t="str">
        <f t="shared" si="6"/>
        <v>0-00</v>
      </c>
      <c r="H51" s="13">
        <f>Quote!G225</f>
        <v>0</v>
      </c>
      <c r="I51" s="13">
        <f t="shared" si="9"/>
        <v>0</v>
      </c>
      <c r="J51" s="13">
        <f t="shared" si="1"/>
        <v>0</v>
      </c>
      <c r="K51" s="13"/>
      <c r="L51" s="13"/>
      <c r="M51" s="13"/>
      <c r="N51" s="13"/>
      <c r="O51" s="13"/>
      <c r="P51" s="13"/>
      <c r="Q51" s="46">
        <f t="shared" ca="1" si="10"/>
        <v>0</v>
      </c>
      <c r="R51" s="46">
        <f t="shared" ca="1" si="11"/>
        <v>0</v>
      </c>
      <c r="S51" s="46">
        <f t="shared" ca="1" si="12"/>
        <v>0</v>
      </c>
      <c r="AJ51" s="61"/>
      <c r="AK51" s="61"/>
      <c r="AL51" s="61"/>
    </row>
    <row r="52" spans="1:38" x14ac:dyDescent="0.3">
      <c r="A52" s="13" t="str">
        <f t="shared" si="5"/>
        <v/>
      </c>
      <c r="B52" s="13">
        <f>Quote!C226</f>
        <v>0</v>
      </c>
      <c r="C52" s="18" t="str">
        <f t="array" ref="C52">IFERROR(INDEX('Trade Category'!$A$2:$A$830,MATCH(Quote!D226,'Trade Category'!$F$2:$F$830,0),0),"")</f>
        <v/>
      </c>
      <c r="D52" s="13" t="str">
        <f>Quote!D226</f>
        <v>-</v>
      </c>
      <c r="E52" s="13">
        <f>Quote!E226</f>
        <v>0</v>
      </c>
      <c r="F52" s="13">
        <f>Quote!F226</f>
        <v>0</v>
      </c>
      <c r="G52" s="13" t="str">
        <f t="shared" si="6"/>
        <v>0-00</v>
      </c>
      <c r="H52" s="13">
        <f>Quote!G226</f>
        <v>0</v>
      </c>
      <c r="I52" s="13">
        <f t="shared" si="9"/>
        <v>0</v>
      </c>
      <c r="J52" s="13">
        <f t="shared" si="1"/>
        <v>0</v>
      </c>
      <c r="K52" s="13"/>
      <c r="L52" s="13"/>
      <c r="M52" s="13"/>
      <c r="N52" s="13"/>
      <c r="O52" s="13"/>
      <c r="P52" s="13"/>
      <c r="Q52" s="46">
        <f t="shared" ca="1" si="10"/>
        <v>0</v>
      </c>
      <c r="R52" s="46">
        <f t="shared" ca="1" si="11"/>
        <v>0</v>
      </c>
      <c r="S52" s="46">
        <f t="shared" ca="1" si="12"/>
        <v>0</v>
      </c>
      <c r="AJ52" s="61"/>
      <c r="AK52" s="61"/>
      <c r="AL52" s="61"/>
    </row>
    <row r="53" spans="1:38" x14ac:dyDescent="0.3">
      <c r="A53" s="13" t="str">
        <f t="shared" si="5"/>
        <v/>
      </c>
      <c r="B53" s="13">
        <f>Quote!C227</f>
        <v>0</v>
      </c>
      <c r="C53" s="18" t="str">
        <f t="array" ref="C53">IFERROR(INDEX('Trade Category'!$A$2:$A$830,MATCH(Quote!D227,'Trade Category'!$F$2:$F$830,0),0),"")</f>
        <v/>
      </c>
      <c r="D53" s="13" t="str">
        <f>Quote!D227</f>
        <v>-</v>
      </c>
      <c r="E53" s="13">
        <f>Quote!E227</f>
        <v>0</v>
      </c>
      <c r="F53" s="13">
        <f>Quote!F227</f>
        <v>0</v>
      </c>
      <c r="G53" s="13" t="str">
        <f t="shared" si="6"/>
        <v>0-00</v>
      </c>
      <c r="H53" s="13">
        <f>Quote!G227</f>
        <v>0</v>
      </c>
      <c r="I53" s="13">
        <f t="shared" si="9"/>
        <v>0</v>
      </c>
      <c r="J53" s="13">
        <f t="shared" si="1"/>
        <v>0</v>
      </c>
      <c r="K53" s="13"/>
      <c r="L53" s="13"/>
      <c r="M53" s="13"/>
      <c r="N53" s="13"/>
      <c r="O53" s="13"/>
      <c r="P53" s="13"/>
      <c r="Q53" s="46">
        <f t="shared" ca="1" si="10"/>
        <v>0</v>
      </c>
      <c r="R53" s="46">
        <f t="shared" ca="1" si="11"/>
        <v>0</v>
      </c>
      <c r="S53" s="46">
        <f t="shared" ca="1" si="12"/>
        <v>0</v>
      </c>
      <c r="AJ53" s="61"/>
      <c r="AK53" s="61"/>
      <c r="AL53" s="61"/>
    </row>
    <row r="54" spans="1:38" x14ac:dyDescent="0.3">
      <c r="A54" s="13" t="str">
        <f t="shared" si="5"/>
        <v/>
      </c>
      <c r="B54" s="13">
        <f>Quote!C228</f>
        <v>0</v>
      </c>
      <c r="C54" s="18" t="str">
        <f t="array" ref="C54">IFERROR(INDEX('Trade Category'!$A$2:$A$830,MATCH(Quote!D228,'Trade Category'!$F$2:$F$830,0),0),"")</f>
        <v/>
      </c>
      <c r="D54" s="13" t="str">
        <f>Quote!D228</f>
        <v>-</v>
      </c>
      <c r="E54" s="13">
        <f>Quote!E228</f>
        <v>0</v>
      </c>
      <c r="F54" s="13">
        <f>Quote!F228</f>
        <v>0</v>
      </c>
      <c r="G54" s="13" t="str">
        <f t="shared" si="6"/>
        <v>0-00</v>
      </c>
      <c r="H54" s="13">
        <f>Quote!G228</f>
        <v>0</v>
      </c>
      <c r="I54" s="13">
        <f t="shared" si="9"/>
        <v>0</v>
      </c>
      <c r="J54" s="13">
        <f t="shared" si="1"/>
        <v>0</v>
      </c>
      <c r="K54" s="13"/>
      <c r="L54" s="13"/>
      <c r="M54" s="13"/>
      <c r="N54" s="13"/>
      <c r="O54" s="13"/>
      <c r="P54" s="13"/>
      <c r="Q54" s="46">
        <f t="shared" ca="1" si="10"/>
        <v>0</v>
      </c>
      <c r="R54" s="46">
        <f t="shared" ca="1" si="11"/>
        <v>0</v>
      </c>
      <c r="S54" s="46">
        <f t="shared" ca="1" si="12"/>
        <v>0</v>
      </c>
      <c r="AJ54" s="61"/>
      <c r="AK54" s="61"/>
      <c r="AL54" s="61"/>
    </row>
    <row r="57" spans="1:38" x14ac:dyDescent="0.3">
      <c r="B57" s="16" t="s">
        <v>49</v>
      </c>
      <c r="C57" s="16" t="s">
        <v>49</v>
      </c>
      <c r="E57" s="148" t="s">
        <v>13246</v>
      </c>
      <c r="F57" s="148" t="s">
        <v>13243</v>
      </c>
      <c r="G57" s="148" t="s">
        <v>13244</v>
      </c>
      <c r="I57" s="13" t="s">
        <v>11423</v>
      </c>
      <c r="J57" s="154" t="s">
        <v>11424</v>
      </c>
    </row>
    <row r="58" spans="1:38" x14ac:dyDescent="0.3">
      <c r="B58" s="1">
        <f>IF(old_new_uin="old",F58,new_cont1)</f>
        <v>0</v>
      </c>
      <c r="C58" s="50">
        <f ca="1">uw_final_cont_1</f>
        <v>0</v>
      </c>
      <c r="E58" s="1"/>
      <c r="F58" s="1">
        <f>1%</f>
        <v>0.01</v>
      </c>
      <c r="G58" s="1">
        <f ca="1">IFERROR(VLOOKUP($V$26,$U$17:$X$23,2,0),0)</f>
        <v>0</v>
      </c>
      <c r="I58" s="13">
        <f>IF(AND(producer_type="Agent Corporate",worker_total_wages&gt;50000000),1,0)</f>
        <v>0</v>
      </c>
      <c r="J58" s="13">
        <f>IF(OR(msme_customer="no",AND(msme_customer="yes",producer_type="IMF")),0,1)</f>
        <v>0</v>
      </c>
    </row>
    <row r="59" spans="1:38" x14ac:dyDescent="0.3">
      <c r="B59" s="1">
        <f>IF(old_new_uin="old",F59,new_cont2)</f>
        <v>0</v>
      </c>
      <c r="C59" s="50">
        <f ca="1">uw_final_cont_2</f>
        <v>0</v>
      </c>
      <c r="E59" s="1"/>
      <c r="F59" s="1">
        <f>98%</f>
        <v>0.98</v>
      </c>
      <c r="G59" s="1">
        <f ca="1">IFERROR(VLOOKUP($V$26,$U$17:$X$23,3,0),0)</f>
        <v>0</v>
      </c>
    </row>
    <row r="60" spans="1:38" x14ac:dyDescent="0.3">
      <c r="B60" s="1">
        <f>IF(old_new_uin="old",F60,new_cont3)</f>
        <v>0</v>
      </c>
      <c r="C60" s="50">
        <f ca="1">uw_final_cont_3</f>
        <v>0</v>
      </c>
      <c r="E60" s="1"/>
      <c r="F60" s="1">
        <f>1%</f>
        <v>0.01</v>
      </c>
      <c r="G60" s="1">
        <f ca="1">IFERROR(VLOOKUP($V$26,$U$17:$X$23,4,0),0)</f>
        <v>0</v>
      </c>
    </row>
    <row r="62" spans="1:38" ht="28.8" x14ac:dyDescent="0.3">
      <c r="B62" s="12" t="s">
        <v>11284</v>
      </c>
      <c r="D62" s="6" t="s">
        <v>11285</v>
      </c>
      <c r="F62" s="6" t="s">
        <v>11327</v>
      </c>
    </row>
    <row r="63" spans="1:38" x14ac:dyDescent="0.3">
      <c r="B63" s="9"/>
      <c r="D63" s="56"/>
      <c r="F63" s="9"/>
    </row>
    <row r="65" spans="2:18" ht="19.8" customHeight="1" x14ac:dyDescent="0.3">
      <c r="M65" s="113"/>
      <c r="N65" s="115"/>
    </row>
    <row r="66" spans="2:18" x14ac:dyDescent="0.3">
      <c r="B66" s="6" t="s">
        <v>11422</v>
      </c>
      <c r="D66" s="6" t="s">
        <v>11425</v>
      </c>
      <c r="F66" s="6" t="s">
        <v>11325</v>
      </c>
      <c r="Q66" s="53"/>
      <c r="R66" s="51"/>
    </row>
    <row r="67" spans="2:18" x14ac:dyDescent="0.3">
      <c r="B67" s="9"/>
      <c r="D67" s="9"/>
      <c r="F67" s="9"/>
      <c r="M67" s="121"/>
      <c r="P67" s="141"/>
    </row>
    <row r="69" spans="2:18" x14ac:dyDescent="0.3">
      <c r="M69" s="116"/>
      <c r="N69" s="116"/>
      <c r="P69" s="155"/>
    </row>
    <row r="70" spans="2:18" x14ac:dyDescent="0.3">
      <c r="B70" s="3" t="s">
        <v>0</v>
      </c>
      <c r="C70" s="4"/>
      <c r="D70" s="4" t="s">
        <v>1</v>
      </c>
      <c r="E70" s="4"/>
      <c r="F70" s="5" t="s">
        <v>11283</v>
      </c>
      <c r="H70" s="6" t="s">
        <v>12352</v>
      </c>
      <c r="J70" s="6" t="s">
        <v>12364</v>
      </c>
    </row>
    <row r="71" spans="2:18" x14ac:dyDescent="0.3">
      <c r="B71" s="10"/>
      <c r="D71" s="9"/>
      <c r="F71" s="11"/>
      <c r="H71" s="9"/>
      <c r="J71" s="9"/>
      <c r="M71" s="120"/>
      <c r="N71" s="117"/>
    </row>
    <row r="72" spans="2:18" x14ac:dyDescent="0.3">
      <c r="B72" s="10"/>
      <c r="C72" s="9"/>
      <c r="D72" s="9"/>
      <c r="E72" s="9"/>
      <c r="F72" s="11"/>
      <c r="P72" s="51"/>
    </row>
    <row r="73" spans="2:18" x14ac:dyDescent="0.3">
      <c r="M73" s="122"/>
      <c r="P73" s="51"/>
    </row>
    <row r="75" spans="2:18" x14ac:dyDescent="0.3">
      <c r="B75" s="6" t="s">
        <v>11454</v>
      </c>
      <c r="D75" s="6" t="s">
        <v>11455</v>
      </c>
      <c r="F75" s="6" t="s">
        <v>11456</v>
      </c>
      <c r="H75" s="6" t="s">
        <v>11457</v>
      </c>
      <c r="J75" s="6" t="s">
        <v>12343</v>
      </c>
      <c r="M75" s="116"/>
      <c r="N75" s="116"/>
    </row>
    <row r="76" spans="2:18" x14ac:dyDescent="0.3">
      <c r="B76" s="9"/>
      <c r="D76" s="9"/>
      <c r="F76" s="9"/>
      <c r="H76" s="9"/>
      <c r="J76" s="9"/>
    </row>
    <row r="77" spans="2:18" x14ac:dyDescent="0.3">
      <c r="F77" s="112"/>
      <c r="H77" s="112"/>
    </row>
    <row r="78" spans="2:18" x14ac:dyDescent="0.3">
      <c r="J78" s="6">
        <f>IF(AND(internal_uw_app=1,medex_pp_flag&lt;medex_per_person_limit),1,0)</f>
        <v>0</v>
      </c>
      <c r="K78" s="6">
        <f>IF(AND(internal_uw_app=1,medex_agg_flag&lt;medex_aggregate_limit),1,0)</f>
        <v>0</v>
      </c>
    </row>
    <row r="79" spans="2:18" x14ac:dyDescent="0.3">
      <c r="B79" s="6" t="s">
        <v>12344</v>
      </c>
      <c r="D79" s="6" t="s">
        <v>12345</v>
      </c>
      <c r="F79" s="6" t="s">
        <v>12346</v>
      </c>
      <c r="H79" s="6" t="s">
        <v>12347</v>
      </c>
      <c r="J79" s="6" t="s">
        <v>13084</v>
      </c>
      <c r="K79" s="6" t="s">
        <v>13085</v>
      </c>
    </row>
    <row r="80" spans="2:18" x14ac:dyDescent="0.3">
      <c r="B80" s="9"/>
      <c r="D80" s="9"/>
      <c r="F80" s="9"/>
      <c r="H80" s="9"/>
      <c r="J80" s="6" t="str">
        <f>IF(internal_uw_app=1,"",CONCATENATE("Max Limit : ",medex_pp_flag))</f>
        <v xml:space="preserve">Max Limit : </v>
      </c>
      <c r="K80" s="6" t="str">
        <f>IF(internal_uw_app=1,"",CONCATENATE("Max Limit : ",medex_agg_flag))</f>
        <v xml:space="preserve">Max Limit : </v>
      </c>
    </row>
    <row r="81" spans="2:14" x14ac:dyDescent="0.3">
      <c r="J81" s="6" t="str">
        <f>IF(medex_pp_uw_error=1,"Medex Per Person Limit is exceeded.","")</f>
        <v/>
      </c>
      <c r="K81" s="6" t="str">
        <f>IF(medex_agg_uw_error=1,"Medex Aggregate Limit is exceeded.","")</f>
        <v/>
      </c>
    </row>
    <row r="82" spans="2:14" x14ac:dyDescent="0.3">
      <c r="J82" s="6">
        <f>IF(AND(internal_uw_app=1,od_pp_flag&lt;od_per_person_limit),1,0)</f>
        <v>0</v>
      </c>
      <c r="K82" s="6">
        <f>IF(AND(internal_uw_app=1,od_agg_flag&lt;od_aggregate_limit),1,0)</f>
        <v>0</v>
      </c>
    </row>
    <row r="83" spans="2:14" x14ac:dyDescent="0.3">
      <c r="B83" s="6" t="s">
        <v>12348</v>
      </c>
      <c r="D83" s="6" t="s">
        <v>12349</v>
      </c>
      <c r="F83" s="6" t="s">
        <v>12350</v>
      </c>
      <c r="H83" s="6" t="s">
        <v>12351</v>
      </c>
      <c r="J83" s="6" t="s">
        <v>13086</v>
      </c>
      <c r="K83" s="6" t="s">
        <v>13087</v>
      </c>
    </row>
    <row r="84" spans="2:14" x14ac:dyDescent="0.3">
      <c r="B84" s="9"/>
      <c r="D84" s="9"/>
      <c r="F84" s="9"/>
      <c r="H84" s="9"/>
      <c r="J84" s="6" t="str">
        <f>IF(internal_uw_app=1,"",CONCATENATE("Max Limit : ",od_pp_flag))</f>
        <v xml:space="preserve">Max Limit : </v>
      </c>
      <c r="K84" s="6" t="str">
        <f>IF(internal_uw_app=1,"",CONCATENATE("Max Limit : ",od_agg_flag))</f>
        <v xml:space="preserve">Max Limit : </v>
      </c>
    </row>
    <row r="85" spans="2:14" x14ac:dyDescent="0.3">
      <c r="J85" s="6" t="str">
        <f>IF(od_pp_uw_error=1,"OD Per Person Limit is exceeded.","")</f>
        <v/>
      </c>
      <c r="K85" s="6" t="str">
        <f>IF(od_agg_uw_error=1,"OD Aggregate Limit is exceeded.","")</f>
        <v/>
      </c>
    </row>
    <row r="87" spans="2:14" x14ac:dyDescent="0.3">
      <c r="B87" s="6" t="s">
        <v>11450</v>
      </c>
      <c r="D87" s="6">
        <v>0</v>
      </c>
      <c r="E87" s="6">
        <f>IF(internal_uw_app=1,"",IF(AND(producer_min_dis&lt;=load_disc_perc,producer_max_load&gt;=load_disc_perc),0,1))</f>
        <v>0</v>
      </c>
      <c r="H87" s="6" t="s">
        <v>11444</v>
      </c>
    </row>
    <row r="88" spans="2:14" x14ac:dyDescent="0.3">
      <c r="B88" s="6" t="s">
        <v>11451</v>
      </c>
      <c r="D88" s="6" t="str">
        <f>IF(internal_uw_app=1,IF(AND(uw_min_dis&lt;=load_disc_perc,uw_max_load&gt;=load_disc_perc),0,1),"")</f>
        <v/>
      </c>
      <c r="H88" s="9">
        <f>IF(loading_discount="",0,SUM(D87:D88))</f>
        <v>0</v>
      </c>
      <c r="J88" s="207"/>
      <c r="K88" s="207"/>
      <c r="L88" s="207"/>
      <c r="M88" s="207"/>
      <c r="N88" s="183"/>
    </row>
    <row r="89" spans="2:14" x14ac:dyDescent="0.3">
      <c r="J89" s="184"/>
      <c r="K89" s="184"/>
      <c r="L89" s="185"/>
      <c r="N89" s="140"/>
    </row>
    <row r="90" spans="2:14" x14ac:dyDescent="0.3">
      <c r="H90" s="6" t="str">
        <f>IF(load_disc_check=1,"Loading &amp; Discount % exceed the limit","")</f>
        <v/>
      </c>
      <c r="J90" s="184"/>
      <c r="K90" s="184"/>
      <c r="L90" s="185"/>
      <c r="N90" s="140"/>
    </row>
    <row r="91" spans="2:14" x14ac:dyDescent="0.3">
      <c r="B91" s="6" t="s">
        <v>11426</v>
      </c>
      <c r="H91" s="6" t="str">
        <f>"Please enter L/D parameters (In case of Approval)"</f>
        <v>Please enter L/D parameters (In case of Approval)</v>
      </c>
      <c r="J91" s="184"/>
      <c r="K91" s="184"/>
      <c r="L91" s="185"/>
      <c r="N91" s="140"/>
    </row>
    <row r="92" spans="2:14" x14ac:dyDescent="0.3">
      <c r="B92" s="6" t="s">
        <v>11427</v>
      </c>
      <c r="C92" s="53">
        <f>IF(quote_state_code=comm_state_code,9%,0%)</f>
        <v>0.09</v>
      </c>
      <c r="D92" s="6">
        <f ca="1">final_premium*'Worker Premium Calc'!C92</f>
        <v>0</v>
      </c>
      <c r="J92" s="184"/>
      <c r="K92" s="184"/>
      <c r="L92" s="185"/>
      <c r="N92" s="140"/>
    </row>
    <row r="93" spans="2:14" x14ac:dyDescent="0.3">
      <c r="B93" s="6" t="s">
        <v>11428</v>
      </c>
      <c r="C93" s="53">
        <f>IF(quote_state_code=comm_state_code,9%,0%)</f>
        <v>0.09</v>
      </c>
      <c r="D93" s="6">
        <f ca="1">final_premium*'Worker Premium Calc'!C93</f>
        <v>0</v>
      </c>
    </row>
    <row r="94" spans="2:14" x14ac:dyDescent="0.3">
      <c r="B94" s="6" t="s">
        <v>11429</v>
      </c>
      <c r="C94" s="53">
        <f>IF(quote_state_code&lt;&gt;comm_state_code,18%,0%)</f>
        <v>0</v>
      </c>
      <c r="D94" s="6">
        <f ca="1">final_premium*'Worker Premium Calc'!C94</f>
        <v>0</v>
      </c>
      <c r="J94" s="118" t="s">
        <v>13212</v>
      </c>
      <c r="K94" s="194">
        <f ca="1">IF(annual_exp_policy_premium=0,K104,annual_exp_policy_premium)</f>
        <v>0</v>
      </c>
    </row>
    <row r="95" spans="2:14" x14ac:dyDescent="0.3">
      <c r="J95" s="118" t="s">
        <v>13300</v>
      </c>
      <c r="K95" s="24">
        <f>nb_premium</f>
        <v>0</v>
      </c>
    </row>
    <row r="96" spans="2:14" x14ac:dyDescent="0.3">
      <c r="J96" s="118" t="s">
        <v>13311</v>
      </c>
      <c r="K96" s="193">
        <f ca="1">IFERROR((K95-K94)/K94,0)</f>
        <v>0</v>
      </c>
    </row>
    <row r="97" spans="10:13" x14ac:dyDescent="0.3">
      <c r="J97" s="118" t="s">
        <v>13312</v>
      </c>
      <c r="K97" s="181"/>
      <c r="M97" s="168"/>
    </row>
    <row r="98" spans="10:13" x14ac:dyDescent="0.3">
      <c r="J98" s="118" t="s">
        <v>13313</v>
      </c>
      <c r="K98" s="24">
        <f ca="1">IFERROR(K94*K97,0)</f>
        <v>0</v>
      </c>
    </row>
    <row r="101" spans="10:13" x14ac:dyDescent="0.3">
      <c r="J101" s="118" t="s">
        <v>12296</v>
      </c>
      <c r="K101" s="191">
        <f ca="1">TODAY()</f>
        <v>45344</v>
      </c>
    </row>
    <row r="102" spans="10:13" x14ac:dyDescent="0.3">
      <c r="J102" s="118" t="s">
        <v>13326</v>
      </c>
      <c r="K102" s="192">
        <f ca="1">IF(MONTH(DATE(YEAR(K101),2,29))=2,366,365)</f>
        <v>366</v>
      </c>
    </row>
    <row r="103" spans="10:13" x14ac:dyDescent="0.3">
      <c r="J103" s="118" t="s">
        <v>13329</v>
      </c>
      <c r="K103" s="13"/>
    </row>
    <row r="104" spans="10:13" x14ac:dyDescent="0.3">
      <c r="J104" s="118" t="s">
        <v>13212</v>
      </c>
      <c r="K104" s="192">
        <f>exp_policy_premium</f>
        <v>0</v>
      </c>
    </row>
    <row r="105" spans="10:13" x14ac:dyDescent="0.3">
      <c r="J105" s="118" t="s">
        <v>13334</v>
      </c>
      <c r="K105" s="85">
        <f>IFERROR((K104/no_of_days),0)</f>
        <v>0</v>
      </c>
    </row>
    <row r="106" spans="10:13" x14ac:dyDescent="0.3">
      <c r="J106" s="118" t="s">
        <v>13331</v>
      </c>
      <c r="K106" s="85">
        <f ca="1">IFERROR((K104/no_of_days)*K102,0)</f>
        <v>0</v>
      </c>
    </row>
    <row r="107" spans="10:13" x14ac:dyDescent="0.3">
      <c r="J107" s="118" t="s">
        <v>13330</v>
      </c>
      <c r="K107" s="85">
        <f ca="1">IF(no_of_days&gt;=K102,K104,K106)</f>
        <v>0</v>
      </c>
    </row>
  </sheetData>
  <mergeCells count="2">
    <mergeCell ref="J88:K88"/>
    <mergeCell ref="L88:M88"/>
  </mergeCells>
  <phoneticPr fontId="9" type="noConversion"/>
  <dataValidations disablePrompts="1" count="1">
    <dataValidation type="list" allowBlank="1" showInputMessage="1" showErrorMessage="1" sqref="J71" xr:uid="{A0433C95-64FE-4034-A2C5-E75F3B1F31B6}">
      <formula1>"100,200,300,400,500"</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284CC-1442-465D-BD72-91A9CD73595E}">
  <dimension ref="B2:G54"/>
  <sheetViews>
    <sheetView workbookViewId="0">
      <selection activeCell="G4" sqref="G4"/>
    </sheetView>
  </sheetViews>
  <sheetFormatPr defaultRowHeight="14.4" x14ac:dyDescent="0.3"/>
  <cols>
    <col min="2" max="2" width="27.44140625" bestFit="1" customWidth="1"/>
    <col min="3" max="3" width="23.44140625" bestFit="1" customWidth="1"/>
    <col min="4" max="5" width="21.88671875" bestFit="1" customWidth="1"/>
    <col min="6" max="6" width="27.44140625" bestFit="1" customWidth="1"/>
    <col min="7" max="8" width="10.33203125" bestFit="1" customWidth="1"/>
  </cols>
  <sheetData>
    <row r="2" spans="2:7" x14ac:dyDescent="0.3">
      <c r="B2" s="198" t="s">
        <v>66</v>
      </c>
      <c r="C2" s="198"/>
      <c r="D2" s="198"/>
      <c r="E2" s="198"/>
      <c r="F2" s="198"/>
    </row>
    <row r="4" spans="2:7" x14ac:dyDescent="0.3">
      <c r="B4" s="118" t="s">
        <v>44</v>
      </c>
      <c r="C4" s="118" t="s">
        <v>13251</v>
      </c>
      <c r="D4" s="118" t="s">
        <v>13221</v>
      </c>
      <c r="E4" s="118" t="s">
        <v>13220</v>
      </c>
      <c r="F4" s="118" t="s">
        <v>13219</v>
      </c>
      <c r="G4" s="6">
        <f>COUNTIF(G5:G54,"Yes")</f>
        <v>0</v>
      </c>
    </row>
    <row r="5" spans="2:7" x14ac:dyDescent="0.3">
      <c r="B5" s="13"/>
      <c r="C5" s="13"/>
      <c r="D5" s="188" t="str">
        <f>IFERROR(VLOOKUP(B5,'Trade Category Idnt Master'!A:D,3,0),"")</f>
        <v/>
      </c>
      <c r="E5" s="13" t="str">
        <f>IFERROR(VLOOKUP(B5,'Trade Category Idnt Master'!A:D,4,0),"")</f>
        <v/>
      </c>
      <c r="F5" s="13" t="str">
        <f>CONCATENATE(D5,"-",E5)</f>
        <v>-</v>
      </c>
      <c r="G5" s="190" t="str">
        <f>IF(B5="","",IFERROR(VLOOKUP(B5,'Trade Category Idnt Master'!A:A,1,0),"Yes"))</f>
        <v/>
      </c>
    </row>
    <row r="6" spans="2:7" x14ac:dyDescent="0.3">
      <c r="B6" s="13"/>
      <c r="C6" s="13"/>
      <c r="D6" s="188" t="str">
        <f>IFERROR(VLOOKUP(B6,'Trade Category Idnt Master'!A:D,3,0),"")</f>
        <v/>
      </c>
      <c r="E6" s="13" t="str">
        <f>IFERROR(VLOOKUP(B6,'Trade Category Idnt Master'!A:D,4,0),"")</f>
        <v/>
      </c>
      <c r="F6" s="13" t="str">
        <f t="shared" ref="F6:F54" si="0">CONCATENATE(D6,"-",E6)</f>
        <v>-</v>
      </c>
      <c r="G6" s="190" t="str">
        <f>IF(B6="","",IFERROR(VLOOKUP(B6,'Trade Category Idnt Master'!A:A,1,0),"Yes"))</f>
        <v/>
      </c>
    </row>
    <row r="7" spans="2:7" x14ac:dyDescent="0.3">
      <c r="B7" s="13"/>
      <c r="C7" s="13"/>
      <c r="D7" s="188" t="str">
        <f>IFERROR(VLOOKUP(B7,'Trade Category Idnt Master'!A:D,3,0),"")</f>
        <v/>
      </c>
      <c r="E7" s="13" t="str">
        <f>IFERROR(VLOOKUP(B7,'Trade Category Idnt Master'!A:D,4,0),"")</f>
        <v/>
      </c>
      <c r="F7" s="13" t="str">
        <f t="shared" si="0"/>
        <v>-</v>
      </c>
      <c r="G7" s="190" t="str">
        <f>IF(B7="","",IFERROR(VLOOKUP(B7,'Trade Category Idnt Master'!A:A,1,0),"Yes"))</f>
        <v/>
      </c>
    </row>
    <row r="8" spans="2:7" x14ac:dyDescent="0.3">
      <c r="B8" s="13"/>
      <c r="C8" s="13"/>
      <c r="D8" s="188" t="str">
        <f>IFERROR(VLOOKUP(B8,'Trade Category Idnt Master'!A:D,3,0),"")</f>
        <v/>
      </c>
      <c r="E8" s="13" t="str">
        <f>IFERROR(VLOOKUP(B8,'Trade Category Idnt Master'!A:D,4,0),"")</f>
        <v/>
      </c>
      <c r="F8" s="13" t="str">
        <f t="shared" si="0"/>
        <v>-</v>
      </c>
      <c r="G8" s="190" t="str">
        <f>IF(B8="","",IFERROR(VLOOKUP(B8,'Trade Category Idnt Master'!A:A,1,0),"Yes"))</f>
        <v/>
      </c>
    </row>
    <row r="9" spans="2:7" x14ac:dyDescent="0.3">
      <c r="B9" s="13"/>
      <c r="C9" s="13"/>
      <c r="D9" s="188" t="str">
        <f>IFERROR(VLOOKUP(B9,'Trade Category Idnt Master'!A:D,3,0),"")</f>
        <v/>
      </c>
      <c r="E9" s="13" t="str">
        <f>IFERROR(VLOOKUP(B9,'Trade Category Idnt Master'!A:D,4,0),"")</f>
        <v/>
      </c>
      <c r="F9" s="13" t="str">
        <f t="shared" si="0"/>
        <v>-</v>
      </c>
      <c r="G9" s="190"/>
    </row>
    <row r="10" spans="2:7" x14ac:dyDescent="0.3">
      <c r="B10" s="13"/>
      <c r="C10" s="13"/>
      <c r="D10" s="188" t="str">
        <f>IFERROR(VLOOKUP(B10,'Trade Category Idnt Master'!A:D,3,0),"")</f>
        <v/>
      </c>
      <c r="E10" s="13" t="str">
        <f>IFERROR(VLOOKUP(B10,'Trade Category Idnt Master'!A:D,4,0),"")</f>
        <v/>
      </c>
      <c r="F10" s="13" t="str">
        <f t="shared" si="0"/>
        <v>-</v>
      </c>
      <c r="G10" s="190" t="str">
        <f>IF(B10="","",IFERROR(VLOOKUP(B10,'Trade Category Idnt Master'!A:A,1,0),"Yes"))</f>
        <v/>
      </c>
    </row>
    <row r="11" spans="2:7" x14ac:dyDescent="0.3">
      <c r="B11" s="13"/>
      <c r="C11" s="13"/>
      <c r="D11" s="188" t="str">
        <f>IFERROR(VLOOKUP(B11,'Trade Category Idnt Master'!A:D,3,0),"")</f>
        <v/>
      </c>
      <c r="E11" s="13" t="str">
        <f>IFERROR(VLOOKUP(B11,'Trade Category Idnt Master'!A:D,4,0),"")</f>
        <v/>
      </c>
      <c r="F11" s="13" t="str">
        <f t="shared" si="0"/>
        <v>-</v>
      </c>
      <c r="G11" s="190" t="str">
        <f>IF(B11="","",IFERROR(VLOOKUP(B11,'Trade Category Idnt Master'!A:A,1,0),"Yes"))</f>
        <v/>
      </c>
    </row>
    <row r="12" spans="2:7" x14ac:dyDescent="0.3">
      <c r="B12" s="13"/>
      <c r="C12" s="13"/>
      <c r="D12" s="188" t="str">
        <f>IFERROR(VLOOKUP(B12,'Trade Category Idnt Master'!A:D,3,0),"")</f>
        <v/>
      </c>
      <c r="E12" s="13" t="str">
        <f>IFERROR(VLOOKUP(B12,'Trade Category Idnt Master'!A:D,4,0),"")</f>
        <v/>
      </c>
      <c r="F12" s="13" t="str">
        <f t="shared" si="0"/>
        <v>-</v>
      </c>
      <c r="G12" s="190" t="str">
        <f>IF(B12="","",IFERROR(VLOOKUP(B12,'Trade Category Idnt Master'!A:A,1,0),"Yes"))</f>
        <v/>
      </c>
    </row>
    <row r="13" spans="2:7" x14ac:dyDescent="0.3">
      <c r="B13" s="13"/>
      <c r="C13" s="13"/>
      <c r="D13" s="188" t="str">
        <f>IFERROR(VLOOKUP(B13,'Trade Category Idnt Master'!A:D,3,0),"")</f>
        <v/>
      </c>
      <c r="E13" s="13" t="str">
        <f>IFERROR(VLOOKUP(B13,'Trade Category Idnt Master'!A:D,4,0),"")</f>
        <v/>
      </c>
      <c r="F13" s="13" t="str">
        <f t="shared" si="0"/>
        <v>-</v>
      </c>
      <c r="G13" s="190" t="str">
        <f>IF(B13="","",IFERROR(VLOOKUP(B13,'Trade Category Idnt Master'!A:A,1,0),"Yes"))</f>
        <v/>
      </c>
    </row>
    <row r="14" spans="2:7" x14ac:dyDescent="0.3">
      <c r="B14" s="13"/>
      <c r="C14" s="13"/>
      <c r="D14" s="188" t="str">
        <f>IFERROR(VLOOKUP(B14,'Trade Category Idnt Master'!A:D,3,0),"")</f>
        <v/>
      </c>
      <c r="E14" s="13" t="str">
        <f>IFERROR(VLOOKUP(B14,'Trade Category Idnt Master'!A:D,4,0),"")</f>
        <v/>
      </c>
      <c r="F14" s="13" t="str">
        <f t="shared" si="0"/>
        <v>-</v>
      </c>
      <c r="G14" s="190" t="str">
        <f>IF(B14="","",IFERROR(VLOOKUP(B14,'Trade Category Idnt Master'!A:A,1,0),"Yes"))</f>
        <v/>
      </c>
    </row>
    <row r="15" spans="2:7" x14ac:dyDescent="0.3">
      <c r="B15" s="13"/>
      <c r="C15" s="13"/>
      <c r="D15" s="188" t="str">
        <f>IFERROR(VLOOKUP(B15,'Trade Category Idnt Master'!A:D,3,0),"")</f>
        <v/>
      </c>
      <c r="E15" s="13" t="str">
        <f>IFERROR(VLOOKUP(B15,'Trade Category Idnt Master'!A:D,4,0),"")</f>
        <v/>
      </c>
      <c r="F15" s="13" t="str">
        <f t="shared" si="0"/>
        <v>-</v>
      </c>
      <c r="G15" s="190" t="str">
        <f>IF(B15="","",IFERROR(VLOOKUP(B15,'Trade Category Idnt Master'!A:A,1,0),"Yes"))</f>
        <v/>
      </c>
    </row>
    <row r="16" spans="2:7" x14ac:dyDescent="0.3">
      <c r="B16" s="13"/>
      <c r="C16" s="13"/>
      <c r="D16" s="188" t="str">
        <f>IFERROR(VLOOKUP(B16,'Trade Category Idnt Master'!A:D,3,0),"")</f>
        <v/>
      </c>
      <c r="E16" s="13" t="str">
        <f>IFERROR(VLOOKUP(B16,'Trade Category Idnt Master'!A:D,4,0),"")</f>
        <v/>
      </c>
      <c r="F16" s="13" t="str">
        <f t="shared" si="0"/>
        <v>-</v>
      </c>
      <c r="G16" s="190" t="str">
        <f>IF(B16="","",IFERROR(VLOOKUP(B16,'Trade Category Idnt Master'!A:A,1,0),"Yes"))</f>
        <v/>
      </c>
    </row>
    <row r="17" spans="2:7" x14ac:dyDescent="0.3">
      <c r="B17" s="13"/>
      <c r="C17" s="13"/>
      <c r="D17" s="188" t="str">
        <f>IFERROR(VLOOKUP(B17,'Trade Category Idnt Master'!A:D,3,0),"")</f>
        <v/>
      </c>
      <c r="E17" s="13" t="str">
        <f>IFERROR(VLOOKUP(B17,'Trade Category Idnt Master'!A:D,4,0),"")</f>
        <v/>
      </c>
      <c r="F17" s="13" t="str">
        <f t="shared" si="0"/>
        <v>-</v>
      </c>
      <c r="G17" s="190" t="str">
        <f>IF(B17="","",IFERROR(VLOOKUP(B17,'Trade Category Idnt Master'!A:A,1,0),"Yes"))</f>
        <v/>
      </c>
    </row>
    <row r="18" spans="2:7" x14ac:dyDescent="0.3">
      <c r="B18" s="13"/>
      <c r="C18" s="13"/>
      <c r="D18" s="188" t="str">
        <f>IFERROR(VLOOKUP(B18,'Trade Category Idnt Master'!A:D,3,0),"")</f>
        <v/>
      </c>
      <c r="E18" s="13" t="str">
        <f>IFERROR(VLOOKUP(B18,'Trade Category Idnt Master'!A:D,4,0),"")</f>
        <v/>
      </c>
      <c r="F18" s="13" t="str">
        <f t="shared" si="0"/>
        <v>-</v>
      </c>
      <c r="G18" s="190" t="str">
        <f>IF(B18="","",IFERROR(VLOOKUP(B18,'Trade Category Idnt Master'!A:A,1,0),"Yes"))</f>
        <v/>
      </c>
    </row>
    <row r="19" spans="2:7" x14ac:dyDescent="0.3">
      <c r="B19" s="13"/>
      <c r="C19" s="13"/>
      <c r="D19" s="188" t="str">
        <f>IFERROR(VLOOKUP(B19,'Trade Category Idnt Master'!A:D,3,0),"")</f>
        <v/>
      </c>
      <c r="E19" s="13" t="str">
        <f>IFERROR(VLOOKUP(B19,'Trade Category Idnt Master'!A:D,4,0),"")</f>
        <v/>
      </c>
      <c r="F19" s="13" t="str">
        <f t="shared" si="0"/>
        <v>-</v>
      </c>
      <c r="G19" s="190" t="str">
        <f>IF(B19="","",IFERROR(VLOOKUP(B19,'Trade Category Idnt Master'!A:A,1,0),"Yes"))</f>
        <v/>
      </c>
    </row>
    <row r="20" spans="2:7" x14ac:dyDescent="0.3">
      <c r="B20" s="13"/>
      <c r="C20" s="13"/>
      <c r="D20" s="188" t="str">
        <f>IFERROR(VLOOKUP(B20,'Trade Category Idnt Master'!A:D,3,0),"")</f>
        <v/>
      </c>
      <c r="E20" s="13" t="str">
        <f>IFERROR(VLOOKUP(B20,'Trade Category Idnt Master'!A:D,4,0),"")</f>
        <v/>
      </c>
      <c r="F20" s="13" t="str">
        <f t="shared" si="0"/>
        <v>-</v>
      </c>
      <c r="G20" s="190" t="str">
        <f>IF(B20="","",IFERROR(VLOOKUP(B20,'Trade Category Idnt Master'!A:A,1,0),"Yes"))</f>
        <v/>
      </c>
    </row>
    <row r="21" spans="2:7" x14ac:dyDescent="0.3">
      <c r="B21" s="13"/>
      <c r="C21" s="13"/>
      <c r="D21" s="188" t="str">
        <f>IFERROR(VLOOKUP(B21,'Trade Category Idnt Master'!A:D,3,0),"")</f>
        <v/>
      </c>
      <c r="E21" s="13" t="str">
        <f>IFERROR(VLOOKUP(B21,'Trade Category Idnt Master'!A:D,4,0),"")</f>
        <v/>
      </c>
      <c r="F21" s="13" t="str">
        <f t="shared" si="0"/>
        <v>-</v>
      </c>
      <c r="G21" s="190" t="str">
        <f>IF(B21="","",IFERROR(VLOOKUP(B21,'Trade Category Idnt Master'!A:A,1,0),"Yes"))</f>
        <v/>
      </c>
    </row>
    <row r="22" spans="2:7" x14ac:dyDescent="0.3">
      <c r="B22" s="13"/>
      <c r="C22" s="13"/>
      <c r="D22" s="188" t="str">
        <f>IFERROR(VLOOKUP(B22,'Trade Category Idnt Master'!A:D,3,0),"")</f>
        <v/>
      </c>
      <c r="E22" s="13" t="str">
        <f>IFERROR(VLOOKUP(B22,'Trade Category Idnt Master'!A:D,4,0),"")</f>
        <v/>
      </c>
      <c r="F22" s="13" t="str">
        <f t="shared" si="0"/>
        <v>-</v>
      </c>
      <c r="G22" s="190" t="str">
        <f>IF(B22="","",IFERROR(VLOOKUP(B22,'Trade Category Idnt Master'!A:A,1,0),"Yes"))</f>
        <v/>
      </c>
    </row>
    <row r="23" spans="2:7" x14ac:dyDescent="0.3">
      <c r="B23" s="13"/>
      <c r="C23" s="13"/>
      <c r="D23" s="188" t="str">
        <f>IFERROR(VLOOKUP(B23,'Trade Category Idnt Master'!A:D,3,0),"")</f>
        <v/>
      </c>
      <c r="E23" s="13" t="str">
        <f>IFERROR(VLOOKUP(B23,'Trade Category Idnt Master'!A:D,4,0),"")</f>
        <v/>
      </c>
      <c r="F23" s="13" t="str">
        <f t="shared" si="0"/>
        <v>-</v>
      </c>
      <c r="G23" s="190" t="str">
        <f>IF(B23="","",IFERROR(VLOOKUP(B23,'Trade Category Idnt Master'!A:A,1,0),"Yes"))</f>
        <v/>
      </c>
    </row>
    <row r="24" spans="2:7" x14ac:dyDescent="0.3">
      <c r="B24" s="13"/>
      <c r="C24" s="13"/>
      <c r="D24" s="188" t="str">
        <f>IFERROR(VLOOKUP(B24,'Trade Category Idnt Master'!A:D,3,0),"")</f>
        <v/>
      </c>
      <c r="E24" s="13" t="str">
        <f>IFERROR(VLOOKUP(B24,'Trade Category Idnt Master'!A:D,4,0),"")</f>
        <v/>
      </c>
      <c r="F24" s="13" t="str">
        <f t="shared" si="0"/>
        <v>-</v>
      </c>
      <c r="G24" s="190" t="str">
        <f>IF(B24="","",IFERROR(VLOOKUP(B24,'Trade Category Idnt Master'!A:A,1,0),"Yes"))</f>
        <v/>
      </c>
    </row>
    <row r="25" spans="2:7" x14ac:dyDescent="0.3">
      <c r="B25" s="13"/>
      <c r="C25" s="13"/>
      <c r="D25" s="188" t="str">
        <f>IFERROR(VLOOKUP(B25,'Trade Category Idnt Master'!A:D,3,0),"")</f>
        <v/>
      </c>
      <c r="E25" s="13" t="str">
        <f>IFERROR(VLOOKUP(B25,'Trade Category Idnt Master'!A:D,4,0),"")</f>
        <v/>
      </c>
      <c r="F25" s="13" t="str">
        <f t="shared" si="0"/>
        <v>-</v>
      </c>
      <c r="G25" s="190" t="str">
        <f>IF(B25="","",IFERROR(VLOOKUP(B25,'Trade Category Idnt Master'!A:A,1,0),"Yes"))</f>
        <v/>
      </c>
    </row>
    <row r="26" spans="2:7" x14ac:dyDescent="0.3">
      <c r="B26" s="13"/>
      <c r="C26" s="13"/>
      <c r="D26" s="188" t="str">
        <f>IFERROR(VLOOKUP(B26,'Trade Category Idnt Master'!A:D,3,0),"")</f>
        <v/>
      </c>
      <c r="E26" s="13" t="str">
        <f>IFERROR(VLOOKUP(B26,'Trade Category Idnt Master'!A:D,4,0),"")</f>
        <v/>
      </c>
      <c r="F26" s="13" t="str">
        <f t="shared" si="0"/>
        <v>-</v>
      </c>
      <c r="G26" s="190" t="str">
        <f>IF(B26="","",IFERROR(VLOOKUP(B26,'Trade Category Idnt Master'!A:A,1,0),"Yes"))</f>
        <v/>
      </c>
    </row>
    <row r="27" spans="2:7" x14ac:dyDescent="0.3">
      <c r="B27" s="13"/>
      <c r="C27" s="13"/>
      <c r="D27" s="188" t="str">
        <f>IFERROR(VLOOKUP(B27,'Trade Category Idnt Master'!A:D,3,0),"")</f>
        <v/>
      </c>
      <c r="E27" s="13" t="str">
        <f>IFERROR(VLOOKUP(B27,'Trade Category Idnt Master'!A:D,4,0),"")</f>
        <v/>
      </c>
      <c r="F27" s="13" t="str">
        <f t="shared" si="0"/>
        <v>-</v>
      </c>
      <c r="G27" s="190" t="str">
        <f>IF(B27="","",IFERROR(VLOOKUP(B27,'Trade Category Idnt Master'!A:A,1,0),"Yes"))</f>
        <v/>
      </c>
    </row>
    <row r="28" spans="2:7" x14ac:dyDescent="0.3">
      <c r="B28" s="13"/>
      <c r="C28" s="13"/>
      <c r="D28" s="188" t="str">
        <f>IFERROR(VLOOKUP(B28,'Trade Category Idnt Master'!A:D,3,0),"")</f>
        <v/>
      </c>
      <c r="E28" s="13" t="str">
        <f>IFERROR(VLOOKUP(B28,'Trade Category Idnt Master'!A:D,4,0),"")</f>
        <v/>
      </c>
      <c r="F28" s="13" t="str">
        <f t="shared" si="0"/>
        <v>-</v>
      </c>
      <c r="G28" s="190" t="str">
        <f>IF(B28="","",IFERROR(VLOOKUP(B28,'Trade Category Idnt Master'!A:A,1,0),"Yes"))</f>
        <v/>
      </c>
    </row>
    <row r="29" spans="2:7" x14ac:dyDescent="0.3">
      <c r="B29" s="13"/>
      <c r="C29" s="13"/>
      <c r="D29" s="188" t="str">
        <f>IFERROR(VLOOKUP(B29,'Trade Category Idnt Master'!A:D,3,0),"")</f>
        <v/>
      </c>
      <c r="E29" s="13" t="str">
        <f>IFERROR(VLOOKUP(B29,'Trade Category Idnt Master'!A:D,4,0),"")</f>
        <v/>
      </c>
      <c r="F29" s="13" t="str">
        <f t="shared" si="0"/>
        <v>-</v>
      </c>
      <c r="G29" s="190" t="str">
        <f>IF(B29="","",IFERROR(VLOOKUP(B29,'Trade Category Idnt Master'!A:A,1,0),"Yes"))</f>
        <v/>
      </c>
    </row>
    <row r="30" spans="2:7" x14ac:dyDescent="0.3">
      <c r="B30" s="13"/>
      <c r="C30" s="13"/>
      <c r="D30" s="188" t="str">
        <f>IFERROR(VLOOKUP(B30,'Trade Category Idnt Master'!A:D,3,0),"")</f>
        <v/>
      </c>
      <c r="E30" s="13" t="str">
        <f>IFERROR(VLOOKUP(B30,'Trade Category Idnt Master'!A:D,4,0),"")</f>
        <v/>
      </c>
      <c r="F30" s="13" t="str">
        <f t="shared" si="0"/>
        <v>-</v>
      </c>
      <c r="G30" s="190" t="str">
        <f>IF(B30="","",IFERROR(VLOOKUP(B30,'Trade Category Idnt Master'!A:A,1,0),"Yes"))</f>
        <v/>
      </c>
    </row>
    <row r="31" spans="2:7" x14ac:dyDescent="0.3">
      <c r="B31" s="13"/>
      <c r="C31" s="13"/>
      <c r="D31" s="188" t="str">
        <f>IFERROR(VLOOKUP(B31,'Trade Category Idnt Master'!A:D,3,0),"")</f>
        <v/>
      </c>
      <c r="E31" s="13" t="str">
        <f>IFERROR(VLOOKUP(B31,'Trade Category Idnt Master'!A:D,4,0),"")</f>
        <v/>
      </c>
      <c r="F31" s="13" t="str">
        <f t="shared" si="0"/>
        <v>-</v>
      </c>
      <c r="G31" s="190" t="str">
        <f>IF(B31="","",IFERROR(VLOOKUP(B31,'Trade Category Idnt Master'!A:A,1,0),"Yes"))</f>
        <v/>
      </c>
    </row>
    <row r="32" spans="2:7" x14ac:dyDescent="0.3">
      <c r="B32" s="13"/>
      <c r="C32" s="13"/>
      <c r="D32" s="188" t="str">
        <f>IFERROR(VLOOKUP(B32,'Trade Category Idnt Master'!A:D,3,0),"")</f>
        <v/>
      </c>
      <c r="E32" s="13" t="str">
        <f>IFERROR(VLOOKUP(B32,'Trade Category Idnt Master'!A:D,4,0),"")</f>
        <v/>
      </c>
      <c r="F32" s="13" t="str">
        <f t="shared" si="0"/>
        <v>-</v>
      </c>
      <c r="G32" s="190" t="str">
        <f>IF(B32="","",IFERROR(VLOOKUP(B32,'Trade Category Idnt Master'!A:A,1,0),"Yes"))</f>
        <v/>
      </c>
    </row>
    <row r="33" spans="2:7" x14ac:dyDescent="0.3">
      <c r="B33" s="13"/>
      <c r="C33" s="13"/>
      <c r="D33" s="188" t="str">
        <f>IFERROR(VLOOKUP(B33,'Trade Category Idnt Master'!A:D,3,0),"")</f>
        <v/>
      </c>
      <c r="E33" s="13" t="str">
        <f>IFERROR(VLOOKUP(B33,'Trade Category Idnt Master'!A:D,4,0),"")</f>
        <v/>
      </c>
      <c r="F33" s="13" t="str">
        <f t="shared" si="0"/>
        <v>-</v>
      </c>
      <c r="G33" s="190" t="str">
        <f>IF(B33="","",IFERROR(VLOOKUP(B33,'Trade Category Idnt Master'!A:A,1,0),"Yes"))</f>
        <v/>
      </c>
    </row>
    <row r="34" spans="2:7" x14ac:dyDescent="0.3">
      <c r="B34" s="13"/>
      <c r="C34" s="13"/>
      <c r="D34" s="188" t="str">
        <f>IFERROR(VLOOKUP(B34,'Trade Category Idnt Master'!A:D,3,0),"")</f>
        <v/>
      </c>
      <c r="E34" s="13" t="str">
        <f>IFERROR(VLOOKUP(B34,'Trade Category Idnt Master'!A:D,4,0),"")</f>
        <v/>
      </c>
      <c r="F34" s="13" t="str">
        <f t="shared" si="0"/>
        <v>-</v>
      </c>
      <c r="G34" s="190" t="str">
        <f>IF(B34="","",IFERROR(VLOOKUP(B34,'Trade Category Idnt Master'!A:A,1,0),"Yes"))</f>
        <v/>
      </c>
    </row>
    <row r="35" spans="2:7" x14ac:dyDescent="0.3">
      <c r="B35" s="13"/>
      <c r="C35" s="13"/>
      <c r="D35" s="188" t="str">
        <f>IFERROR(VLOOKUP(B35,'Trade Category Idnt Master'!A:D,3,0),"")</f>
        <v/>
      </c>
      <c r="E35" s="13" t="str">
        <f>IFERROR(VLOOKUP(B35,'Trade Category Idnt Master'!A:D,4,0),"")</f>
        <v/>
      </c>
      <c r="F35" s="13" t="str">
        <f t="shared" si="0"/>
        <v>-</v>
      </c>
      <c r="G35" s="190" t="str">
        <f>IF(B35="","",IFERROR(VLOOKUP(B35,'Trade Category Idnt Master'!A:A,1,0),"Yes"))</f>
        <v/>
      </c>
    </row>
    <row r="36" spans="2:7" x14ac:dyDescent="0.3">
      <c r="B36" s="13"/>
      <c r="C36" s="13"/>
      <c r="D36" s="188" t="str">
        <f>IFERROR(VLOOKUP(B36,'Trade Category Idnt Master'!A:D,3,0),"")</f>
        <v/>
      </c>
      <c r="E36" s="13" t="str">
        <f>IFERROR(VLOOKUP(B36,'Trade Category Idnt Master'!A:D,4,0),"")</f>
        <v/>
      </c>
      <c r="F36" s="13" t="str">
        <f t="shared" si="0"/>
        <v>-</v>
      </c>
      <c r="G36" s="190" t="str">
        <f>IF(B36="","",IFERROR(VLOOKUP(B36,'Trade Category Idnt Master'!A:A,1,0),"Yes"))</f>
        <v/>
      </c>
    </row>
    <row r="37" spans="2:7" x14ac:dyDescent="0.3">
      <c r="B37" s="13"/>
      <c r="C37" s="13"/>
      <c r="D37" s="188" t="str">
        <f>IFERROR(VLOOKUP(B37,'Trade Category Idnt Master'!A:D,3,0),"")</f>
        <v/>
      </c>
      <c r="E37" s="13" t="str">
        <f>IFERROR(VLOOKUP(B37,'Trade Category Idnt Master'!A:D,4,0),"")</f>
        <v/>
      </c>
      <c r="F37" s="13" t="str">
        <f t="shared" si="0"/>
        <v>-</v>
      </c>
      <c r="G37" s="190" t="str">
        <f>IF(B37="","",IFERROR(VLOOKUP(B37,'Trade Category Idnt Master'!A:A,1,0),"Yes"))</f>
        <v/>
      </c>
    </row>
    <row r="38" spans="2:7" x14ac:dyDescent="0.3">
      <c r="B38" s="13"/>
      <c r="C38" s="13"/>
      <c r="D38" s="188" t="str">
        <f>IFERROR(VLOOKUP(B38,'Trade Category Idnt Master'!A:D,3,0),"")</f>
        <v/>
      </c>
      <c r="E38" s="13" t="str">
        <f>IFERROR(VLOOKUP(B38,'Trade Category Idnt Master'!A:D,4,0),"")</f>
        <v/>
      </c>
      <c r="F38" s="13" t="str">
        <f t="shared" si="0"/>
        <v>-</v>
      </c>
      <c r="G38" s="190" t="str">
        <f>IF(B38="","",IFERROR(VLOOKUP(B38,'Trade Category Idnt Master'!A:A,1,0),"Yes"))</f>
        <v/>
      </c>
    </row>
    <row r="39" spans="2:7" x14ac:dyDescent="0.3">
      <c r="B39" s="13"/>
      <c r="C39" s="13"/>
      <c r="D39" s="188" t="str">
        <f>IFERROR(VLOOKUP(B39,'Trade Category Idnt Master'!A:D,3,0),"")</f>
        <v/>
      </c>
      <c r="E39" s="13" t="str">
        <f>IFERROR(VLOOKUP(B39,'Trade Category Idnt Master'!A:D,4,0),"")</f>
        <v/>
      </c>
      <c r="F39" s="13" t="str">
        <f t="shared" si="0"/>
        <v>-</v>
      </c>
      <c r="G39" s="190" t="str">
        <f>IF(B39="","",IFERROR(VLOOKUP(B39,'Trade Category Idnt Master'!A:A,1,0),"Yes"))</f>
        <v/>
      </c>
    </row>
    <row r="40" spans="2:7" x14ac:dyDescent="0.3">
      <c r="B40" s="13"/>
      <c r="C40" s="13"/>
      <c r="D40" s="188" t="str">
        <f>IFERROR(VLOOKUP(B40,'Trade Category Idnt Master'!A:D,3,0),"")</f>
        <v/>
      </c>
      <c r="E40" s="13" t="str">
        <f>IFERROR(VLOOKUP(B40,'Trade Category Idnt Master'!A:D,4,0),"")</f>
        <v/>
      </c>
      <c r="F40" s="13" t="str">
        <f t="shared" si="0"/>
        <v>-</v>
      </c>
      <c r="G40" s="190" t="str">
        <f>IF(B40="","",IFERROR(VLOOKUP(B40,'Trade Category Idnt Master'!A:A,1,0),"Yes"))</f>
        <v/>
      </c>
    </row>
    <row r="41" spans="2:7" x14ac:dyDescent="0.3">
      <c r="B41" s="13"/>
      <c r="C41" s="13"/>
      <c r="D41" s="188" t="str">
        <f>IFERROR(VLOOKUP(B41,'Trade Category Idnt Master'!A:D,3,0),"")</f>
        <v/>
      </c>
      <c r="E41" s="13" t="str">
        <f>IFERROR(VLOOKUP(B41,'Trade Category Idnt Master'!A:D,4,0),"")</f>
        <v/>
      </c>
      <c r="F41" s="13" t="str">
        <f t="shared" si="0"/>
        <v>-</v>
      </c>
      <c r="G41" s="190" t="str">
        <f>IF(B41="","",IFERROR(VLOOKUP(B41,'Trade Category Idnt Master'!A:A,1,0),"Yes"))</f>
        <v/>
      </c>
    </row>
    <row r="42" spans="2:7" x14ac:dyDescent="0.3">
      <c r="B42" s="13"/>
      <c r="C42" s="13"/>
      <c r="D42" s="188" t="str">
        <f>IFERROR(VLOOKUP(B42,'Trade Category Idnt Master'!A:D,3,0),"")</f>
        <v/>
      </c>
      <c r="E42" s="13" t="str">
        <f>IFERROR(VLOOKUP(B42,'Trade Category Idnt Master'!A:D,4,0),"")</f>
        <v/>
      </c>
      <c r="F42" s="13" t="str">
        <f t="shared" si="0"/>
        <v>-</v>
      </c>
      <c r="G42" s="190" t="str">
        <f>IF(B42="","",IFERROR(VLOOKUP(B42,'Trade Category Idnt Master'!A:A,1,0),"Yes"))</f>
        <v/>
      </c>
    </row>
    <row r="43" spans="2:7" x14ac:dyDescent="0.3">
      <c r="B43" s="13"/>
      <c r="C43" s="13"/>
      <c r="D43" s="188" t="str">
        <f>IFERROR(VLOOKUP(B43,'Trade Category Idnt Master'!A:D,3,0),"")</f>
        <v/>
      </c>
      <c r="E43" s="13" t="str">
        <f>IFERROR(VLOOKUP(B43,'Trade Category Idnt Master'!A:D,4,0),"")</f>
        <v/>
      </c>
      <c r="F43" s="13" t="str">
        <f t="shared" si="0"/>
        <v>-</v>
      </c>
      <c r="G43" s="190" t="str">
        <f>IF(B43="","",IFERROR(VLOOKUP(B43,'Trade Category Idnt Master'!A:A,1,0),"Yes"))</f>
        <v/>
      </c>
    </row>
    <row r="44" spans="2:7" x14ac:dyDescent="0.3">
      <c r="B44" s="13"/>
      <c r="C44" s="13"/>
      <c r="D44" s="188" t="str">
        <f>IFERROR(VLOOKUP(B44,'Trade Category Idnt Master'!A:D,3,0),"")</f>
        <v/>
      </c>
      <c r="E44" s="13" t="str">
        <f>IFERROR(VLOOKUP(B44,'Trade Category Idnt Master'!A:D,4,0),"")</f>
        <v/>
      </c>
      <c r="F44" s="13" t="str">
        <f t="shared" si="0"/>
        <v>-</v>
      </c>
      <c r="G44" s="190" t="str">
        <f>IF(B44="","",IFERROR(VLOOKUP(B44,'Trade Category Idnt Master'!A:A,1,0),"Yes"))</f>
        <v/>
      </c>
    </row>
    <row r="45" spans="2:7" x14ac:dyDescent="0.3">
      <c r="B45" s="13"/>
      <c r="C45" s="13"/>
      <c r="D45" s="188" t="str">
        <f>IFERROR(VLOOKUP(B45,'Trade Category Idnt Master'!A:D,3,0),"")</f>
        <v/>
      </c>
      <c r="E45" s="13" t="str">
        <f>IFERROR(VLOOKUP(B45,'Trade Category Idnt Master'!A:D,4,0),"")</f>
        <v/>
      </c>
      <c r="F45" s="13" t="str">
        <f t="shared" si="0"/>
        <v>-</v>
      </c>
      <c r="G45" s="190" t="str">
        <f>IF(B45="","",IFERROR(VLOOKUP(B45,'Trade Category Idnt Master'!A:A,1,0),"Yes"))</f>
        <v/>
      </c>
    </row>
    <row r="46" spans="2:7" x14ac:dyDescent="0.3">
      <c r="B46" s="13"/>
      <c r="C46" s="13"/>
      <c r="D46" s="188" t="str">
        <f>IFERROR(VLOOKUP(B46,'Trade Category Idnt Master'!A:D,3,0),"")</f>
        <v/>
      </c>
      <c r="E46" s="13" t="str">
        <f>IFERROR(VLOOKUP(B46,'Trade Category Idnt Master'!A:D,4,0),"")</f>
        <v/>
      </c>
      <c r="F46" s="13" t="str">
        <f t="shared" si="0"/>
        <v>-</v>
      </c>
      <c r="G46" s="190" t="str">
        <f>IF(B46="","",IFERROR(VLOOKUP(B46,'Trade Category Idnt Master'!A:A,1,0),"Yes"))</f>
        <v/>
      </c>
    </row>
    <row r="47" spans="2:7" x14ac:dyDescent="0.3">
      <c r="B47" s="13"/>
      <c r="C47" s="13"/>
      <c r="D47" s="188" t="str">
        <f>IFERROR(VLOOKUP(B47,'Trade Category Idnt Master'!A:D,3,0),"")</f>
        <v/>
      </c>
      <c r="E47" s="13" t="str">
        <f>IFERROR(VLOOKUP(B47,'Trade Category Idnt Master'!A:D,4,0),"")</f>
        <v/>
      </c>
      <c r="F47" s="13" t="str">
        <f t="shared" si="0"/>
        <v>-</v>
      </c>
      <c r="G47" s="190" t="str">
        <f>IF(B47="","",IFERROR(VLOOKUP(B47,'Trade Category Idnt Master'!A:A,1,0),"Yes"))</f>
        <v/>
      </c>
    </row>
    <row r="48" spans="2:7" x14ac:dyDescent="0.3">
      <c r="B48" s="13"/>
      <c r="C48" s="13"/>
      <c r="D48" s="188" t="str">
        <f>IFERROR(VLOOKUP(B48,'Trade Category Idnt Master'!A:D,3,0),"")</f>
        <v/>
      </c>
      <c r="E48" s="13" t="str">
        <f>IFERROR(VLOOKUP(B48,'Trade Category Idnt Master'!A:D,4,0),"")</f>
        <v/>
      </c>
      <c r="F48" s="13" t="str">
        <f t="shared" si="0"/>
        <v>-</v>
      </c>
      <c r="G48" s="190" t="str">
        <f>IF(B48="","",IFERROR(VLOOKUP(B48,'Trade Category Idnt Master'!A:A,1,0),"Yes"))</f>
        <v/>
      </c>
    </row>
    <row r="49" spans="2:7" x14ac:dyDescent="0.3">
      <c r="B49" s="13"/>
      <c r="C49" s="13"/>
      <c r="D49" s="188" t="str">
        <f>IFERROR(VLOOKUP(B49,'Trade Category Idnt Master'!A:D,3,0),"")</f>
        <v/>
      </c>
      <c r="E49" s="13" t="str">
        <f>IFERROR(VLOOKUP(B49,'Trade Category Idnt Master'!A:D,4,0),"")</f>
        <v/>
      </c>
      <c r="F49" s="13" t="str">
        <f t="shared" si="0"/>
        <v>-</v>
      </c>
      <c r="G49" s="190" t="str">
        <f>IF(B49="","",IFERROR(VLOOKUP(B49,'Trade Category Idnt Master'!A:A,1,0),"Yes"))</f>
        <v/>
      </c>
    </row>
    <row r="50" spans="2:7" x14ac:dyDescent="0.3">
      <c r="B50" s="13"/>
      <c r="C50" s="13"/>
      <c r="D50" s="188" t="str">
        <f>IFERROR(VLOOKUP(B50,'Trade Category Idnt Master'!A:D,3,0),"")</f>
        <v/>
      </c>
      <c r="E50" s="13" t="str">
        <f>IFERROR(VLOOKUP(B50,'Trade Category Idnt Master'!A:D,4,0),"")</f>
        <v/>
      </c>
      <c r="F50" s="13" t="str">
        <f t="shared" si="0"/>
        <v>-</v>
      </c>
      <c r="G50" s="190" t="str">
        <f>IF(B50="","",IFERROR(VLOOKUP(B50,'Trade Category Idnt Master'!A:A,1,0),"Yes"))</f>
        <v/>
      </c>
    </row>
    <row r="51" spans="2:7" x14ac:dyDescent="0.3">
      <c r="B51" s="13"/>
      <c r="C51" s="13"/>
      <c r="D51" s="188" t="str">
        <f>IFERROR(VLOOKUP(B51,'Trade Category Idnt Master'!A:D,3,0),"")</f>
        <v/>
      </c>
      <c r="E51" s="13" t="str">
        <f>IFERROR(VLOOKUP(B51,'Trade Category Idnt Master'!A:D,4,0),"")</f>
        <v/>
      </c>
      <c r="F51" s="13" t="str">
        <f t="shared" si="0"/>
        <v>-</v>
      </c>
      <c r="G51" s="190" t="str">
        <f>IF(B51="","",IFERROR(VLOOKUP(B51,'Trade Category Idnt Master'!A:A,1,0),"Yes"))</f>
        <v/>
      </c>
    </row>
    <row r="52" spans="2:7" x14ac:dyDescent="0.3">
      <c r="B52" s="13"/>
      <c r="C52" s="13"/>
      <c r="D52" s="188" t="str">
        <f>IFERROR(VLOOKUP(B52,'Trade Category Idnt Master'!A:D,3,0),"")</f>
        <v/>
      </c>
      <c r="E52" s="13" t="str">
        <f>IFERROR(VLOOKUP(B52,'Trade Category Idnt Master'!A:D,4,0),"")</f>
        <v/>
      </c>
      <c r="F52" s="13" t="str">
        <f t="shared" si="0"/>
        <v>-</v>
      </c>
      <c r="G52" s="190" t="str">
        <f>IF(B52="","",IFERROR(VLOOKUP(B52,'Trade Category Idnt Master'!A:A,1,0),"Yes"))</f>
        <v/>
      </c>
    </row>
    <row r="53" spans="2:7" x14ac:dyDescent="0.3">
      <c r="B53" s="13"/>
      <c r="C53" s="13"/>
      <c r="D53" s="188" t="str">
        <f>IFERROR(VLOOKUP(B53,'Trade Category Idnt Master'!A:D,3,0),"")</f>
        <v/>
      </c>
      <c r="E53" s="13" t="str">
        <f>IFERROR(VLOOKUP(B53,'Trade Category Idnt Master'!A:D,4,0),"")</f>
        <v/>
      </c>
      <c r="F53" s="13" t="str">
        <f t="shared" si="0"/>
        <v>-</v>
      </c>
      <c r="G53" s="190" t="str">
        <f>IF(B53="","",IFERROR(VLOOKUP(B53,'Trade Category Idnt Master'!A:A,1,0),"Yes"))</f>
        <v/>
      </c>
    </row>
    <row r="54" spans="2:7" x14ac:dyDescent="0.3">
      <c r="B54" s="13"/>
      <c r="C54" s="13"/>
      <c r="D54" s="188" t="str">
        <f>IFERROR(VLOOKUP(B54,'Trade Category Idnt Master'!A:D,3,0),"")</f>
        <v/>
      </c>
      <c r="E54" s="13" t="str">
        <f>IFERROR(VLOOKUP(B54,'Trade Category Idnt Master'!A:D,4,0),"")</f>
        <v/>
      </c>
      <c r="F54" s="13" t="str">
        <f t="shared" si="0"/>
        <v>-</v>
      </c>
      <c r="G54" s="190" t="str">
        <f>IF(B54="","",IFERROR(VLOOKUP(B54,'Trade Category Idnt Master'!A:A,1,0),"Yes"))</f>
        <v/>
      </c>
    </row>
  </sheetData>
  <mergeCells count="1">
    <mergeCell ref="B2:F2"/>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C2EC4-63FA-4F3F-BD95-2395B0E79A1D}">
  <dimension ref="A1:D830"/>
  <sheetViews>
    <sheetView zoomScaleNormal="100" workbookViewId="0">
      <selection activeCell="C2" sqref="C2"/>
    </sheetView>
  </sheetViews>
  <sheetFormatPr defaultRowHeight="14.4" x14ac:dyDescent="0.3"/>
  <cols>
    <col min="1" max="1" width="18.33203125" bestFit="1" customWidth="1"/>
    <col min="3" max="3" width="22.6640625" bestFit="1" customWidth="1"/>
    <col min="4" max="4" width="60.44140625" customWidth="1"/>
  </cols>
  <sheetData>
    <row r="1" spans="1:4" x14ac:dyDescent="0.3">
      <c r="A1" s="135" t="s">
        <v>44</v>
      </c>
      <c r="B1" s="135" t="s">
        <v>45</v>
      </c>
      <c r="C1" s="135" t="s">
        <v>13252</v>
      </c>
      <c r="D1" s="135" t="s">
        <v>13251</v>
      </c>
    </row>
    <row r="2" spans="1:4" x14ac:dyDescent="0.3">
      <c r="A2" s="46">
        <v>1810</v>
      </c>
      <c r="B2" s="47" t="s">
        <v>13253</v>
      </c>
      <c r="C2" s="46">
        <v>1106</v>
      </c>
      <c r="D2" s="47" t="s">
        <v>5361</v>
      </c>
    </row>
    <row r="3" spans="1:4" x14ac:dyDescent="0.3">
      <c r="A3" s="46">
        <v>1811</v>
      </c>
      <c r="B3" s="47" t="s">
        <v>13254</v>
      </c>
      <c r="C3" s="46">
        <v>1065</v>
      </c>
      <c r="D3" s="47" t="s">
        <v>5331</v>
      </c>
    </row>
    <row r="4" spans="1:4" x14ac:dyDescent="0.3">
      <c r="A4" s="46">
        <v>1812</v>
      </c>
      <c r="B4" s="47" t="s">
        <v>13255</v>
      </c>
      <c r="C4" s="46">
        <v>1071</v>
      </c>
      <c r="D4" s="47" t="s">
        <v>5336</v>
      </c>
    </row>
    <row r="5" spans="1:4" x14ac:dyDescent="0.3">
      <c r="A5" s="46">
        <v>1814</v>
      </c>
      <c r="B5" s="47" t="s">
        <v>13256</v>
      </c>
      <c r="C5" s="46">
        <v>1410</v>
      </c>
      <c r="D5" s="47" t="s">
        <v>5557</v>
      </c>
    </row>
    <row r="6" spans="1:4" x14ac:dyDescent="0.3">
      <c r="A6" s="46">
        <v>1815</v>
      </c>
      <c r="B6" s="47" t="s">
        <v>13257</v>
      </c>
      <c r="C6" s="46">
        <v>1176</v>
      </c>
      <c r="D6" s="47" t="s">
        <v>5409</v>
      </c>
    </row>
    <row r="7" spans="1:4" x14ac:dyDescent="0.3">
      <c r="A7" s="46">
        <v>1816</v>
      </c>
      <c r="B7" s="47" t="s">
        <v>13258</v>
      </c>
      <c r="C7" s="46">
        <v>1182</v>
      </c>
      <c r="D7" s="47" t="s">
        <v>5414</v>
      </c>
    </row>
    <row r="8" spans="1:4" x14ac:dyDescent="0.3">
      <c r="A8" s="46">
        <v>1818</v>
      </c>
      <c r="B8" s="47" t="s">
        <v>13259</v>
      </c>
      <c r="C8" s="46">
        <v>1207</v>
      </c>
      <c r="D8" s="47" t="s">
        <v>5437</v>
      </c>
    </row>
    <row r="9" spans="1:4" x14ac:dyDescent="0.3">
      <c r="A9" s="46">
        <v>1819</v>
      </c>
      <c r="B9" s="47" t="s">
        <v>13260</v>
      </c>
      <c r="C9" s="46">
        <v>1232</v>
      </c>
      <c r="D9" s="47" t="s">
        <v>5458</v>
      </c>
    </row>
    <row r="10" spans="1:4" x14ac:dyDescent="0.3">
      <c r="A10" s="46">
        <v>1826</v>
      </c>
      <c r="B10" s="47" t="s">
        <v>13261</v>
      </c>
      <c r="C10" s="46">
        <v>1118</v>
      </c>
      <c r="D10" s="47" t="s">
        <v>5368</v>
      </c>
    </row>
    <row r="11" spans="1:4" x14ac:dyDescent="0.3">
      <c r="A11" s="46">
        <v>1820</v>
      </c>
      <c r="B11" s="47" t="s">
        <v>13262</v>
      </c>
      <c r="C11" s="46">
        <v>1256</v>
      </c>
      <c r="D11" s="47" t="s">
        <v>5469</v>
      </c>
    </row>
    <row r="12" spans="1:4" x14ac:dyDescent="0.3">
      <c r="A12" s="46">
        <v>1809</v>
      </c>
      <c r="B12" s="47" t="s">
        <v>13263</v>
      </c>
      <c r="C12" s="46">
        <v>1094</v>
      </c>
      <c r="D12" s="47" t="s">
        <v>5353</v>
      </c>
    </row>
    <row r="13" spans="1:4" x14ac:dyDescent="0.3">
      <c r="A13" s="46">
        <v>1829</v>
      </c>
      <c r="B13" s="47" t="s">
        <v>13264</v>
      </c>
      <c r="C13" s="46">
        <v>1161</v>
      </c>
      <c r="D13" s="47" t="s">
        <v>5398</v>
      </c>
    </row>
    <row r="14" spans="1:4" x14ac:dyDescent="0.3">
      <c r="A14" s="46">
        <v>1813</v>
      </c>
      <c r="B14" s="47" t="s">
        <v>13265</v>
      </c>
      <c r="C14" s="46">
        <v>1164</v>
      </c>
      <c r="D14" s="47" t="s">
        <v>5401</v>
      </c>
    </row>
    <row r="15" spans="1:4" x14ac:dyDescent="0.3">
      <c r="A15" s="46">
        <v>1817</v>
      </c>
      <c r="B15" s="47" t="s">
        <v>13266</v>
      </c>
      <c r="C15" s="46">
        <v>1191</v>
      </c>
      <c r="D15" s="47" t="s">
        <v>5421</v>
      </c>
    </row>
    <row r="16" spans="1:4" x14ac:dyDescent="0.3">
      <c r="A16" s="46">
        <v>1821</v>
      </c>
      <c r="B16" s="47" t="s">
        <v>13267</v>
      </c>
      <c r="C16" s="46">
        <v>1316</v>
      </c>
      <c r="D16" s="47" t="s">
        <v>5505</v>
      </c>
    </row>
    <row r="17" spans="1:4" x14ac:dyDescent="0.3">
      <c r="A17" s="46">
        <v>1822</v>
      </c>
      <c r="B17" s="47" t="s">
        <v>13268</v>
      </c>
      <c r="C17" s="46">
        <v>1320</v>
      </c>
      <c r="D17" s="47" t="s">
        <v>5508</v>
      </c>
    </row>
    <row r="18" spans="1:4" x14ac:dyDescent="0.3">
      <c r="A18" s="46">
        <v>1823</v>
      </c>
      <c r="B18" s="47" t="s">
        <v>13269</v>
      </c>
      <c r="C18" s="46">
        <v>1672</v>
      </c>
      <c r="D18" s="47" t="s">
        <v>5669</v>
      </c>
    </row>
    <row r="19" spans="1:4" x14ac:dyDescent="0.3">
      <c r="A19" s="46">
        <v>1824</v>
      </c>
      <c r="B19" s="47" t="s">
        <v>13270</v>
      </c>
      <c r="C19" s="46">
        <v>1361</v>
      </c>
      <c r="D19" s="47" t="s">
        <v>5532</v>
      </c>
    </row>
    <row r="20" spans="1:4" x14ac:dyDescent="0.3">
      <c r="A20" s="46">
        <v>1825</v>
      </c>
      <c r="B20" s="47" t="s">
        <v>13271</v>
      </c>
      <c r="C20" s="46">
        <v>1428</v>
      </c>
      <c r="D20" s="47" t="s">
        <v>5564</v>
      </c>
    </row>
    <row r="21" spans="1:4" x14ac:dyDescent="0.3">
      <c r="A21" s="46">
        <v>1827</v>
      </c>
      <c r="B21" s="47" t="s">
        <v>5590</v>
      </c>
      <c r="C21" s="46">
        <v>1827</v>
      </c>
      <c r="D21" s="47" t="s">
        <v>5590</v>
      </c>
    </row>
    <row r="22" spans="1:4" x14ac:dyDescent="0.3">
      <c r="A22" s="46">
        <v>1828</v>
      </c>
      <c r="B22" s="47" t="s">
        <v>13272</v>
      </c>
      <c r="C22" s="46">
        <v>1685</v>
      </c>
      <c r="D22" s="47" t="s">
        <v>5677</v>
      </c>
    </row>
    <row r="23" spans="1:4" x14ac:dyDescent="0.3">
      <c r="A23" s="46">
        <v>1020</v>
      </c>
      <c r="B23" s="47" t="s">
        <v>118</v>
      </c>
      <c r="C23" s="46">
        <v>1020</v>
      </c>
      <c r="D23" s="47" t="s">
        <v>118</v>
      </c>
    </row>
    <row r="24" spans="1:4" x14ac:dyDescent="0.3">
      <c r="A24" s="46">
        <v>1065</v>
      </c>
      <c r="B24" s="47" t="s">
        <v>5331</v>
      </c>
      <c r="C24" s="46">
        <v>1065</v>
      </c>
      <c r="D24" s="47" t="s">
        <v>5331</v>
      </c>
    </row>
    <row r="25" spans="1:4" x14ac:dyDescent="0.3">
      <c r="A25" s="46">
        <v>1071</v>
      </c>
      <c r="B25" s="47" t="s">
        <v>5336</v>
      </c>
      <c r="C25" s="46">
        <v>1071</v>
      </c>
      <c r="D25" s="47" t="s">
        <v>5336</v>
      </c>
    </row>
    <row r="26" spans="1:4" x14ac:dyDescent="0.3">
      <c r="A26" s="46">
        <v>1109</v>
      </c>
      <c r="B26" s="47" t="s">
        <v>5362</v>
      </c>
      <c r="C26" s="46">
        <v>1109</v>
      </c>
      <c r="D26" s="47" t="s">
        <v>5362</v>
      </c>
    </row>
    <row r="27" spans="1:4" x14ac:dyDescent="0.3">
      <c r="A27" s="46">
        <v>1118</v>
      </c>
      <c r="B27" s="47" t="s">
        <v>5368</v>
      </c>
      <c r="C27" s="46">
        <v>1118</v>
      </c>
      <c r="D27" s="47" t="s">
        <v>5368</v>
      </c>
    </row>
    <row r="28" spans="1:4" x14ac:dyDescent="0.3">
      <c r="A28" s="46">
        <v>1143</v>
      </c>
      <c r="B28" s="47" t="s">
        <v>5387</v>
      </c>
      <c r="C28" s="46">
        <v>1143</v>
      </c>
      <c r="D28" s="47" t="s">
        <v>5387</v>
      </c>
    </row>
    <row r="29" spans="1:4" x14ac:dyDescent="0.3">
      <c r="A29" s="46">
        <v>1072</v>
      </c>
      <c r="B29" s="47" t="s">
        <v>5337</v>
      </c>
      <c r="C29" s="46">
        <v>1072</v>
      </c>
      <c r="D29" s="47" t="s">
        <v>5337</v>
      </c>
    </row>
    <row r="30" spans="1:4" x14ac:dyDescent="0.3">
      <c r="A30" s="46">
        <v>1106</v>
      </c>
      <c r="B30" s="47" t="s">
        <v>5361</v>
      </c>
      <c r="C30" s="46">
        <v>1106</v>
      </c>
      <c r="D30" s="47" t="s">
        <v>5361</v>
      </c>
    </row>
    <row r="31" spans="1:4" x14ac:dyDescent="0.3">
      <c r="A31" s="46">
        <v>1122</v>
      </c>
      <c r="B31" s="47" t="s">
        <v>5371</v>
      </c>
      <c r="C31" s="46">
        <v>1122</v>
      </c>
      <c r="D31" s="47" t="s">
        <v>5371</v>
      </c>
    </row>
    <row r="32" spans="1:4" x14ac:dyDescent="0.3">
      <c r="A32" s="46">
        <v>1166</v>
      </c>
      <c r="B32" s="47" t="s">
        <v>5403</v>
      </c>
      <c r="C32" s="46">
        <v>1166</v>
      </c>
      <c r="D32" s="47" t="s">
        <v>5403</v>
      </c>
    </row>
    <row r="33" spans="1:4" x14ac:dyDescent="0.3">
      <c r="A33" s="46">
        <v>1181</v>
      </c>
      <c r="B33" s="47" t="s">
        <v>5413</v>
      </c>
      <c r="C33" s="46">
        <v>1181</v>
      </c>
      <c r="D33" s="47" t="s">
        <v>5413</v>
      </c>
    </row>
    <row r="34" spans="1:4" x14ac:dyDescent="0.3">
      <c r="A34" s="46">
        <v>1353</v>
      </c>
      <c r="B34" s="47" t="s">
        <v>10912</v>
      </c>
      <c r="C34" s="46">
        <v>1353</v>
      </c>
      <c r="D34" s="47" t="s">
        <v>10912</v>
      </c>
    </row>
    <row r="35" spans="1:4" x14ac:dyDescent="0.3">
      <c r="A35" s="46">
        <v>1451</v>
      </c>
      <c r="B35" s="47" t="s">
        <v>5576</v>
      </c>
      <c r="C35" s="46">
        <v>1451</v>
      </c>
      <c r="D35" s="47" t="s">
        <v>5576</v>
      </c>
    </row>
    <row r="36" spans="1:4" x14ac:dyDescent="0.3">
      <c r="A36" s="46">
        <v>1512</v>
      </c>
      <c r="B36" s="47" t="s">
        <v>10913</v>
      </c>
      <c r="C36" s="46">
        <v>1512</v>
      </c>
      <c r="D36" s="47" t="s">
        <v>10913</v>
      </c>
    </row>
    <row r="37" spans="1:4" x14ac:dyDescent="0.3">
      <c r="A37" s="46">
        <v>1532</v>
      </c>
      <c r="B37" s="47" t="s">
        <v>10914</v>
      </c>
      <c r="C37" s="46">
        <v>1532</v>
      </c>
      <c r="D37" s="47" t="s">
        <v>10914</v>
      </c>
    </row>
    <row r="38" spans="1:4" x14ac:dyDescent="0.3">
      <c r="A38" s="46">
        <v>1550</v>
      </c>
      <c r="B38" s="47" t="s">
        <v>5626</v>
      </c>
      <c r="C38" s="46">
        <v>1550</v>
      </c>
      <c r="D38" s="47" t="s">
        <v>5626</v>
      </c>
    </row>
    <row r="39" spans="1:4" x14ac:dyDescent="0.3">
      <c r="A39" s="46">
        <v>1652</v>
      </c>
      <c r="B39" s="47" t="s">
        <v>5656</v>
      </c>
      <c r="C39" s="46">
        <v>1652</v>
      </c>
      <c r="D39" s="47" t="s">
        <v>5656</v>
      </c>
    </row>
    <row r="40" spans="1:4" x14ac:dyDescent="0.3">
      <c r="A40" s="46">
        <v>1674</v>
      </c>
      <c r="B40" s="47" t="s">
        <v>5671</v>
      </c>
      <c r="C40" s="46">
        <v>1674</v>
      </c>
      <c r="D40" s="47" t="s">
        <v>5671</v>
      </c>
    </row>
    <row r="41" spans="1:4" x14ac:dyDescent="0.3">
      <c r="A41" s="46">
        <v>1719</v>
      </c>
      <c r="B41" s="47" t="s">
        <v>5692</v>
      </c>
      <c r="C41" s="46">
        <v>1719</v>
      </c>
      <c r="D41" s="47" t="s">
        <v>5692</v>
      </c>
    </row>
    <row r="42" spans="1:4" x14ac:dyDescent="0.3">
      <c r="A42" s="46">
        <v>1772</v>
      </c>
      <c r="B42" s="47" t="s">
        <v>5709</v>
      </c>
      <c r="C42" s="46">
        <v>1772</v>
      </c>
      <c r="D42" s="47" t="s">
        <v>5709</v>
      </c>
    </row>
    <row r="43" spans="1:4" x14ac:dyDescent="0.3">
      <c r="A43" s="46">
        <v>1014</v>
      </c>
      <c r="B43" s="47" t="s">
        <v>113</v>
      </c>
      <c r="C43" s="46">
        <v>1014</v>
      </c>
      <c r="D43" s="47" t="s">
        <v>113</v>
      </c>
    </row>
    <row r="44" spans="1:4" x14ac:dyDescent="0.3">
      <c r="A44" s="46">
        <v>1015</v>
      </c>
      <c r="B44" s="47" t="s">
        <v>115</v>
      </c>
      <c r="C44" s="46">
        <v>1015</v>
      </c>
      <c r="D44" s="47" t="s">
        <v>115</v>
      </c>
    </row>
    <row r="45" spans="1:4" x14ac:dyDescent="0.3">
      <c r="A45" s="46">
        <v>1032</v>
      </c>
      <c r="B45" s="47" t="s">
        <v>10915</v>
      </c>
      <c r="C45" s="46">
        <v>1032</v>
      </c>
      <c r="D45" s="47" t="s">
        <v>10915</v>
      </c>
    </row>
    <row r="46" spans="1:4" x14ac:dyDescent="0.3">
      <c r="A46" s="46">
        <v>1066</v>
      </c>
      <c r="B46" s="47" t="s">
        <v>5333</v>
      </c>
      <c r="C46" s="46">
        <v>1066</v>
      </c>
      <c r="D46" s="47" t="s">
        <v>5333</v>
      </c>
    </row>
    <row r="47" spans="1:4" x14ac:dyDescent="0.3">
      <c r="A47" s="46">
        <v>1067</v>
      </c>
      <c r="B47" s="47" t="s">
        <v>5334</v>
      </c>
      <c r="C47" s="46">
        <v>1067</v>
      </c>
      <c r="D47" s="47" t="s">
        <v>5334</v>
      </c>
    </row>
    <row r="48" spans="1:4" x14ac:dyDescent="0.3">
      <c r="A48" s="46">
        <v>1073</v>
      </c>
      <c r="B48" s="47" t="s">
        <v>5339</v>
      </c>
      <c r="C48" s="46">
        <v>1073</v>
      </c>
      <c r="D48" s="47" t="s">
        <v>5339</v>
      </c>
    </row>
    <row r="49" spans="1:4" x14ac:dyDescent="0.3">
      <c r="A49" s="46">
        <v>1074</v>
      </c>
      <c r="B49" s="47" t="s">
        <v>5340</v>
      </c>
      <c r="C49" s="46">
        <v>1074</v>
      </c>
      <c r="D49" s="47" t="s">
        <v>5340</v>
      </c>
    </row>
    <row r="50" spans="1:4" x14ac:dyDescent="0.3">
      <c r="A50" s="46">
        <v>1075</v>
      </c>
      <c r="B50" s="47" t="s">
        <v>5341</v>
      </c>
      <c r="C50" s="46">
        <v>1075</v>
      </c>
      <c r="D50" s="47" t="s">
        <v>5341</v>
      </c>
    </row>
    <row r="51" spans="1:4" x14ac:dyDescent="0.3">
      <c r="A51" s="46">
        <v>1100</v>
      </c>
      <c r="B51" s="47" t="s">
        <v>10916</v>
      </c>
      <c r="C51" s="46">
        <v>1100</v>
      </c>
      <c r="D51" s="47" t="s">
        <v>10916</v>
      </c>
    </row>
    <row r="52" spans="1:4" x14ac:dyDescent="0.3">
      <c r="A52" s="46">
        <v>1101</v>
      </c>
      <c r="B52" s="47" t="s">
        <v>5358</v>
      </c>
      <c r="C52" s="46">
        <v>1101</v>
      </c>
      <c r="D52" s="47" t="s">
        <v>5358</v>
      </c>
    </row>
    <row r="53" spans="1:4" x14ac:dyDescent="0.3">
      <c r="A53" s="46">
        <v>1102</v>
      </c>
      <c r="B53" s="47" t="s">
        <v>5359</v>
      </c>
      <c r="C53" s="46">
        <v>1102</v>
      </c>
      <c r="D53" s="47" t="s">
        <v>5359</v>
      </c>
    </row>
    <row r="54" spans="1:4" x14ac:dyDescent="0.3">
      <c r="A54" s="46">
        <v>1121</v>
      </c>
      <c r="B54" s="47" t="s">
        <v>10917</v>
      </c>
      <c r="C54" s="46">
        <v>1121</v>
      </c>
      <c r="D54" s="47" t="s">
        <v>10917</v>
      </c>
    </row>
    <row r="55" spans="1:4" x14ac:dyDescent="0.3">
      <c r="A55" s="46">
        <v>1178</v>
      </c>
      <c r="B55" s="47" t="s">
        <v>5411</v>
      </c>
      <c r="C55" s="46">
        <v>1178</v>
      </c>
      <c r="D55" s="47" t="s">
        <v>5411</v>
      </c>
    </row>
    <row r="56" spans="1:4" x14ac:dyDescent="0.3">
      <c r="A56" s="46">
        <v>1180</v>
      </c>
      <c r="B56" s="47" t="s">
        <v>10918</v>
      </c>
      <c r="C56" s="46">
        <v>1180</v>
      </c>
      <c r="D56" s="47" t="s">
        <v>10918</v>
      </c>
    </row>
    <row r="57" spans="1:4" x14ac:dyDescent="0.3">
      <c r="A57" s="46">
        <v>1352</v>
      </c>
      <c r="B57" s="47" t="s">
        <v>5527</v>
      </c>
      <c r="C57" s="46">
        <v>1352</v>
      </c>
      <c r="D57" s="47" t="s">
        <v>5527</v>
      </c>
    </row>
    <row r="58" spans="1:4" x14ac:dyDescent="0.3">
      <c r="A58" s="46">
        <v>1355</v>
      </c>
      <c r="B58" s="47" t="s">
        <v>10919</v>
      </c>
      <c r="C58" s="46">
        <v>1355</v>
      </c>
      <c r="D58" s="47" t="s">
        <v>10919</v>
      </c>
    </row>
    <row r="59" spans="1:4" x14ac:dyDescent="0.3">
      <c r="A59" s="46">
        <v>1397</v>
      </c>
      <c r="B59" s="47" t="s">
        <v>10920</v>
      </c>
      <c r="C59" s="46">
        <v>1397</v>
      </c>
      <c r="D59" s="47" t="s">
        <v>10920</v>
      </c>
    </row>
    <row r="60" spans="1:4" x14ac:dyDescent="0.3">
      <c r="A60" s="46">
        <v>1452</v>
      </c>
      <c r="B60" s="47" t="s">
        <v>5577</v>
      </c>
      <c r="C60" s="46">
        <v>1452</v>
      </c>
      <c r="D60" s="47" t="s">
        <v>5577</v>
      </c>
    </row>
    <row r="61" spans="1:4" x14ac:dyDescent="0.3">
      <c r="A61" s="46">
        <v>1459</v>
      </c>
      <c r="B61" s="47" t="s">
        <v>10921</v>
      </c>
      <c r="C61" s="46">
        <v>1459</v>
      </c>
      <c r="D61" s="47" t="s">
        <v>10921</v>
      </c>
    </row>
    <row r="62" spans="1:4" x14ac:dyDescent="0.3">
      <c r="A62" s="46">
        <v>1461</v>
      </c>
      <c r="B62" s="47" t="s">
        <v>10922</v>
      </c>
      <c r="C62" s="46">
        <v>1461</v>
      </c>
      <c r="D62" s="47" t="s">
        <v>10922</v>
      </c>
    </row>
    <row r="63" spans="1:4" x14ac:dyDescent="0.3">
      <c r="A63" s="46">
        <v>1463</v>
      </c>
      <c r="B63" s="47" t="s">
        <v>10923</v>
      </c>
      <c r="C63" s="46">
        <v>1463</v>
      </c>
      <c r="D63" s="47" t="s">
        <v>10923</v>
      </c>
    </row>
    <row r="64" spans="1:4" x14ac:dyDescent="0.3">
      <c r="A64" s="46">
        <v>1483</v>
      </c>
      <c r="B64" s="47" t="s">
        <v>5588</v>
      </c>
      <c r="C64" s="46">
        <v>1483</v>
      </c>
      <c r="D64" s="47" t="s">
        <v>5588</v>
      </c>
    </row>
    <row r="65" spans="1:4" x14ac:dyDescent="0.3">
      <c r="A65" s="46">
        <v>1508</v>
      </c>
      <c r="B65" s="47" t="s">
        <v>10924</v>
      </c>
      <c r="C65" s="46">
        <v>1508</v>
      </c>
      <c r="D65" s="47" t="s">
        <v>10924</v>
      </c>
    </row>
    <row r="66" spans="1:4" x14ac:dyDescent="0.3">
      <c r="A66" s="46">
        <v>1510</v>
      </c>
      <c r="B66" s="47" t="s">
        <v>5607</v>
      </c>
      <c r="C66" s="46">
        <v>1510</v>
      </c>
      <c r="D66" s="47" t="s">
        <v>5607</v>
      </c>
    </row>
    <row r="67" spans="1:4" x14ac:dyDescent="0.3">
      <c r="A67" s="46">
        <v>1511</v>
      </c>
      <c r="B67" s="47" t="s">
        <v>5608</v>
      </c>
      <c r="C67" s="46">
        <v>1511</v>
      </c>
      <c r="D67" s="47" t="s">
        <v>5608</v>
      </c>
    </row>
    <row r="68" spans="1:4" x14ac:dyDescent="0.3">
      <c r="A68" s="46">
        <v>1518</v>
      </c>
      <c r="B68" s="47" t="s">
        <v>5612</v>
      </c>
      <c r="C68" s="46">
        <v>1518</v>
      </c>
      <c r="D68" s="47" t="s">
        <v>5612</v>
      </c>
    </row>
    <row r="69" spans="1:4" x14ac:dyDescent="0.3">
      <c r="A69" s="46">
        <v>1531</v>
      </c>
      <c r="B69" s="47" t="s">
        <v>5619</v>
      </c>
      <c r="C69" s="46">
        <v>1531</v>
      </c>
      <c r="D69" s="47" t="s">
        <v>5619</v>
      </c>
    </row>
    <row r="70" spans="1:4" x14ac:dyDescent="0.3">
      <c r="A70" s="46">
        <v>1551</v>
      </c>
      <c r="B70" s="47" t="s">
        <v>5627</v>
      </c>
      <c r="C70" s="46">
        <v>1551</v>
      </c>
      <c r="D70" s="47" t="s">
        <v>5627</v>
      </c>
    </row>
    <row r="71" spans="1:4" x14ac:dyDescent="0.3">
      <c r="A71" s="46">
        <v>1552</v>
      </c>
      <c r="B71" s="47" t="s">
        <v>5628</v>
      </c>
      <c r="C71" s="46">
        <v>1552</v>
      </c>
      <c r="D71" s="47" t="s">
        <v>5628</v>
      </c>
    </row>
    <row r="72" spans="1:4" x14ac:dyDescent="0.3">
      <c r="A72" s="46">
        <v>1643</v>
      </c>
      <c r="B72" s="47" t="s">
        <v>10925</v>
      </c>
      <c r="C72" s="46">
        <v>1643</v>
      </c>
      <c r="D72" s="47" t="s">
        <v>10925</v>
      </c>
    </row>
    <row r="73" spans="1:4" x14ac:dyDescent="0.3">
      <c r="A73" s="46">
        <v>1653</v>
      </c>
      <c r="B73" s="47" t="s">
        <v>10926</v>
      </c>
      <c r="C73" s="46">
        <v>1653</v>
      </c>
      <c r="D73" s="47" t="s">
        <v>10926</v>
      </c>
    </row>
    <row r="74" spans="1:4" x14ac:dyDescent="0.3">
      <c r="A74" s="46">
        <v>1675</v>
      </c>
      <c r="B74" s="47" t="s">
        <v>5672</v>
      </c>
      <c r="C74" s="46">
        <v>1675</v>
      </c>
      <c r="D74" s="47" t="s">
        <v>5672</v>
      </c>
    </row>
    <row r="75" spans="1:4" x14ac:dyDescent="0.3">
      <c r="A75" s="46">
        <v>1682</v>
      </c>
      <c r="B75" s="47" t="s">
        <v>10927</v>
      </c>
      <c r="C75" s="46">
        <v>1682</v>
      </c>
      <c r="D75" s="47" t="s">
        <v>10927</v>
      </c>
    </row>
    <row r="76" spans="1:4" x14ac:dyDescent="0.3">
      <c r="A76" s="46">
        <v>1695</v>
      </c>
      <c r="B76" s="47" t="s">
        <v>10928</v>
      </c>
      <c r="C76" s="46">
        <v>1695</v>
      </c>
      <c r="D76" s="47" t="s">
        <v>10928</v>
      </c>
    </row>
    <row r="77" spans="1:4" x14ac:dyDescent="0.3">
      <c r="A77" s="46">
        <v>1713</v>
      </c>
      <c r="B77" s="47" t="s">
        <v>5691</v>
      </c>
      <c r="C77" s="46">
        <v>1713</v>
      </c>
      <c r="D77" s="47" t="s">
        <v>5691</v>
      </c>
    </row>
    <row r="78" spans="1:4" x14ac:dyDescent="0.3">
      <c r="A78" s="46">
        <v>1714</v>
      </c>
      <c r="B78" s="47" t="s">
        <v>10929</v>
      </c>
      <c r="C78" s="46">
        <v>1714</v>
      </c>
      <c r="D78" s="47" t="s">
        <v>10929</v>
      </c>
    </row>
    <row r="79" spans="1:4" x14ac:dyDescent="0.3">
      <c r="A79" s="46">
        <v>1771</v>
      </c>
      <c r="B79" s="47" t="s">
        <v>5708</v>
      </c>
      <c r="C79" s="46">
        <v>1771</v>
      </c>
      <c r="D79" s="47" t="s">
        <v>5708</v>
      </c>
    </row>
    <row r="80" spans="1:4" x14ac:dyDescent="0.3">
      <c r="A80" s="46">
        <v>1774</v>
      </c>
      <c r="B80" s="47" t="s">
        <v>5711</v>
      </c>
      <c r="C80" s="46">
        <v>1774</v>
      </c>
      <c r="D80" s="47" t="s">
        <v>5711</v>
      </c>
    </row>
    <row r="81" spans="1:4" x14ac:dyDescent="0.3">
      <c r="A81" s="46">
        <v>1195</v>
      </c>
      <c r="B81" s="47" t="s">
        <v>5425</v>
      </c>
      <c r="C81" s="46">
        <v>1195</v>
      </c>
      <c r="D81" s="47" t="s">
        <v>5425</v>
      </c>
    </row>
    <row r="82" spans="1:4" x14ac:dyDescent="0.3">
      <c r="A82" s="46">
        <v>1205</v>
      </c>
      <c r="B82" s="47" t="s">
        <v>5435</v>
      </c>
      <c r="C82" s="46">
        <v>1205</v>
      </c>
      <c r="D82" s="47" t="s">
        <v>5435</v>
      </c>
    </row>
    <row r="83" spans="1:4" x14ac:dyDescent="0.3">
      <c r="A83" s="46">
        <v>1206</v>
      </c>
      <c r="B83" s="47" t="s">
        <v>5436</v>
      </c>
      <c r="C83" s="46">
        <v>1206</v>
      </c>
      <c r="D83" s="47" t="s">
        <v>5436</v>
      </c>
    </row>
    <row r="84" spans="1:4" x14ac:dyDescent="0.3">
      <c r="A84" s="46">
        <v>1062</v>
      </c>
      <c r="B84" s="47" t="s">
        <v>5327</v>
      </c>
      <c r="C84" s="46">
        <v>1062</v>
      </c>
      <c r="D84" s="47" t="s">
        <v>5327</v>
      </c>
    </row>
    <row r="85" spans="1:4" x14ac:dyDescent="0.3">
      <c r="A85" s="46">
        <v>1063</v>
      </c>
      <c r="B85" s="47" t="s">
        <v>5329</v>
      </c>
      <c r="C85" s="46">
        <v>1063</v>
      </c>
      <c r="D85" s="47" t="s">
        <v>5329</v>
      </c>
    </row>
    <row r="86" spans="1:4" x14ac:dyDescent="0.3">
      <c r="A86" s="46">
        <v>1194</v>
      </c>
      <c r="B86" s="47" t="s">
        <v>5424</v>
      </c>
      <c r="C86" s="46">
        <v>1194</v>
      </c>
      <c r="D86" s="47" t="s">
        <v>5424</v>
      </c>
    </row>
    <row r="87" spans="1:4" x14ac:dyDescent="0.3">
      <c r="A87" s="46">
        <v>1207</v>
      </c>
      <c r="B87" s="47" t="s">
        <v>5437</v>
      </c>
      <c r="C87" s="46">
        <v>1207</v>
      </c>
      <c r="D87" s="47" t="s">
        <v>5437</v>
      </c>
    </row>
    <row r="88" spans="1:4" x14ac:dyDescent="0.3">
      <c r="A88" s="46">
        <v>1209</v>
      </c>
      <c r="B88" s="47" t="s">
        <v>5439</v>
      </c>
      <c r="C88" s="46">
        <v>1209</v>
      </c>
      <c r="D88" s="47" t="s">
        <v>5439</v>
      </c>
    </row>
    <row r="89" spans="1:4" x14ac:dyDescent="0.3">
      <c r="A89" s="46">
        <v>1218</v>
      </c>
      <c r="B89" s="47" t="s">
        <v>5445</v>
      </c>
      <c r="C89" s="46">
        <v>1218</v>
      </c>
      <c r="D89" s="47" t="s">
        <v>5445</v>
      </c>
    </row>
    <row r="90" spans="1:4" x14ac:dyDescent="0.3">
      <c r="A90" s="46">
        <v>1224</v>
      </c>
      <c r="B90" s="47" t="s">
        <v>5451</v>
      </c>
      <c r="C90" s="46">
        <v>1224</v>
      </c>
      <c r="D90" s="47" t="s">
        <v>5451</v>
      </c>
    </row>
    <row r="91" spans="1:4" x14ac:dyDescent="0.3">
      <c r="A91" s="46">
        <v>1266</v>
      </c>
      <c r="B91" s="47" t="s">
        <v>5476</v>
      </c>
      <c r="C91" s="46">
        <v>1266</v>
      </c>
      <c r="D91" s="47" t="s">
        <v>5476</v>
      </c>
    </row>
    <row r="92" spans="1:4" x14ac:dyDescent="0.3">
      <c r="A92" s="46">
        <v>1373</v>
      </c>
      <c r="B92" s="47" t="s">
        <v>5541</v>
      </c>
      <c r="C92" s="46">
        <v>1373</v>
      </c>
      <c r="D92" s="47" t="s">
        <v>5541</v>
      </c>
    </row>
    <row r="93" spans="1:4" x14ac:dyDescent="0.3">
      <c r="A93" s="46">
        <v>1527</v>
      </c>
      <c r="B93" s="47" t="s">
        <v>5616</v>
      </c>
      <c r="C93" s="46">
        <v>1527</v>
      </c>
      <c r="D93" s="47" t="s">
        <v>5616</v>
      </c>
    </row>
    <row r="94" spans="1:4" x14ac:dyDescent="0.3">
      <c r="A94" s="46">
        <v>1557</v>
      </c>
      <c r="B94" s="47" t="s">
        <v>5630</v>
      </c>
      <c r="C94" s="46">
        <v>1557</v>
      </c>
      <c r="D94" s="47" t="s">
        <v>5630</v>
      </c>
    </row>
    <row r="95" spans="1:4" x14ac:dyDescent="0.3">
      <c r="A95" s="46">
        <v>1559</v>
      </c>
      <c r="B95" s="47" t="s">
        <v>5632</v>
      </c>
      <c r="C95" s="46">
        <v>1559</v>
      </c>
      <c r="D95" s="47" t="s">
        <v>5632</v>
      </c>
    </row>
    <row r="96" spans="1:4" x14ac:dyDescent="0.3">
      <c r="A96" s="46">
        <v>1567</v>
      </c>
      <c r="B96" s="47" t="s">
        <v>5638</v>
      </c>
      <c r="C96" s="46">
        <v>1567</v>
      </c>
      <c r="D96" s="47" t="s">
        <v>5638</v>
      </c>
    </row>
    <row r="97" spans="1:4" x14ac:dyDescent="0.3">
      <c r="A97" s="46">
        <v>1669</v>
      </c>
      <c r="B97" s="47" t="s">
        <v>5666</v>
      </c>
      <c r="C97" s="46">
        <v>1669</v>
      </c>
      <c r="D97" s="47" t="s">
        <v>5666</v>
      </c>
    </row>
    <row r="98" spans="1:4" x14ac:dyDescent="0.3">
      <c r="A98" s="46">
        <v>1671</v>
      </c>
      <c r="B98" s="47" t="s">
        <v>5668</v>
      </c>
      <c r="C98" s="46">
        <v>1671</v>
      </c>
      <c r="D98" s="47" t="s">
        <v>5668</v>
      </c>
    </row>
    <row r="99" spans="1:4" x14ac:dyDescent="0.3">
      <c r="A99" s="46">
        <v>1776</v>
      </c>
      <c r="B99" s="47" t="s">
        <v>5713</v>
      </c>
      <c r="C99" s="46">
        <v>1776</v>
      </c>
      <c r="D99" s="47" t="s">
        <v>5713</v>
      </c>
    </row>
    <row r="100" spans="1:4" x14ac:dyDescent="0.3">
      <c r="A100" s="46">
        <v>1784</v>
      </c>
      <c r="B100" s="47" t="s">
        <v>5719</v>
      </c>
      <c r="C100" s="46">
        <v>1784</v>
      </c>
      <c r="D100" s="47" t="s">
        <v>5719</v>
      </c>
    </row>
    <row r="101" spans="1:4" x14ac:dyDescent="0.3">
      <c r="A101" s="46">
        <v>1052</v>
      </c>
      <c r="B101" s="47" t="s">
        <v>5320</v>
      </c>
      <c r="C101" s="46">
        <v>1052</v>
      </c>
      <c r="D101" s="47" t="s">
        <v>5320</v>
      </c>
    </row>
    <row r="102" spans="1:4" x14ac:dyDescent="0.3">
      <c r="A102" s="46">
        <v>1055</v>
      </c>
      <c r="B102" s="47" t="s">
        <v>5323</v>
      </c>
      <c r="C102" s="46">
        <v>1055</v>
      </c>
      <c r="D102" s="47" t="s">
        <v>5323</v>
      </c>
    </row>
    <row r="103" spans="1:4" x14ac:dyDescent="0.3">
      <c r="A103" s="46">
        <v>1056</v>
      </c>
      <c r="B103" s="47" t="s">
        <v>5324</v>
      </c>
      <c r="C103" s="46">
        <v>1056</v>
      </c>
      <c r="D103" s="47" t="s">
        <v>5324</v>
      </c>
    </row>
    <row r="104" spans="1:4" x14ac:dyDescent="0.3">
      <c r="A104" s="46">
        <v>1174</v>
      </c>
      <c r="B104" s="47" t="s">
        <v>5408</v>
      </c>
      <c r="C104" s="46">
        <v>1174</v>
      </c>
      <c r="D104" s="47" t="s">
        <v>5408</v>
      </c>
    </row>
    <row r="105" spans="1:4" x14ac:dyDescent="0.3">
      <c r="A105" s="46">
        <v>1198</v>
      </c>
      <c r="B105" s="47" t="s">
        <v>5428</v>
      </c>
      <c r="C105" s="46">
        <v>1198</v>
      </c>
      <c r="D105" s="47" t="s">
        <v>5428</v>
      </c>
    </row>
    <row r="106" spans="1:4" x14ac:dyDescent="0.3">
      <c r="A106" s="46">
        <v>1199</v>
      </c>
      <c r="B106" s="47" t="s">
        <v>5429</v>
      </c>
      <c r="C106" s="46">
        <v>1199</v>
      </c>
      <c r="D106" s="47" t="s">
        <v>5429</v>
      </c>
    </row>
    <row r="107" spans="1:4" x14ac:dyDescent="0.3">
      <c r="A107" s="46">
        <v>1200</v>
      </c>
      <c r="B107" s="47" t="s">
        <v>5430</v>
      </c>
      <c r="C107" s="46">
        <v>1200</v>
      </c>
      <c r="D107" s="47" t="s">
        <v>5430</v>
      </c>
    </row>
    <row r="108" spans="1:4" x14ac:dyDescent="0.3">
      <c r="A108" s="46">
        <v>1204</v>
      </c>
      <c r="B108" s="47" t="s">
        <v>5434</v>
      </c>
      <c r="C108" s="46">
        <v>1204</v>
      </c>
      <c r="D108" s="47" t="s">
        <v>5434</v>
      </c>
    </row>
    <row r="109" spans="1:4" x14ac:dyDescent="0.3">
      <c r="A109" s="46">
        <v>1203</v>
      </c>
      <c r="B109" s="47" t="s">
        <v>5433</v>
      </c>
      <c r="C109" s="46">
        <v>1203</v>
      </c>
      <c r="D109" s="47" t="s">
        <v>5433</v>
      </c>
    </row>
    <row r="110" spans="1:4" x14ac:dyDescent="0.3">
      <c r="A110" s="46">
        <v>1201</v>
      </c>
      <c r="B110" s="47" t="s">
        <v>5431</v>
      </c>
      <c r="C110" s="46">
        <v>1201</v>
      </c>
      <c r="D110" s="47" t="s">
        <v>5431</v>
      </c>
    </row>
    <row r="111" spans="1:4" x14ac:dyDescent="0.3">
      <c r="A111" s="46">
        <v>1202</v>
      </c>
      <c r="B111" s="47" t="s">
        <v>5432</v>
      </c>
      <c r="C111" s="46">
        <v>1202</v>
      </c>
      <c r="D111" s="47" t="s">
        <v>5432</v>
      </c>
    </row>
    <row r="112" spans="1:4" x14ac:dyDescent="0.3">
      <c r="A112" s="46">
        <v>1208</v>
      </c>
      <c r="B112" s="47" t="s">
        <v>5438</v>
      </c>
      <c r="C112" s="46">
        <v>1208</v>
      </c>
      <c r="D112" s="47" t="s">
        <v>5438</v>
      </c>
    </row>
    <row r="113" spans="1:4" x14ac:dyDescent="0.3">
      <c r="A113" s="46">
        <v>1216</v>
      </c>
      <c r="B113" s="47" t="s">
        <v>5443</v>
      </c>
      <c r="C113" s="46">
        <v>1216</v>
      </c>
      <c r="D113" s="47" t="s">
        <v>5443</v>
      </c>
    </row>
    <row r="114" spans="1:4" x14ac:dyDescent="0.3">
      <c r="A114" s="46">
        <v>1217</v>
      </c>
      <c r="B114" s="47" t="s">
        <v>5444</v>
      </c>
      <c r="C114" s="46">
        <v>1217</v>
      </c>
      <c r="D114" s="47" t="s">
        <v>5444</v>
      </c>
    </row>
    <row r="115" spans="1:4" x14ac:dyDescent="0.3">
      <c r="A115" s="46">
        <v>1219</v>
      </c>
      <c r="B115" s="47" t="s">
        <v>5446</v>
      </c>
      <c r="C115" s="46">
        <v>1219</v>
      </c>
      <c r="D115" s="47" t="s">
        <v>5446</v>
      </c>
    </row>
    <row r="116" spans="1:4" x14ac:dyDescent="0.3">
      <c r="A116" s="46">
        <v>1220</v>
      </c>
      <c r="B116" s="47" t="s">
        <v>5447</v>
      </c>
      <c r="C116" s="46">
        <v>1220</v>
      </c>
      <c r="D116" s="47" t="s">
        <v>5447</v>
      </c>
    </row>
    <row r="117" spans="1:4" x14ac:dyDescent="0.3">
      <c r="A117" s="46">
        <v>1221</v>
      </c>
      <c r="B117" s="47" t="s">
        <v>5448</v>
      </c>
      <c r="C117" s="46">
        <v>1221</v>
      </c>
      <c r="D117" s="47" t="s">
        <v>5448</v>
      </c>
    </row>
    <row r="118" spans="1:4" x14ac:dyDescent="0.3">
      <c r="A118" s="46">
        <v>1222</v>
      </c>
      <c r="B118" s="47" t="s">
        <v>5449</v>
      </c>
      <c r="C118" s="46">
        <v>1222</v>
      </c>
      <c r="D118" s="47" t="s">
        <v>5449</v>
      </c>
    </row>
    <row r="119" spans="1:4" x14ac:dyDescent="0.3">
      <c r="A119" s="46">
        <v>1223</v>
      </c>
      <c r="B119" s="47" t="s">
        <v>5450</v>
      </c>
      <c r="C119" s="46">
        <v>1223</v>
      </c>
      <c r="D119" s="47" t="s">
        <v>5450</v>
      </c>
    </row>
    <row r="120" spans="1:4" x14ac:dyDescent="0.3">
      <c r="A120" s="46">
        <v>1225</v>
      </c>
      <c r="B120" s="47" t="s">
        <v>5452</v>
      </c>
      <c r="C120" s="46">
        <v>1225</v>
      </c>
      <c r="D120" s="47" t="s">
        <v>5452</v>
      </c>
    </row>
    <row r="121" spans="1:4" x14ac:dyDescent="0.3">
      <c r="A121" s="46">
        <v>1226</v>
      </c>
      <c r="B121" s="47" t="s">
        <v>10930</v>
      </c>
      <c r="C121" s="46">
        <v>1226</v>
      </c>
      <c r="D121" s="47" t="s">
        <v>10930</v>
      </c>
    </row>
    <row r="122" spans="1:4" x14ac:dyDescent="0.3">
      <c r="A122" s="46">
        <v>1227</v>
      </c>
      <c r="B122" s="47" t="s">
        <v>5453</v>
      </c>
      <c r="C122" s="46">
        <v>1227</v>
      </c>
      <c r="D122" s="47" t="s">
        <v>5453</v>
      </c>
    </row>
    <row r="123" spans="1:4" x14ac:dyDescent="0.3">
      <c r="A123" s="46">
        <v>1228</v>
      </c>
      <c r="B123" s="47" t="s">
        <v>5454</v>
      </c>
      <c r="C123" s="46">
        <v>1228</v>
      </c>
      <c r="D123" s="47" t="s">
        <v>5454</v>
      </c>
    </row>
    <row r="124" spans="1:4" x14ac:dyDescent="0.3">
      <c r="A124" s="46">
        <v>1229</v>
      </c>
      <c r="B124" s="47" t="s">
        <v>5455</v>
      </c>
      <c r="C124" s="46">
        <v>1229</v>
      </c>
      <c r="D124" s="47" t="s">
        <v>5455</v>
      </c>
    </row>
    <row r="125" spans="1:4" x14ac:dyDescent="0.3">
      <c r="A125" s="46">
        <v>1230</v>
      </c>
      <c r="B125" s="47" t="s">
        <v>5456</v>
      </c>
      <c r="C125" s="46">
        <v>1230</v>
      </c>
      <c r="D125" s="47" t="s">
        <v>5456</v>
      </c>
    </row>
    <row r="126" spans="1:4" x14ac:dyDescent="0.3">
      <c r="A126" s="46">
        <v>1252</v>
      </c>
      <c r="B126" s="47" t="s">
        <v>5466</v>
      </c>
      <c r="C126" s="46">
        <v>1252</v>
      </c>
      <c r="D126" s="47" t="s">
        <v>5466</v>
      </c>
    </row>
    <row r="127" spans="1:4" x14ac:dyDescent="0.3">
      <c r="A127" s="46">
        <v>1265</v>
      </c>
      <c r="B127" s="47" t="s">
        <v>10931</v>
      </c>
      <c r="C127" s="46">
        <v>1265</v>
      </c>
      <c r="D127" s="47" t="s">
        <v>10931</v>
      </c>
    </row>
    <row r="128" spans="1:4" x14ac:dyDescent="0.3">
      <c r="A128" s="46">
        <v>1293</v>
      </c>
      <c r="B128" s="47" t="s">
        <v>10932</v>
      </c>
      <c r="C128" s="46">
        <v>1293</v>
      </c>
      <c r="D128" s="47" t="s">
        <v>10932</v>
      </c>
    </row>
    <row r="129" spans="1:4" x14ac:dyDescent="0.3">
      <c r="A129" s="46">
        <v>1305</v>
      </c>
      <c r="B129" s="47" t="s">
        <v>5501</v>
      </c>
      <c r="C129" s="46">
        <v>1305</v>
      </c>
      <c r="D129" s="47" t="s">
        <v>5501</v>
      </c>
    </row>
    <row r="130" spans="1:4" x14ac:dyDescent="0.3">
      <c r="A130" s="46">
        <v>1372</v>
      </c>
      <c r="B130" s="47" t="s">
        <v>5540</v>
      </c>
      <c r="C130" s="46">
        <v>1372</v>
      </c>
      <c r="D130" s="47" t="s">
        <v>5540</v>
      </c>
    </row>
    <row r="131" spans="1:4" x14ac:dyDescent="0.3">
      <c r="A131" s="46">
        <v>1394</v>
      </c>
      <c r="B131" s="47" t="s">
        <v>10933</v>
      </c>
      <c r="C131" s="46">
        <v>1394</v>
      </c>
      <c r="D131" s="47" t="s">
        <v>10933</v>
      </c>
    </row>
    <row r="132" spans="1:4" x14ac:dyDescent="0.3">
      <c r="A132" s="46">
        <v>1396</v>
      </c>
      <c r="B132" s="47" t="s">
        <v>5550</v>
      </c>
      <c r="C132" s="46">
        <v>1396</v>
      </c>
      <c r="D132" s="47" t="s">
        <v>5550</v>
      </c>
    </row>
    <row r="133" spans="1:4" x14ac:dyDescent="0.3">
      <c r="A133" s="46">
        <v>1400</v>
      </c>
      <c r="B133" s="47" t="s">
        <v>5552</v>
      </c>
      <c r="C133" s="46">
        <v>1400</v>
      </c>
      <c r="D133" s="47" t="s">
        <v>5552</v>
      </c>
    </row>
    <row r="134" spans="1:4" x14ac:dyDescent="0.3">
      <c r="A134" s="46">
        <v>1402</v>
      </c>
      <c r="B134" s="47" t="s">
        <v>5554</v>
      </c>
      <c r="C134" s="46">
        <v>1402</v>
      </c>
      <c r="D134" s="47" t="s">
        <v>5554</v>
      </c>
    </row>
    <row r="135" spans="1:4" x14ac:dyDescent="0.3">
      <c r="A135" s="46">
        <v>1404</v>
      </c>
      <c r="B135" s="47" t="s">
        <v>10934</v>
      </c>
      <c r="C135" s="46">
        <v>1404</v>
      </c>
      <c r="D135" s="47" t="s">
        <v>10934</v>
      </c>
    </row>
    <row r="136" spans="1:4" x14ac:dyDescent="0.3">
      <c r="A136" s="46">
        <v>1405</v>
      </c>
      <c r="B136" s="47" t="s">
        <v>10935</v>
      </c>
      <c r="C136" s="46">
        <v>1405</v>
      </c>
      <c r="D136" s="47" t="s">
        <v>10935</v>
      </c>
    </row>
    <row r="137" spans="1:4" x14ac:dyDescent="0.3">
      <c r="A137" s="46">
        <v>1406</v>
      </c>
      <c r="B137" s="47" t="s">
        <v>10936</v>
      </c>
      <c r="C137" s="46">
        <v>1406</v>
      </c>
      <c r="D137" s="47" t="s">
        <v>10936</v>
      </c>
    </row>
    <row r="138" spans="1:4" x14ac:dyDescent="0.3">
      <c r="A138" s="46">
        <v>1407</v>
      </c>
      <c r="B138" s="47" t="s">
        <v>5555</v>
      </c>
      <c r="C138" s="46">
        <v>1407</v>
      </c>
      <c r="D138" s="47" t="s">
        <v>5555</v>
      </c>
    </row>
    <row r="139" spans="1:4" x14ac:dyDescent="0.3">
      <c r="A139" s="46">
        <v>1428</v>
      </c>
      <c r="B139" s="47" t="s">
        <v>5564</v>
      </c>
      <c r="C139" s="46">
        <v>1428</v>
      </c>
      <c r="D139" s="47" t="s">
        <v>5564</v>
      </c>
    </row>
    <row r="140" spans="1:4" x14ac:dyDescent="0.3">
      <c r="A140" s="46">
        <v>1436</v>
      </c>
      <c r="B140" s="47" t="s">
        <v>10937</v>
      </c>
      <c r="C140" s="46">
        <v>1436</v>
      </c>
      <c r="D140" s="47" t="s">
        <v>10937</v>
      </c>
    </row>
    <row r="141" spans="1:4" x14ac:dyDescent="0.3">
      <c r="A141" s="46">
        <v>1437</v>
      </c>
      <c r="B141" s="47" t="s">
        <v>10938</v>
      </c>
      <c r="C141" s="46">
        <v>1437</v>
      </c>
      <c r="D141" s="47" t="s">
        <v>10938</v>
      </c>
    </row>
    <row r="142" spans="1:4" x14ac:dyDescent="0.3">
      <c r="A142" s="46">
        <v>1443</v>
      </c>
      <c r="B142" s="47" t="s">
        <v>5571</v>
      </c>
      <c r="C142" s="46">
        <v>1443</v>
      </c>
      <c r="D142" s="47" t="s">
        <v>5571</v>
      </c>
    </row>
    <row r="143" spans="1:4" x14ac:dyDescent="0.3">
      <c r="A143" s="46">
        <v>1444</v>
      </c>
      <c r="B143" s="47" t="s">
        <v>5572</v>
      </c>
      <c r="C143" s="46">
        <v>1444</v>
      </c>
      <c r="D143" s="47" t="s">
        <v>5572</v>
      </c>
    </row>
    <row r="144" spans="1:4" x14ac:dyDescent="0.3">
      <c r="A144" s="46">
        <v>1509</v>
      </c>
      <c r="B144" s="47" t="s">
        <v>5606</v>
      </c>
      <c r="C144" s="46">
        <v>1509</v>
      </c>
      <c r="D144" s="47" t="s">
        <v>5606</v>
      </c>
    </row>
    <row r="145" spans="1:4" x14ac:dyDescent="0.3">
      <c r="A145" s="46">
        <v>1528</v>
      </c>
      <c r="B145" s="47" t="s">
        <v>10939</v>
      </c>
      <c r="C145" s="46">
        <v>1528</v>
      </c>
      <c r="D145" s="47" t="s">
        <v>10939</v>
      </c>
    </row>
    <row r="146" spans="1:4" x14ac:dyDescent="0.3">
      <c r="A146" s="46">
        <v>1539</v>
      </c>
      <c r="B146" s="47" t="s">
        <v>10940</v>
      </c>
      <c r="C146" s="46">
        <v>1539</v>
      </c>
      <c r="D146" s="47" t="s">
        <v>10940</v>
      </c>
    </row>
    <row r="147" spans="1:4" x14ac:dyDescent="0.3">
      <c r="A147" s="46">
        <v>1561</v>
      </c>
      <c r="B147" s="47" t="s">
        <v>5634</v>
      </c>
      <c r="C147" s="46">
        <v>1561</v>
      </c>
      <c r="D147" s="47" t="s">
        <v>5634</v>
      </c>
    </row>
    <row r="148" spans="1:4" x14ac:dyDescent="0.3">
      <c r="A148" s="46">
        <v>1562</v>
      </c>
      <c r="B148" s="47" t="s">
        <v>5635</v>
      </c>
      <c r="C148" s="46">
        <v>1562</v>
      </c>
      <c r="D148" s="47" t="s">
        <v>5635</v>
      </c>
    </row>
    <row r="149" spans="1:4" x14ac:dyDescent="0.3">
      <c r="A149" s="46">
        <v>1558</v>
      </c>
      <c r="B149" s="47" t="s">
        <v>5631</v>
      </c>
      <c r="C149" s="46">
        <v>1558</v>
      </c>
      <c r="D149" s="47" t="s">
        <v>5631</v>
      </c>
    </row>
    <row r="150" spans="1:4" x14ac:dyDescent="0.3">
      <c r="A150" s="46">
        <v>1560</v>
      </c>
      <c r="B150" s="47" t="s">
        <v>5633</v>
      </c>
      <c r="C150" s="46">
        <v>1560</v>
      </c>
      <c r="D150" s="47" t="s">
        <v>5633</v>
      </c>
    </row>
    <row r="151" spans="1:4" x14ac:dyDescent="0.3">
      <c r="A151" s="46">
        <v>1563</v>
      </c>
      <c r="B151" s="47" t="s">
        <v>5636</v>
      </c>
      <c r="C151" s="46">
        <v>1563</v>
      </c>
      <c r="D151" s="47" t="s">
        <v>5636</v>
      </c>
    </row>
    <row r="152" spans="1:4" x14ac:dyDescent="0.3">
      <c r="A152" s="46">
        <v>1564</v>
      </c>
      <c r="B152" s="47" t="s">
        <v>10941</v>
      </c>
      <c r="C152" s="46">
        <v>1564</v>
      </c>
      <c r="D152" s="47" t="s">
        <v>10941</v>
      </c>
    </row>
    <row r="153" spans="1:4" x14ac:dyDescent="0.3">
      <c r="A153" s="46">
        <v>1565</v>
      </c>
      <c r="B153" s="47" t="s">
        <v>5637</v>
      </c>
      <c r="C153" s="46">
        <v>1565</v>
      </c>
      <c r="D153" s="47" t="s">
        <v>5637</v>
      </c>
    </row>
    <row r="154" spans="1:4" x14ac:dyDescent="0.3">
      <c r="A154" s="46">
        <v>1566</v>
      </c>
      <c r="B154" s="47" t="s">
        <v>10942</v>
      </c>
      <c r="C154" s="46">
        <v>1566</v>
      </c>
      <c r="D154" s="47" t="s">
        <v>10942</v>
      </c>
    </row>
    <row r="155" spans="1:4" x14ac:dyDescent="0.3">
      <c r="A155" s="46">
        <v>1568</v>
      </c>
      <c r="B155" s="47" t="s">
        <v>10943</v>
      </c>
      <c r="C155" s="46">
        <v>1568</v>
      </c>
      <c r="D155" s="47" t="s">
        <v>10943</v>
      </c>
    </row>
    <row r="156" spans="1:4" x14ac:dyDescent="0.3">
      <c r="A156" s="46">
        <v>1569</v>
      </c>
      <c r="B156" s="47" t="s">
        <v>10944</v>
      </c>
      <c r="C156" s="46">
        <v>1569</v>
      </c>
      <c r="D156" s="47" t="s">
        <v>10944</v>
      </c>
    </row>
    <row r="157" spans="1:4" x14ac:dyDescent="0.3">
      <c r="A157" s="46">
        <v>1570</v>
      </c>
      <c r="B157" s="47" t="s">
        <v>5639</v>
      </c>
      <c r="C157" s="46">
        <v>1570</v>
      </c>
      <c r="D157" s="47" t="s">
        <v>5639</v>
      </c>
    </row>
    <row r="158" spans="1:4" x14ac:dyDescent="0.3">
      <c r="A158" s="46">
        <v>1670</v>
      </c>
      <c r="B158" s="47" t="s">
        <v>5667</v>
      </c>
      <c r="C158" s="46">
        <v>1670</v>
      </c>
      <c r="D158" s="47" t="s">
        <v>5667</v>
      </c>
    </row>
    <row r="159" spans="1:4" x14ac:dyDescent="0.3">
      <c r="A159" s="46">
        <v>1672</v>
      </c>
      <c r="B159" s="47" t="s">
        <v>5669</v>
      </c>
      <c r="C159" s="46">
        <v>1672</v>
      </c>
      <c r="D159" s="47" t="s">
        <v>5669</v>
      </c>
    </row>
    <row r="160" spans="1:4" x14ac:dyDescent="0.3">
      <c r="A160" s="46">
        <v>1689</v>
      </c>
      <c r="B160" s="47" t="s">
        <v>10945</v>
      </c>
      <c r="C160" s="46">
        <v>1689</v>
      </c>
      <c r="D160" s="47" t="s">
        <v>10945</v>
      </c>
    </row>
    <row r="161" spans="1:4" x14ac:dyDescent="0.3">
      <c r="A161" s="46">
        <v>1690</v>
      </c>
      <c r="B161" s="47" t="s">
        <v>10946</v>
      </c>
      <c r="C161" s="46">
        <v>1690</v>
      </c>
      <c r="D161" s="47" t="s">
        <v>10946</v>
      </c>
    </row>
    <row r="162" spans="1:4" x14ac:dyDescent="0.3">
      <c r="A162" s="46">
        <v>1697</v>
      </c>
      <c r="B162" s="47" t="s">
        <v>5683</v>
      </c>
      <c r="C162" s="46">
        <v>1697</v>
      </c>
      <c r="D162" s="47" t="s">
        <v>5683</v>
      </c>
    </row>
    <row r="163" spans="1:4" x14ac:dyDescent="0.3">
      <c r="A163" s="46">
        <v>1698</v>
      </c>
      <c r="B163" s="47" t="s">
        <v>5684</v>
      </c>
      <c r="C163" s="46">
        <v>1698</v>
      </c>
      <c r="D163" s="47" t="s">
        <v>5684</v>
      </c>
    </row>
    <row r="164" spans="1:4" x14ac:dyDescent="0.3">
      <c r="A164" s="46">
        <v>1716</v>
      </c>
      <c r="B164" s="47" t="s">
        <v>10947</v>
      </c>
      <c r="C164" s="46">
        <v>1716</v>
      </c>
      <c r="D164" s="47" t="s">
        <v>10947</v>
      </c>
    </row>
    <row r="165" spans="1:4" x14ac:dyDescent="0.3">
      <c r="A165" s="46">
        <v>1720</v>
      </c>
      <c r="B165" s="47" t="s">
        <v>10948</v>
      </c>
      <c r="C165" s="46">
        <v>1720</v>
      </c>
      <c r="D165" s="47" t="s">
        <v>10948</v>
      </c>
    </row>
    <row r="166" spans="1:4" x14ac:dyDescent="0.3">
      <c r="A166" s="46">
        <v>1773</v>
      </c>
      <c r="B166" s="47" t="s">
        <v>5710</v>
      </c>
      <c r="C166" s="46">
        <v>1773</v>
      </c>
      <c r="D166" s="47" t="s">
        <v>5710</v>
      </c>
    </row>
    <row r="167" spans="1:4" x14ac:dyDescent="0.3">
      <c r="A167" s="46">
        <v>1777</v>
      </c>
      <c r="B167" s="47" t="s">
        <v>5714</v>
      </c>
      <c r="C167" s="46">
        <v>1777</v>
      </c>
      <c r="D167" s="47" t="s">
        <v>5714</v>
      </c>
    </row>
    <row r="168" spans="1:4" x14ac:dyDescent="0.3">
      <c r="A168" s="46">
        <v>1787</v>
      </c>
      <c r="B168" s="47" t="s">
        <v>5722</v>
      </c>
      <c r="C168" s="46">
        <v>1787</v>
      </c>
      <c r="D168" s="47" t="s">
        <v>5722</v>
      </c>
    </row>
    <row r="169" spans="1:4" x14ac:dyDescent="0.3">
      <c r="A169" s="46">
        <v>1788</v>
      </c>
      <c r="B169" s="47" t="s">
        <v>5723</v>
      </c>
      <c r="C169" s="46">
        <v>1788</v>
      </c>
      <c r="D169" s="47" t="s">
        <v>5723</v>
      </c>
    </row>
    <row r="170" spans="1:4" x14ac:dyDescent="0.3">
      <c r="A170" s="46">
        <v>1786</v>
      </c>
      <c r="B170" s="47" t="s">
        <v>5721</v>
      </c>
      <c r="C170" s="46">
        <v>1786</v>
      </c>
      <c r="D170" s="47" t="s">
        <v>5721</v>
      </c>
    </row>
    <row r="171" spans="1:4" x14ac:dyDescent="0.3">
      <c r="A171" s="46">
        <v>1807</v>
      </c>
      <c r="B171" s="47" t="s">
        <v>5730</v>
      </c>
      <c r="C171" s="46">
        <v>1807</v>
      </c>
      <c r="D171" s="47" t="s">
        <v>5730</v>
      </c>
    </row>
    <row r="172" spans="1:4" x14ac:dyDescent="0.3">
      <c r="A172" s="46">
        <v>1231</v>
      </c>
      <c r="B172" s="47" t="s">
        <v>5457</v>
      </c>
      <c r="C172" s="46">
        <v>1231</v>
      </c>
      <c r="D172" s="47" t="s">
        <v>5457</v>
      </c>
    </row>
    <row r="173" spans="1:4" x14ac:dyDescent="0.3">
      <c r="A173" s="46">
        <v>1232</v>
      </c>
      <c r="B173" s="47" t="s">
        <v>5458</v>
      </c>
      <c r="C173" s="46">
        <v>1232</v>
      </c>
      <c r="D173" s="47" t="s">
        <v>5458</v>
      </c>
    </row>
    <row r="174" spans="1:4" x14ac:dyDescent="0.3">
      <c r="A174" s="46">
        <v>1126</v>
      </c>
      <c r="B174" s="47" t="s">
        <v>5375</v>
      </c>
      <c r="C174" s="46">
        <v>1126</v>
      </c>
      <c r="D174" s="47" t="s">
        <v>5375</v>
      </c>
    </row>
    <row r="175" spans="1:4" x14ac:dyDescent="0.3">
      <c r="A175" s="46">
        <v>1156</v>
      </c>
      <c r="B175" s="47" t="s">
        <v>12501</v>
      </c>
      <c r="C175" s="46">
        <v>1156</v>
      </c>
      <c r="D175" s="47" t="s">
        <v>12501</v>
      </c>
    </row>
    <row r="176" spans="1:4" x14ac:dyDescent="0.3">
      <c r="A176" s="46">
        <v>1325</v>
      </c>
      <c r="B176" s="47" t="s">
        <v>5512</v>
      </c>
      <c r="C176" s="46">
        <v>1325</v>
      </c>
      <c r="D176" s="47" t="s">
        <v>5512</v>
      </c>
    </row>
    <row r="177" spans="1:4" x14ac:dyDescent="0.3">
      <c r="A177" s="46">
        <v>1517</v>
      </c>
      <c r="B177" s="47" t="s">
        <v>5611</v>
      </c>
      <c r="C177" s="46">
        <v>1517</v>
      </c>
      <c r="D177" s="47" t="s">
        <v>5611</v>
      </c>
    </row>
    <row r="178" spans="1:4" x14ac:dyDescent="0.3">
      <c r="A178" s="46">
        <v>1656</v>
      </c>
      <c r="B178" s="47" t="s">
        <v>10949</v>
      </c>
      <c r="C178" s="46">
        <v>1656</v>
      </c>
      <c r="D178" s="47" t="s">
        <v>10949</v>
      </c>
    </row>
    <row r="179" spans="1:4" x14ac:dyDescent="0.3">
      <c r="A179" s="46">
        <v>1673</v>
      </c>
      <c r="B179" s="47" t="s">
        <v>5670</v>
      </c>
      <c r="C179" s="46">
        <v>1673</v>
      </c>
      <c r="D179" s="47" t="s">
        <v>5670</v>
      </c>
    </row>
    <row r="180" spans="1:4" x14ac:dyDescent="0.3">
      <c r="A180" s="46">
        <v>1005</v>
      </c>
      <c r="B180" s="47" t="s">
        <v>102</v>
      </c>
      <c r="C180" s="46">
        <v>1005</v>
      </c>
      <c r="D180" s="47" t="s">
        <v>102</v>
      </c>
    </row>
    <row r="181" spans="1:4" x14ac:dyDescent="0.3">
      <c r="A181" s="46">
        <v>1016</v>
      </c>
      <c r="B181" s="47" t="s">
        <v>116</v>
      </c>
      <c r="C181" s="46">
        <v>1016</v>
      </c>
      <c r="D181" s="47" t="s">
        <v>116</v>
      </c>
    </row>
    <row r="182" spans="1:4" x14ac:dyDescent="0.3">
      <c r="A182" s="46">
        <v>1026</v>
      </c>
      <c r="B182" s="47" t="s">
        <v>5304</v>
      </c>
      <c r="C182" s="46">
        <v>1026</v>
      </c>
      <c r="D182" s="47" t="s">
        <v>5304</v>
      </c>
    </row>
    <row r="183" spans="1:4" x14ac:dyDescent="0.3">
      <c r="A183" s="46">
        <v>1048</v>
      </c>
      <c r="B183" s="47" t="s">
        <v>5318</v>
      </c>
      <c r="C183" s="46">
        <v>1048</v>
      </c>
      <c r="D183" s="47" t="s">
        <v>5318</v>
      </c>
    </row>
    <row r="184" spans="1:4" x14ac:dyDescent="0.3">
      <c r="A184" s="46">
        <v>1088</v>
      </c>
      <c r="B184" s="47" t="s">
        <v>5347</v>
      </c>
      <c r="C184" s="46">
        <v>1088</v>
      </c>
      <c r="D184" s="47" t="s">
        <v>5347</v>
      </c>
    </row>
    <row r="185" spans="1:4" x14ac:dyDescent="0.3">
      <c r="A185" s="46">
        <v>1090</v>
      </c>
      <c r="B185" s="47" t="s">
        <v>5349</v>
      </c>
      <c r="C185" s="46">
        <v>1090</v>
      </c>
      <c r="D185" s="47" t="s">
        <v>5349</v>
      </c>
    </row>
    <row r="186" spans="1:4" x14ac:dyDescent="0.3">
      <c r="A186" s="46">
        <v>1094</v>
      </c>
      <c r="B186" s="47" t="s">
        <v>5353</v>
      </c>
      <c r="C186" s="46">
        <v>1094</v>
      </c>
      <c r="D186" s="47" t="s">
        <v>5353</v>
      </c>
    </row>
    <row r="187" spans="1:4" x14ac:dyDescent="0.3">
      <c r="A187" s="46">
        <v>1152</v>
      </c>
      <c r="B187" s="47" t="s">
        <v>5391</v>
      </c>
      <c r="C187" s="46">
        <v>1152</v>
      </c>
      <c r="D187" s="47" t="s">
        <v>5391</v>
      </c>
    </row>
    <row r="188" spans="1:4" x14ac:dyDescent="0.3">
      <c r="A188" s="46">
        <v>1159</v>
      </c>
      <c r="B188" s="47" t="s">
        <v>5396</v>
      </c>
      <c r="C188" s="46">
        <v>1159</v>
      </c>
      <c r="D188" s="47" t="s">
        <v>5396</v>
      </c>
    </row>
    <row r="189" spans="1:4" x14ac:dyDescent="0.3">
      <c r="A189" s="46">
        <v>1165</v>
      </c>
      <c r="B189" s="47" t="s">
        <v>5402</v>
      </c>
      <c r="C189" s="46">
        <v>1165</v>
      </c>
      <c r="D189" s="47" t="s">
        <v>5402</v>
      </c>
    </row>
    <row r="190" spans="1:4" x14ac:dyDescent="0.3">
      <c r="A190" s="46">
        <v>1189</v>
      </c>
      <c r="B190" s="47" t="s">
        <v>5419</v>
      </c>
      <c r="C190" s="46">
        <v>1189</v>
      </c>
      <c r="D190" s="47" t="s">
        <v>5419</v>
      </c>
    </row>
    <row r="191" spans="1:4" x14ac:dyDescent="0.3">
      <c r="A191" s="46">
        <v>1213</v>
      </c>
      <c r="B191" s="47" t="s">
        <v>5442</v>
      </c>
      <c r="C191" s="46">
        <v>1213</v>
      </c>
      <c r="D191" s="47" t="s">
        <v>5442</v>
      </c>
    </row>
    <row r="192" spans="1:4" x14ac:dyDescent="0.3">
      <c r="A192" s="46">
        <v>1235</v>
      </c>
      <c r="B192" s="47" t="s">
        <v>10950</v>
      </c>
      <c r="C192" s="46">
        <v>1235</v>
      </c>
      <c r="D192" s="47" t="s">
        <v>10950</v>
      </c>
    </row>
    <row r="193" spans="1:4" x14ac:dyDescent="0.3">
      <c r="A193" s="46">
        <v>1236</v>
      </c>
      <c r="B193" s="47" t="s">
        <v>10951</v>
      </c>
      <c r="C193" s="46">
        <v>1236</v>
      </c>
      <c r="D193" s="47" t="s">
        <v>10951</v>
      </c>
    </row>
    <row r="194" spans="1:4" x14ac:dyDescent="0.3">
      <c r="A194" s="46">
        <v>1237</v>
      </c>
      <c r="B194" s="47" t="s">
        <v>10952</v>
      </c>
      <c r="C194" s="46">
        <v>1237</v>
      </c>
      <c r="D194" s="47" t="s">
        <v>10952</v>
      </c>
    </row>
    <row r="195" spans="1:4" x14ac:dyDescent="0.3">
      <c r="A195" s="46">
        <v>1268</v>
      </c>
      <c r="B195" s="47" t="s">
        <v>10953</v>
      </c>
      <c r="C195" s="46">
        <v>1268</v>
      </c>
      <c r="D195" s="47" t="s">
        <v>10953</v>
      </c>
    </row>
    <row r="196" spans="1:4" x14ac:dyDescent="0.3">
      <c r="A196" s="46">
        <v>1273</v>
      </c>
      <c r="B196" s="47" t="s">
        <v>5482</v>
      </c>
      <c r="C196" s="46">
        <v>1273</v>
      </c>
      <c r="D196" s="47" t="s">
        <v>5482</v>
      </c>
    </row>
    <row r="197" spans="1:4" x14ac:dyDescent="0.3">
      <c r="A197" s="46">
        <v>1296</v>
      </c>
      <c r="B197" s="47" t="s">
        <v>5495</v>
      </c>
      <c r="C197" s="46">
        <v>1296</v>
      </c>
      <c r="D197" s="47" t="s">
        <v>5495</v>
      </c>
    </row>
    <row r="198" spans="1:4" x14ac:dyDescent="0.3">
      <c r="A198" s="46">
        <v>1298</v>
      </c>
      <c r="B198" s="47" t="s">
        <v>5497</v>
      </c>
      <c r="C198" s="46">
        <v>1298</v>
      </c>
      <c r="D198" s="47" t="s">
        <v>5497</v>
      </c>
    </row>
    <row r="199" spans="1:4" x14ac:dyDescent="0.3">
      <c r="A199" s="46">
        <v>1326</v>
      </c>
      <c r="B199" s="47" t="s">
        <v>5513</v>
      </c>
      <c r="C199" s="46">
        <v>1326</v>
      </c>
      <c r="D199" s="47" t="s">
        <v>5513</v>
      </c>
    </row>
    <row r="200" spans="1:4" x14ac:dyDescent="0.3">
      <c r="A200" s="46">
        <v>1440</v>
      </c>
      <c r="B200" s="47" t="s">
        <v>5568</v>
      </c>
      <c r="C200" s="46">
        <v>1440</v>
      </c>
      <c r="D200" s="47" t="s">
        <v>5568</v>
      </c>
    </row>
    <row r="201" spans="1:4" x14ac:dyDescent="0.3">
      <c r="A201" s="46">
        <v>1442</v>
      </c>
      <c r="B201" s="47" t="s">
        <v>5570</v>
      </c>
      <c r="C201" s="46">
        <v>1442</v>
      </c>
      <c r="D201" s="47" t="s">
        <v>5570</v>
      </c>
    </row>
    <row r="202" spans="1:4" x14ac:dyDescent="0.3">
      <c r="A202" s="46">
        <v>1648</v>
      </c>
      <c r="B202" s="47" t="s">
        <v>5653</v>
      </c>
      <c r="C202" s="46">
        <v>1648</v>
      </c>
      <c r="D202" s="47" t="s">
        <v>5653</v>
      </c>
    </row>
    <row r="203" spans="1:4" x14ac:dyDescent="0.3">
      <c r="A203" s="46">
        <v>1661</v>
      </c>
      <c r="B203" s="47" t="s">
        <v>5660</v>
      </c>
      <c r="C203" s="46">
        <v>1661</v>
      </c>
      <c r="D203" s="47" t="s">
        <v>5660</v>
      </c>
    </row>
    <row r="204" spans="1:4" x14ac:dyDescent="0.3">
      <c r="A204" s="46">
        <v>1678</v>
      </c>
      <c r="B204" s="47" t="s">
        <v>5675</v>
      </c>
      <c r="C204" s="46">
        <v>1678</v>
      </c>
      <c r="D204" s="47" t="s">
        <v>5675</v>
      </c>
    </row>
    <row r="205" spans="1:4" x14ac:dyDescent="0.3">
      <c r="A205" s="46">
        <v>1731</v>
      </c>
      <c r="B205" s="47" t="s">
        <v>5695</v>
      </c>
      <c r="C205" s="46">
        <v>1731</v>
      </c>
      <c r="D205" s="47" t="s">
        <v>5695</v>
      </c>
    </row>
    <row r="206" spans="1:4" x14ac:dyDescent="0.3">
      <c r="A206" s="46">
        <v>1793</v>
      </c>
      <c r="B206" s="47" t="s">
        <v>5725</v>
      </c>
      <c r="C206" s="46">
        <v>1793</v>
      </c>
      <c r="D206" s="47" t="s">
        <v>5725</v>
      </c>
    </row>
    <row r="207" spans="1:4" x14ac:dyDescent="0.3">
      <c r="A207" s="46">
        <v>1801</v>
      </c>
      <c r="B207" s="47" t="s">
        <v>5726</v>
      </c>
      <c r="C207" s="46">
        <v>1801</v>
      </c>
      <c r="D207" s="47" t="s">
        <v>5726</v>
      </c>
    </row>
    <row r="208" spans="1:4" x14ac:dyDescent="0.3">
      <c r="A208" s="46">
        <v>1002</v>
      </c>
      <c r="B208" s="47" t="s">
        <v>98</v>
      </c>
      <c r="C208" s="46">
        <v>1002</v>
      </c>
      <c r="D208" s="47" t="s">
        <v>98</v>
      </c>
    </row>
    <row r="209" spans="1:4" x14ac:dyDescent="0.3">
      <c r="A209" s="46">
        <v>1004</v>
      </c>
      <c r="B209" s="47" t="s">
        <v>10954</v>
      </c>
      <c r="C209" s="46">
        <v>1004</v>
      </c>
      <c r="D209" s="47" t="s">
        <v>10954</v>
      </c>
    </row>
    <row r="210" spans="1:4" x14ac:dyDescent="0.3">
      <c r="A210" s="46">
        <v>1006</v>
      </c>
      <c r="B210" s="47" t="s">
        <v>104</v>
      </c>
      <c r="C210" s="46">
        <v>1006</v>
      </c>
      <c r="D210" s="47" t="s">
        <v>104</v>
      </c>
    </row>
    <row r="211" spans="1:4" x14ac:dyDescent="0.3">
      <c r="A211" s="46">
        <v>1007</v>
      </c>
      <c r="B211" s="47" t="s">
        <v>105</v>
      </c>
      <c r="C211" s="46">
        <v>1007</v>
      </c>
      <c r="D211" s="47" t="s">
        <v>105</v>
      </c>
    </row>
    <row r="212" spans="1:4" x14ac:dyDescent="0.3">
      <c r="A212" s="46">
        <v>1008</v>
      </c>
      <c r="B212" s="47" t="s">
        <v>106</v>
      </c>
      <c r="C212" s="46">
        <v>1008</v>
      </c>
      <c r="D212" s="47" t="s">
        <v>106</v>
      </c>
    </row>
    <row r="213" spans="1:4" x14ac:dyDescent="0.3">
      <c r="A213" s="46">
        <v>1009</v>
      </c>
      <c r="B213" s="47" t="s">
        <v>107</v>
      </c>
      <c r="C213" s="46">
        <v>1009</v>
      </c>
      <c r="D213" s="47" t="s">
        <v>107</v>
      </c>
    </row>
    <row r="214" spans="1:4" x14ac:dyDescent="0.3">
      <c r="A214" s="46">
        <v>1010</v>
      </c>
      <c r="B214" s="47" t="s">
        <v>108</v>
      </c>
      <c r="C214" s="46">
        <v>1010</v>
      </c>
      <c r="D214" s="47" t="s">
        <v>108</v>
      </c>
    </row>
    <row r="215" spans="1:4" x14ac:dyDescent="0.3">
      <c r="A215" s="46">
        <v>1017</v>
      </c>
      <c r="B215" s="47" t="s">
        <v>10955</v>
      </c>
      <c r="C215" s="46">
        <v>1017</v>
      </c>
      <c r="D215" s="47" t="s">
        <v>10955</v>
      </c>
    </row>
    <row r="216" spans="1:4" x14ac:dyDescent="0.3">
      <c r="A216" s="46">
        <v>1018</v>
      </c>
      <c r="B216" s="47" t="s">
        <v>10956</v>
      </c>
      <c r="C216" s="46">
        <v>1018</v>
      </c>
      <c r="D216" s="47" t="s">
        <v>10956</v>
      </c>
    </row>
    <row r="217" spans="1:4" x14ac:dyDescent="0.3">
      <c r="A217" s="46">
        <v>1019</v>
      </c>
      <c r="B217" s="47" t="s">
        <v>117</v>
      </c>
      <c r="C217" s="46">
        <v>1019</v>
      </c>
      <c r="D217" s="47" t="s">
        <v>117</v>
      </c>
    </row>
    <row r="218" spans="1:4" x14ac:dyDescent="0.3">
      <c r="A218" s="46">
        <v>1027</v>
      </c>
      <c r="B218" s="47" t="s">
        <v>5305</v>
      </c>
      <c r="C218" s="46">
        <v>1027</v>
      </c>
      <c r="D218" s="47" t="s">
        <v>5305</v>
      </c>
    </row>
    <row r="219" spans="1:4" x14ac:dyDescent="0.3">
      <c r="A219" s="46">
        <v>1028</v>
      </c>
      <c r="B219" s="47" t="s">
        <v>5306</v>
      </c>
      <c r="C219" s="46">
        <v>1028</v>
      </c>
      <c r="D219" s="47" t="s">
        <v>5306</v>
      </c>
    </row>
    <row r="220" spans="1:4" x14ac:dyDescent="0.3">
      <c r="A220" s="46">
        <v>1029</v>
      </c>
      <c r="B220" s="47" t="s">
        <v>5307</v>
      </c>
      <c r="C220" s="46">
        <v>1029</v>
      </c>
      <c r="D220" s="47" t="s">
        <v>5307</v>
      </c>
    </row>
    <row r="221" spans="1:4" x14ac:dyDescent="0.3">
      <c r="A221" s="46">
        <v>1030</v>
      </c>
      <c r="B221" s="47" t="s">
        <v>10957</v>
      </c>
      <c r="C221" s="46">
        <v>1030</v>
      </c>
      <c r="D221" s="47" t="s">
        <v>10957</v>
      </c>
    </row>
    <row r="222" spans="1:4" x14ac:dyDescent="0.3">
      <c r="A222" s="46">
        <v>1031</v>
      </c>
      <c r="B222" s="47" t="s">
        <v>5308</v>
      </c>
      <c r="C222" s="46">
        <v>1031</v>
      </c>
      <c r="D222" s="47" t="s">
        <v>5308</v>
      </c>
    </row>
    <row r="223" spans="1:4" x14ac:dyDescent="0.3">
      <c r="A223" s="46">
        <v>1033</v>
      </c>
      <c r="B223" s="47" t="s">
        <v>5309</v>
      </c>
      <c r="C223" s="46">
        <v>1033</v>
      </c>
      <c r="D223" s="47" t="s">
        <v>5309</v>
      </c>
    </row>
    <row r="224" spans="1:4" x14ac:dyDescent="0.3">
      <c r="A224" s="46">
        <v>1034</v>
      </c>
      <c r="B224" s="47" t="s">
        <v>5310</v>
      </c>
      <c r="C224" s="46">
        <v>1034</v>
      </c>
      <c r="D224" s="47" t="s">
        <v>5310</v>
      </c>
    </row>
    <row r="225" spans="1:4" x14ac:dyDescent="0.3">
      <c r="A225" s="46">
        <v>1035</v>
      </c>
      <c r="B225" s="47" t="s">
        <v>10958</v>
      </c>
      <c r="C225" s="46">
        <v>1035</v>
      </c>
      <c r="D225" s="47" t="s">
        <v>10958</v>
      </c>
    </row>
    <row r="226" spans="1:4" x14ac:dyDescent="0.3">
      <c r="A226" s="46">
        <v>1036</v>
      </c>
      <c r="B226" s="47" t="s">
        <v>10959</v>
      </c>
      <c r="C226" s="46">
        <v>1036</v>
      </c>
      <c r="D226" s="47" t="s">
        <v>10959</v>
      </c>
    </row>
    <row r="227" spans="1:4" x14ac:dyDescent="0.3">
      <c r="A227" s="46">
        <v>1037</v>
      </c>
      <c r="B227" s="47" t="s">
        <v>5311</v>
      </c>
      <c r="C227" s="46">
        <v>1037</v>
      </c>
      <c r="D227" s="47" t="s">
        <v>5311</v>
      </c>
    </row>
    <row r="228" spans="1:4" x14ac:dyDescent="0.3">
      <c r="A228" s="46">
        <v>1039</v>
      </c>
      <c r="B228" s="47" t="s">
        <v>5313</v>
      </c>
      <c r="C228" s="46">
        <v>1039</v>
      </c>
      <c r="D228" s="47" t="s">
        <v>5313</v>
      </c>
    </row>
    <row r="229" spans="1:4" x14ac:dyDescent="0.3">
      <c r="A229" s="46">
        <v>1040</v>
      </c>
      <c r="B229" s="47" t="s">
        <v>5314</v>
      </c>
      <c r="C229" s="46">
        <v>1040</v>
      </c>
      <c r="D229" s="47" t="s">
        <v>5314</v>
      </c>
    </row>
    <row r="230" spans="1:4" x14ac:dyDescent="0.3">
      <c r="A230" s="46">
        <v>1041</v>
      </c>
      <c r="B230" s="47" t="s">
        <v>10960</v>
      </c>
      <c r="C230" s="46">
        <v>1041</v>
      </c>
      <c r="D230" s="47" t="s">
        <v>10960</v>
      </c>
    </row>
    <row r="231" spans="1:4" x14ac:dyDescent="0.3">
      <c r="A231" s="46">
        <v>1042</v>
      </c>
      <c r="B231" s="47" t="s">
        <v>5315</v>
      </c>
      <c r="C231" s="46">
        <v>1042</v>
      </c>
      <c r="D231" s="47" t="s">
        <v>5315</v>
      </c>
    </row>
    <row r="232" spans="1:4" x14ac:dyDescent="0.3">
      <c r="A232" s="46">
        <v>1043</v>
      </c>
      <c r="B232" s="47" t="s">
        <v>5316</v>
      </c>
      <c r="C232" s="46">
        <v>1043</v>
      </c>
      <c r="D232" s="47" t="s">
        <v>5316</v>
      </c>
    </row>
    <row r="233" spans="1:4" x14ac:dyDescent="0.3">
      <c r="A233" s="46">
        <v>1044</v>
      </c>
      <c r="B233" s="47" t="s">
        <v>10961</v>
      </c>
      <c r="C233" s="46">
        <v>1044</v>
      </c>
      <c r="D233" s="47" t="s">
        <v>10961</v>
      </c>
    </row>
    <row r="234" spans="1:4" x14ac:dyDescent="0.3">
      <c r="A234" s="46">
        <v>1045</v>
      </c>
      <c r="B234" s="47" t="s">
        <v>10962</v>
      </c>
      <c r="C234" s="46">
        <v>1045</v>
      </c>
      <c r="D234" s="47" t="s">
        <v>10962</v>
      </c>
    </row>
    <row r="235" spans="1:4" x14ac:dyDescent="0.3">
      <c r="A235" s="46">
        <v>1046</v>
      </c>
      <c r="B235" s="47" t="s">
        <v>10963</v>
      </c>
      <c r="C235" s="46">
        <v>1046</v>
      </c>
      <c r="D235" s="47" t="s">
        <v>10963</v>
      </c>
    </row>
    <row r="236" spans="1:4" x14ac:dyDescent="0.3">
      <c r="A236" s="46">
        <v>1049</v>
      </c>
      <c r="B236" s="47" t="s">
        <v>10964</v>
      </c>
      <c r="C236" s="46">
        <v>1049</v>
      </c>
      <c r="D236" s="47" t="s">
        <v>10964</v>
      </c>
    </row>
    <row r="237" spans="1:4" x14ac:dyDescent="0.3">
      <c r="A237" s="46">
        <v>1050</v>
      </c>
      <c r="B237" s="47" t="s">
        <v>5319</v>
      </c>
      <c r="C237" s="46">
        <v>1050</v>
      </c>
      <c r="D237" s="47" t="s">
        <v>5319</v>
      </c>
    </row>
    <row r="238" spans="1:4" x14ac:dyDescent="0.3">
      <c r="A238" s="46">
        <v>1053</v>
      </c>
      <c r="B238" s="47" t="s">
        <v>10965</v>
      </c>
      <c r="C238" s="46">
        <v>1053</v>
      </c>
      <c r="D238" s="47" t="s">
        <v>10965</v>
      </c>
    </row>
    <row r="239" spans="1:4" x14ac:dyDescent="0.3">
      <c r="A239" s="46">
        <v>1054</v>
      </c>
      <c r="B239" s="47" t="s">
        <v>5322</v>
      </c>
      <c r="C239" s="46">
        <v>1054</v>
      </c>
      <c r="D239" s="47" t="s">
        <v>5322</v>
      </c>
    </row>
    <row r="240" spans="1:4" x14ac:dyDescent="0.3">
      <c r="A240" s="46">
        <v>1057</v>
      </c>
      <c r="B240" s="47" t="s">
        <v>10966</v>
      </c>
      <c r="C240" s="46">
        <v>1057</v>
      </c>
      <c r="D240" s="47" t="s">
        <v>10966</v>
      </c>
    </row>
    <row r="241" spans="1:4" x14ac:dyDescent="0.3">
      <c r="A241" s="46">
        <v>1058</v>
      </c>
      <c r="B241" s="47" t="s">
        <v>5325</v>
      </c>
      <c r="C241" s="46">
        <v>1058</v>
      </c>
      <c r="D241" s="47" t="s">
        <v>5325</v>
      </c>
    </row>
    <row r="242" spans="1:4" x14ac:dyDescent="0.3">
      <c r="A242" s="46">
        <v>1061</v>
      </c>
      <c r="B242" s="47" t="s">
        <v>5326</v>
      </c>
      <c r="C242" s="46">
        <v>1061</v>
      </c>
      <c r="D242" s="47" t="s">
        <v>5326</v>
      </c>
    </row>
    <row r="243" spans="1:4" x14ac:dyDescent="0.3">
      <c r="A243" s="46">
        <v>1064</v>
      </c>
      <c r="B243" s="47" t="s">
        <v>5330</v>
      </c>
      <c r="C243" s="46">
        <v>1064</v>
      </c>
      <c r="D243" s="47" t="s">
        <v>5330</v>
      </c>
    </row>
    <row r="244" spans="1:4" x14ac:dyDescent="0.3">
      <c r="A244" s="46">
        <v>1068</v>
      </c>
      <c r="B244" s="47" t="s">
        <v>10967</v>
      </c>
      <c r="C244" s="46">
        <v>1068</v>
      </c>
      <c r="D244" s="47" t="s">
        <v>10967</v>
      </c>
    </row>
    <row r="245" spans="1:4" x14ac:dyDescent="0.3">
      <c r="A245" s="46">
        <v>1069</v>
      </c>
      <c r="B245" s="47" t="s">
        <v>10968</v>
      </c>
      <c r="C245" s="46">
        <v>1069</v>
      </c>
      <c r="D245" s="47" t="s">
        <v>10968</v>
      </c>
    </row>
    <row r="246" spans="1:4" x14ac:dyDescent="0.3">
      <c r="A246" s="46">
        <v>1070</v>
      </c>
      <c r="B246" s="47" t="s">
        <v>5335</v>
      </c>
      <c r="C246" s="46">
        <v>1070</v>
      </c>
      <c r="D246" s="47" t="s">
        <v>5335</v>
      </c>
    </row>
    <row r="247" spans="1:4" x14ac:dyDescent="0.3">
      <c r="A247" s="46">
        <v>1076</v>
      </c>
      <c r="B247" s="47" t="s">
        <v>10969</v>
      </c>
      <c r="C247" s="46">
        <v>1076</v>
      </c>
      <c r="D247" s="47" t="s">
        <v>10969</v>
      </c>
    </row>
    <row r="248" spans="1:4" x14ac:dyDescent="0.3">
      <c r="A248" s="46">
        <v>1077</v>
      </c>
      <c r="B248" s="47" t="s">
        <v>10970</v>
      </c>
      <c r="C248" s="46">
        <v>1077</v>
      </c>
      <c r="D248" s="47" t="s">
        <v>10970</v>
      </c>
    </row>
    <row r="249" spans="1:4" x14ac:dyDescent="0.3">
      <c r="A249" s="46">
        <v>1078</v>
      </c>
      <c r="B249" s="47" t="s">
        <v>10971</v>
      </c>
      <c r="C249" s="46">
        <v>1078</v>
      </c>
      <c r="D249" s="47" t="s">
        <v>10971</v>
      </c>
    </row>
    <row r="250" spans="1:4" x14ac:dyDescent="0.3">
      <c r="A250" s="46">
        <v>1079</v>
      </c>
      <c r="B250" s="47" t="s">
        <v>5342</v>
      </c>
      <c r="C250" s="46">
        <v>1079</v>
      </c>
      <c r="D250" s="47" t="s">
        <v>5342</v>
      </c>
    </row>
    <row r="251" spans="1:4" x14ac:dyDescent="0.3">
      <c r="A251" s="46">
        <v>1080</v>
      </c>
      <c r="B251" s="47" t="s">
        <v>5343</v>
      </c>
      <c r="C251" s="46">
        <v>1080</v>
      </c>
      <c r="D251" s="47" t="s">
        <v>5343</v>
      </c>
    </row>
    <row r="252" spans="1:4" x14ac:dyDescent="0.3">
      <c r="A252" s="46">
        <v>1081</v>
      </c>
      <c r="B252" s="47" t="s">
        <v>10972</v>
      </c>
      <c r="C252" s="46">
        <v>1081</v>
      </c>
      <c r="D252" s="47" t="s">
        <v>10972</v>
      </c>
    </row>
    <row r="253" spans="1:4" x14ac:dyDescent="0.3">
      <c r="A253" s="46">
        <v>1082</v>
      </c>
      <c r="B253" s="47" t="s">
        <v>5344</v>
      </c>
      <c r="C253" s="46">
        <v>1082</v>
      </c>
      <c r="D253" s="47" t="s">
        <v>5344</v>
      </c>
    </row>
    <row r="254" spans="1:4" x14ac:dyDescent="0.3">
      <c r="A254" s="46">
        <v>1083</v>
      </c>
      <c r="B254" s="47" t="s">
        <v>10973</v>
      </c>
      <c r="C254" s="46">
        <v>1083</v>
      </c>
      <c r="D254" s="47" t="s">
        <v>10973</v>
      </c>
    </row>
    <row r="255" spans="1:4" x14ac:dyDescent="0.3">
      <c r="A255" s="46">
        <v>1084</v>
      </c>
      <c r="B255" s="47" t="s">
        <v>5345</v>
      </c>
      <c r="C255" s="46">
        <v>1084</v>
      </c>
      <c r="D255" s="47" t="s">
        <v>5345</v>
      </c>
    </row>
    <row r="256" spans="1:4" x14ac:dyDescent="0.3">
      <c r="A256" s="46">
        <v>1086</v>
      </c>
      <c r="B256" s="47" t="s">
        <v>5346</v>
      </c>
      <c r="C256" s="46">
        <v>1086</v>
      </c>
      <c r="D256" s="47" t="s">
        <v>5346</v>
      </c>
    </row>
    <row r="257" spans="1:4" x14ac:dyDescent="0.3">
      <c r="A257" s="46">
        <v>1087</v>
      </c>
      <c r="B257" s="47" t="s">
        <v>10974</v>
      </c>
      <c r="C257" s="46">
        <v>1087</v>
      </c>
      <c r="D257" s="47" t="s">
        <v>10974</v>
      </c>
    </row>
    <row r="258" spans="1:4" x14ac:dyDescent="0.3">
      <c r="A258" s="46">
        <v>1089</v>
      </c>
      <c r="B258" s="47" t="s">
        <v>5348</v>
      </c>
      <c r="C258" s="46">
        <v>1089</v>
      </c>
      <c r="D258" s="47" t="s">
        <v>5348</v>
      </c>
    </row>
    <row r="259" spans="1:4" x14ac:dyDescent="0.3">
      <c r="A259" s="46">
        <v>1093</v>
      </c>
      <c r="B259" s="47" t="s">
        <v>5352</v>
      </c>
      <c r="C259" s="46">
        <v>1093</v>
      </c>
      <c r="D259" s="47" t="s">
        <v>5352</v>
      </c>
    </row>
    <row r="260" spans="1:4" x14ac:dyDescent="0.3">
      <c r="A260" s="46">
        <v>1095</v>
      </c>
      <c r="B260" s="47" t="s">
        <v>5354</v>
      </c>
      <c r="C260" s="46">
        <v>1095</v>
      </c>
      <c r="D260" s="47" t="s">
        <v>5354</v>
      </c>
    </row>
    <row r="261" spans="1:4" x14ac:dyDescent="0.3">
      <c r="A261" s="46">
        <v>1096</v>
      </c>
      <c r="B261" s="47" t="s">
        <v>5355</v>
      </c>
      <c r="C261" s="46">
        <v>1096</v>
      </c>
      <c r="D261" s="47" t="s">
        <v>5355</v>
      </c>
    </row>
    <row r="262" spans="1:4" x14ac:dyDescent="0.3">
      <c r="A262" s="46">
        <v>1097</v>
      </c>
      <c r="B262" s="47" t="s">
        <v>10975</v>
      </c>
      <c r="C262" s="46">
        <v>1097</v>
      </c>
      <c r="D262" s="47" t="s">
        <v>10975</v>
      </c>
    </row>
    <row r="263" spans="1:4" x14ac:dyDescent="0.3">
      <c r="A263" s="46">
        <v>1098</v>
      </c>
      <c r="B263" s="47" t="s">
        <v>5356</v>
      </c>
      <c r="C263" s="46">
        <v>1098</v>
      </c>
      <c r="D263" s="47" t="s">
        <v>5356</v>
      </c>
    </row>
    <row r="264" spans="1:4" x14ac:dyDescent="0.3">
      <c r="A264" s="46">
        <v>1103</v>
      </c>
      <c r="B264" s="47" t="s">
        <v>10976</v>
      </c>
      <c r="C264" s="46">
        <v>1103</v>
      </c>
      <c r="D264" s="47" t="s">
        <v>10976</v>
      </c>
    </row>
    <row r="265" spans="1:4" x14ac:dyDescent="0.3">
      <c r="A265" s="46">
        <v>1104</v>
      </c>
      <c r="B265" s="47" t="s">
        <v>5360</v>
      </c>
      <c r="C265" s="46">
        <v>1104</v>
      </c>
      <c r="D265" s="47" t="s">
        <v>5360</v>
      </c>
    </row>
    <row r="266" spans="1:4" x14ac:dyDescent="0.3">
      <c r="A266" s="46">
        <v>1105</v>
      </c>
      <c r="B266" s="47" t="s">
        <v>10977</v>
      </c>
      <c r="C266" s="46">
        <v>1105</v>
      </c>
      <c r="D266" s="47" t="s">
        <v>10977</v>
      </c>
    </row>
    <row r="267" spans="1:4" x14ac:dyDescent="0.3">
      <c r="A267" s="46">
        <v>1107</v>
      </c>
      <c r="B267" s="47" t="s">
        <v>10978</v>
      </c>
      <c r="C267" s="46">
        <v>1107</v>
      </c>
      <c r="D267" s="47" t="s">
        <v>10978</v>
      </c>
    </row>
    <row r="268" spans="1:4" x14ac:dyDescent="0.3">
      <c r="A268" s="46">
        <v>1108</v>
      </c>
      <c r="B268" s="47" t="s">
        <v>10979</v>
      </c>
      <c r="C268" s="46">
        <v>1108</v>
      </c>
      <c r="D268" s="47" t="s">
        <v>10979</v>
      </c>
    </row>
    <row r="269" spans="1:4" x14ac:dyDescent="0.3">
      <c r="A269" s="46">
        <v>1110</v>
      </c>
      <c r="B269" s="47" t="s">
        <v>5363</v>
      </c>
      <c r="C269" s="46">
        <v>1110</v>
      </c>
      <c r="D269" s="47" t="s">
        <v>5363</v>
      </c>
    </row>
    <row r="270" spans="1:4" x14ac:dyDescent="0.3">
      <c r="A270" s="46">
        <v>1111</v>
      </c>
      <c r="B270" s="47" t="s">
        <v>10980</v>
      </c>
      <c r="C270" s="46">
        <v>1111</v>
      </c>
      <c r="D270" s="47" t="s">
        <v>10980</v>
      </c>
    </row>
    <row r="271" spans="1:4" x14ac:dyDescent="0.3">
      <c r="A271" s="46">
        <v>1119</v>
      </c>
      <c r="B271" s="47" t="s">
        <v>5369</v>
      </c>
      <c r="C271" s="46">
        <v>1119</v>
      </c>
      <c r="D271" s="47" t="s">
        <v>5369</v>
      </c>
    </row>
    <row r="272" spans="1:4" x14ac:dyDescent="0.3">
      <c r="A272" s="46">
        <v>1127</v>
      </c>
      <c r="B272" s="47" t="s">
        <v>10981</v>
      </c>
      <c r="C272" s="46">
        <v>1127</v>
      </c>
      <c r="D272" s="47" t="s">
        <v>10981</v>
      </c>
    </row>
    <row r="273" spans="1:4" x14ac:dyDescent="0.3">
      <c r="A273" s="46">
        <v>1128</v>
      </c>
      <c r="B273" s="47" t="s">
        <v>5377</v>
      </c>
      <c r="C273" s="46">
        <v>1128</v>
      </c>
      <c r="D273" s="47" t="s">
        <v>5377</v>
      </c>
    </row>
    <row r="274" spans="1:4" x14ac:dyDescent="0.3">
      <c r="A274" s="46">
        <v>1129</v>
      </c>
      <c r="B274" s="47" t="s">
        <v>10982</v>
      </c>
      <c r="C274" s="46">
        <v>1129</v>
      </c>
      <c r="D274" s="47" t="s">
        <v>10982</v>
      </c>
    </row>
    <row r="275" spans="1:4" x14ac:dyDescent="0.3">
      <c r="A275" s="46">
        <v>1130</v>
      </c>
      <c r="B275" s="47" t="s">
        <v>10983</v>
      </c>
      <c r="C275" s="46">
        <v>1130</v>
      </c>
      <c r="D275" s="47" t="s">
        <v>10983</v>
      </c>
    </row>
    <row r="276" spans="1:4" x14ac:dyDescent="0.3">
      <c r="A276" s="46">
        <v>1133</v>
      </c>
      <c r="B276" s="47" t="s">
        <v>5379</v>
      </c>
      <c r="C276" s="46">
        <v>1133</v>
      </c>
      <c r="D276" s="47" t="s">
        <v>5379</v>
      </c>
    </row>
    <row r="277" spans="1:4" x14ac:dyDescent="0.3">
      <c r="A277" s="46">
        <v>1136</v>
      </c>
      <c r="B277" s="47" t="s">
        <v>5383</v>
      </c>
      <c r="C277" s="46">
        <v>1136</v>
      </c>
      <c r="D277" s="47" t="s">
        <v>5383</v>
      </c>
    </row>
    <row r="278" spans="1:4" x14ac:dyDescent="0.3">
      <c r="A278" s="46">
        <v>1144</v>
      </c>
      <c r="B278" s="47" t="s">
        <v>10984</v>
      </c>
      <c r="C278" s="46">
        <v>1144</v>
      </c>
      <c r="D278" s="47" t="s">
        <v>10984</v>
      </c>
    </row>
    <row r="279" spans="1:4" x14ac:dyDescent="0.3">
      <c r="A279" s="46">
        <v>1145</v>
      </c>
      <c r="B279" s="47" t="s">
        <v>5388</v>
      </c>
      <c r="C279" s="46">
        <v>1145</v>
      </c>
      <c r="D279" s="47" t="s">
        <v>5388</v>
      </c>
    </row>
    <row r="280" spans="1:4" x14ac:dyDescent="0.3">
      <c r="A280" s="46">
        <v>1146</v>
      </c>
      <c r="B280" s="47" t="s">
        <v>5389</v>
      </c>
      <c r="C280" s="46">
        <v>1146</v>
      </c>
      <c r="D280" s="47" t="s">
        <v>5389</v>
      </c>
    </row>
    <row r="281" spans="1:4" x14ac:dyDescent="0.3">
      <c r="A281" s="46">
        <v>1147</v>
      </c>
      <c r="B281" s="47" t="s">
        <v>10985</v>
      </c>
      <c r="C281" s="46">
        <v>1147</v>
      </c>
      <c r="D281" s="47" t="s">
        <v>10985</v>
      </c>
    </row>
    <row r="282" spans="1:4" x14ac:dyDescent="0.3">
      <c r="A282" s="46">
        <v>1148</v>
      </c>
      <c r="B282" s="47" t="s">
        <v>5390</v>
      </c>
      <c r="C282" s="46">
        <v>1148</v>
      </c>
      <c r="D282" s="47" t="s">
        <v>5390</v>
      </c>
    </row>
    <row r="283" spans="1:4" x14ac:dyDescent="0.3">
      <c r="A283" s="46">
        <v>1149</v>
      </c>
      <c r="B283" s="47" t="s">
        <v>10986</v>
      </c>
      <c r="C283" s="46">
        <v>1149</v>
      </c>
      <c r="D283" s="47" t="s">
        <v>10986</v>
      </c>
    </row>
    <row r="284" spans="1:4" x14ac:dyDescent="0.3">
      <c r="A284" s="46">
        <v>1150</v>
      </c>
      <c r="B284" s="47" t="s">
        <v>10987</v>
      </c>
      <c r="C284" s="46">
        <v>1150</v>
      </c>
      <c r="D284" s="47" t="s">
        <v>10987</v>
      </c>
    </row>
    <row r="285" spans="1:4" x14ac:dyDescent="0.3">
      <c r="A285" s="46">
        <v>1151</v>
      </c>
      <c r="B285" s="47" t="s">
        <v>10988</v>
      </c>
      <c r="C285" s="46">
        <v>1151</v>
      </c>
      <c r="D285" s="47" t="s">
        <v>10988</v>
      </c>
    </row>
    <row r="286" spans="1:4" x14ac:dyDescent="0.3">
      <c r="A286" s="46">
        <v>1153</v>
      </c>
      <c r="B286" s="47" t="s">
        <v>10989</v>
      </c>
      <c r="C286" s="46">
        <v>1153</v>
      </c>
      <c r="D286" s="47" t="s">
        <v>10989</v>
      </c>
    </row>
    <row r="287" spans="1:4" x14ac:dyDescent="0.3">
      <c r="A287" s="46">
        <v>1154</v>
      </c>
      <c r="B287" s="47" t="s">
        <v>5392</v>
      </c>
      <c r="C287" s="46">
        <v>1154</v>
      </c>
      <c r="D287" s="47" t="s">
        <v>5392</v>
      </c>
    </row>
    <row r="288" spans="1:4" x14ac:dyDescent="0.3">
      <c r="A288" s="46">
        <v>1155</v>
      </c>
      <c r="B288" s="47" t="s">
        <v>5393</v>
      </c>
      <c r="C288" s="46">
        <v>1155</v>
      </c>
      <c r="D288" s="47" t="s">
        <v>5393</v>
      </c>
    </row>
    <row r="289" spans="1:4" x14ac:dyDescent="0.3">
      <c r="A289" s="46">
        <v>1158</v>
      </c>
      <c r="B289" s="47" t="s">
        <v>5395</v>
      </c>
      <c r="C289" s="46">
        <v>1158</v>
      </c>
      <c r="D289" s="47" t="s">
        <v>5395</v>
      </c>
    </row>
    <row r="290" spans="1:4" x14ac:dyDescent="0.3">
      <c r="A290" s="46">
        <v>1161</v>
      </c>
      <c r="B290" s="47" t="s">
        <v>5398</v>
      </c>
      <c r="C290" s="46">
        <v>1161</v>
      </c>
      <c r="D290" s="47" t="s">
        <v>5398</v>
      </c>
    </row>
    <row r="291" spans="1:4" x14ac:dyDescent="0.3">
      <c r="A291" s="46">
        <v>1162</v>
      </c>
      <c r="B291" s="47" t="s">
        <v>5399</v>
      </c>
      <c r="C291" s="46">
        <v>1162</v>
      </c>
      <c r="D291" s="47" t="s">
        <v>5399</v>
      </c>
    </row>
    <row r="292" spans="1:4" x14ac:dyDescent="0.3">
      <c r="A292" s="46">
        <v>1164</v>
      </c>
      <c r="B292" s="47" t="s">
        <v>5401</v>
      </c>
      <c r="C292" s="46">
        <v>1164</v>
      </c>
      <c r="D292" s="47" t="s">
        <v>5401</v>
      </c>
    </row>
    <row r="293" spans="1:4" x14ac:dyDescent="0.3">
      <c r="A293" s="46">
        <v>1168</v>
      </c>
      <c r="B293" s="47" t="s">
        <v>5404</v>
      </c>
      <c r="C293" s="46">
        <v>1168</v>
      </c>
      <c r="D293" s="47" t="s">
        <v>5404</v>
      </c>
    </row>
    <row r="294" spans="1:4" x14ac:dyDescent="0.3">
      <c r="A294" s="46">
        <v>1175</v>
      </c>
      <c r="B294" s="47" t="s">
        <v>10990</v>
      </c>
      <c r="C294" s="46">
        <v>1175</v>
      </c>
      <c r="D294" s="47" t="s">
        <v>10990</v>
      </c>
    </row>
    <row r="295" spans="1:4" x14ac:dyDescent="0.3">
      <c r="A295" s="46">
        <v>1176</v>
      </c>
      <c r="B295" s="47" t="s">
        <v>5409</v>
      </c>
      <c r="C295" s="46">
        <v>1176</v>
      </c>
      <c r="D295" s="47" t="s">
        <v>5409</v>
      </c>
    </row>
    <row r="296" spans="1:4" x14ac:dyDescent="0.3">
      <c r="A296" s="46">
        <v>1187</v>
      </c>
      <c r="B296" s="47" t="s">
        <v>5418</v>
      </c>
      <c r="C296" s="46">
        <v>1187</v>
      </c>
      <c r="D296" s="47" t="s">
        <v>5418</v>
      </c>
    </row>
    <row r="297" spans="1:4" x14ac:dyDescent="0.3">
      <c r="A297" s="46">
        <v>1188</v>
      </c>
      <c r="B297" s="47" t="s">
        <v>10991</v>
      </c>
      <c r="C297" s="46">
        <v>1188</v>
      </c>
      <c r="D297" s="47" t="s">
        <v>10991</v>
      </c>
    </row>
    <row r="298" spans="1:4" x14ac:dyDescent="0.3">
      <c r="A298" s="46">
        <v>1190</v>
      </c>
      <c r="B298" s="47" t="s">
        <v>5420</v>
      </c>
      <c r="C298" s="46">
        <v>1190</v>
      </c>
      <c r="D298" s="47" t="s">
        <v>5420</v>
      </c>
    </row>
    <row r="299" spans="1:4" x14ac:dyDescent="0.3">
      <c r="A299" s="46">
        <v>1210</v>
      </c>
      <c r="B299" s="47" t="s">
        <v>5440</v>
      </c>
      <c r="C299" s="46">
        <v>1210</v>
      </c>
      <c r="D299" s="47" t="s">
        <v>5440</v>
      </c>
    </row>
    <row r="300" spans="1:4" x14ac:dyDescent="0.3">
      <c r="A300" s="46">
        <v>1212</v>
      </c>
      <c r="B300" s="47" t="s">
        <v>5441</v>
      </c>
      <c r="C300" s="46">
        <v>1212</v>
      </c>
      <c r="D300" s="47" t="s">
        <v>5441</v>
      </c>
    </row>
    <row r="301" spans="1:4" x14ac:dyDescent="0.3">
      <c r="A301" s="46">
        <v>1214</v>
      </c>
      <c r="B301" s="47" t="s">
        <v>10992</v>
      </c>
      <c r="C301" s="46">
        <v>1214</v>
      </c>
      <c r="D301" s="47" t="s">
        <v>10992</v>
      </c>
    </row>
    <row r="302" spans="1:4" x14ac:dyDescent="0.3">
      <c r="A302" s="46">
        <v>1215</v>
      </c>
      <c r="B302" s="47" t="s">
        <v>10993</v>
      </c>
      <c r="C302" s="46">
        <v>1215</v>
      </c>
      <c r="D302" s="47" t="s">
        <v>10993</v>
      </c>
    </row>
    <row r="303" spans="1:4" x14ac:dyDescent="0.3">
      <c r="A303" s="46">
        <v>1238</v>
      </c>
      <c r="B303" s="47" t="s">
        <v>10994</v>
      </c>
      <c r="C303" s="46">
        <v>1238</v>
      </c>
      <c r="D303" s="47" t="s">
        <v>10994</v>
      </c>
    </row>
    <row r="304" spans="1:4" x14ac:dyDescent="0.3">
      <c r="A304" s="46">
        <v>1243</v>
      </c>
      <c r="B304" s="47" t="s">
        <v>5462</v>
      </c>
      <c r="C304" s="46">
        <v>1243</v>
      </c>
      <c r="D304" s="47" t="s">
        <v>5462</v>
      </c>
    </row>
    <row r="305" spans="1:4" x14ac:dyDescent="0.3">
      <c r="A305" s="46">
        <v>1245</v>
      </c>
      <c r="B305" s="47" t="s">
        <v>10995</v>
      </c>
      <c r="C305" s="46">
        <v>1245</v>
      </c>
      <c r="D305" s="47" t="s">
        <v>10995</v>
      </c>
    </row>
    <row r="306" spans="1:4" x14ac:dyDescent="0.3">
      <c r="A306" s="46">
        <v>1246</v>
      </c>
      <c r="B306" s="47" t="s">
        <v>5464</v>
      </c>
      <c r="C306" s="46">
        <v>1246</v>
      </c>
      <c r="D306" s="47" t="s">
        <v>5464</v>
      </c>
    </row>
    <row r="307" spans="1:4" x14ac:dyDescent="0.3">
      <c r="A307" s="46">
        <v>1247</v>
      </c>
      <c r="B307" s="47" t="s">
        <v>10996</v>
      </c>
      <c r="C307" s="46">
        <v>1247</v>
      </c>
      <c r="D307" s="47" t="s">
        <v>10996</v>
      </c>
    </row>
    <row r="308" spans="1:4" x14ac:dyDescent="0.3">
      <c r="A308" s="46">
        <v>1248</v>
      </c>
      <c r="B308" s="47" t="s">
        <v>10997</v>
      </c>
      <c r="C308" s="46">
        <v>1248</v>
      </c>
      <c r="D308" s="47" t="s">
        <v>10997</v>
      </c>
    </row>
    <row r="309" spans="1:4" x14ac:dyDescent="0.3">
      <c r="A309" s="46">
        <v>1249</v>
      </c>
      <c r="B309" s="47" t="s">
        <v>10998</v>
      </c>
      <c r="C309" s="46">
        <v>1249</v>
      </c>
      <c r="D309" s="47" t="s">
        <v>10998</v>
      </c>
    </row>
    <row r="310" spans="1:4" x14ac:dyDescent="0.3">
      <c r="A310" s="46">
        <v>1250</v>
      </c>
      <c r="B310" s="47" t="s">
        <v>10999</v>
      </c>
      <c r="C310" s="46">
        <v>1250</v>
      </c>
      <c r="D310" s="47" t="s">
        <v>10999</v>
      </c>
    </row>
    <row r="311" spans="1:4" x14ac:dyDescent="0.3">
      <c r="A311" s="46">
        <v>1251</v>
      </c>
      <c r="B311" s="47" t="s">
        <v>5465</v>
      </c>
      <c r="C311" s="46">
        <v>1251</v>
      </c>
      <c r="D311" s="47" t="s">
        <v>5465</v>
      </c>
    </row>
    <row r="312" spans="1:4" x14ac:dyDescent="0.3">
      <c r="A312" s="46">
        <v>1256</v>
      </c>
      <c r="B312" s="47" t="s">
        <v>5469</v>
      </c>
      <c r="C312" s="46">
        <v>1256</v>
      </c>
      <c r="D312" s="47" t="s">
        <v>5469</v>
      </c>
    </row>
    <row r="313" spans="1:4" x14ac:dyDescent="0.3">
      <c r="A313" s="46">
        <v>1259</v>
      </c>
      <c r="B313" s="47" t="s">
        <v>5472</v>
      </c>
      <c r="C313" s="46">
        <v>1259</v>
      </c>
      <c r="D313" s="47" t="s">
        <v>5472</v>
      </c>
    </row>
    <row r="314" spans="1:4" x14ac:dyDescent="0.3">
      <c r="A314" s="46">
        <v>1260</v>
      </c>
      <c r="B314" s="47" t="s">
        <v>5473</v>
      </c>
      <c r="C314" s="46">
        <v>1260</v>
      </c>
      <c r="D314" s="47" t="s">
        <v>5473</v>
      </c>
    </row>
    <row r="315" spans="1:4" x14ac:dyDescent="0.3">
      <c r="A315" s="46">
        <v>1261</v>
      </c>
      <c r="B315" s="47" t="s">
        <v>5474</v>
      </c>
      <c r="C315" s="46">
        <v>1261</v>
      </c>
      <c r="D315" s="47" t="s">
        <v>5474</v>
      </c>
    </row>
    <row r="316" spans="1:4" x14ac:dyDescent="0.3">
      <c r="A316" s="46">
        <v>1267</v>
      </c>
      <c r="B316" s="47" t="s">
        <v>5477</v>
      </c>
      <c r="C316" s="46">
        <v>1267</v>
      </c>
      <c r="D316" s="47" t="s">
        <v>5477</v>
      </c>
    </row>
    <row r="317" spans="1:4" x14ac:dyDescent="0.3">
      <c r="A317" s="46">
        <v>1269</v>
      </c>
      <c r="B317" s="47" t="s">
        <v>5478</v>
      </c>
      <c r="C317" s="46">
        <v>1269</v>
      </c>
      <c r="D317" s="47" t="s">
        <v>5478</v>
      </c>
    </row>
    <row r="318" spans="1:4" x14ac:dyDescent="0.3">
      <c r="A318" s="46">
        <v>1271</v>
      </c>
      <c r="B318" s="47" t="s">
        <v>5480</v>
      </c>
      <c r="C318" s="46">
        <v>1271</v>
      </c>
      <c r="D318" s="47" t="s">
        <v>5480</v>
      </c>
    </row>
    <row r="319" spans="1:4" x14ac:dyDescent="0.3">
      <c r="A319" s="46">
        <v>1272</v>
      </c>
      <c r="B319" s="47" t="s">
        <v>5481</v>
      </c>
      <c r="C319" s="46">
        <v>1272</v>
      </c>
      <c r="D319" s="47" t="s">
        <v>5481</v>
      </c>
    </row>
    <row r="320" spans="1:4" x14ac:dyDescent="0.3">
      <c r="A320" s="46">
        <v>1274</v>
      </c>
      <c r="B320" s="47" t="s">
        <v>5483</v>
      </c>
      <c r="C320" s="46">
        <v>1274</v>
      </c>
      <c r="D320" s="47" t="s">
        <v>5483</v>
      </c>
    </row>
    <row r="321" spans="1:4" x14ac:dyDescent="0.3">
      <c r="A321" s="46">
        <v>1275</v>
      </c>
      <c r="B321" s="47" t="s">
        <v>11000</v>
      </c>
      <c r="C321" s="46">
        <v>1275</v>
      </c>
      <c r="D321" s="47" t="s">
        <v>11000</v>
      </c>
    </row>
    <row r="322" spans="1:4" x14ac:dyDescent="0.3">
      <c r="A322" s="46">
        <v>1276</v>
      </c>
      <c r="B322" s="47" t="s">
        <v>5484</v>
      </c>
      <c r="C322" s="46">
        <v>1276</v>
      </c>
      <c r="D322" s="47" t="s">
        <v>5484</v>
      </c>
    </row>
    <row r="323" spans="1:4" x14ac:dyDescent="0.3">
      <c r="A323" s="46">
        <v>1277</v>
      </c>
      <c r="B323" s="47" t="s">
        <v>11001</v>
      </c>
      <c r="C323" s="46">
        <v>1277</v>
      </c>
      <c r="D323" s="47" t="s">
        <v>11001</v>
      </c>
    </row>
    <row r="324" spans="1:4" x14ac:dyDescent="0.3">
      <c r="A324" s="46">
        <v>1278</v>
      </c>
      <c r="B324" s="47" t="s">
        <v>5485</v>
      </c>
      <c r="C324" s="46">
        <v>1278</v>
      </c>
      <c r="D324" s="47" t="s">
        <v>5485</v>
      </c>
    </row>
    <row r="325" spans="1:4" x14ac:dyDescent="0.3">
      <c r="A325" s="46">
        <v>1279</v>
      </c>
      <c r="B325" s="47" t="s">
        <v>5486</v>
      </c>
      <c r="C325" s="46">
        <v>1279</v>
      </c>
      <c r="D325" s="47" t="s">
        <v>5486</v>
      </c>
    </row>
    <row r="326" spans="1:4" x14ac:dyDescent="0.3">
      <c r="A326" s="46">
        <v>1283</v>
      </c>
      <c r="B326" s="47" t="s">
        <v>11002</v>
      </c>
      <c r="C326" s="46">
        <v>1283</v>
      </c>
      <c r="D326" s="47" t="s">
        <v>11002</v>
      </c>
    </row>
    <row r="327" spans="1:4" x14ac:dyDescent="0.3">
      <c r="A327" s="46">
        <v>1292</v>
      </c>
      <c r="B327" s="47" t="s">
        <v>11003</v>
      </c>
      <c r="C327" s="46">
        <v>1292</v>
      </c>
      <c r="D327" s="47" t="s">
        <v>11003</v>
      </c>
    </row>
    <row r="328" spans="1:4" x14ac:dyDescent="0.3">
      <c r="A328" s="46">
        <v>1294</v>
      </c>
      <c r="B328" s="47" t="s">
        <v>5493</v>
      </c>
      <c r="C328" s="46">
        <v>1294</v>
      </c>
      <c r="D328" s="47" t="s">
        <v>5493</v>
      </c>
    </row>
    <row r="329" spans="1:4" x14ac:dyDescent="0.3">
      <c r="A329" s="46">
        <v>1297</v>
      </c>
      <c r="B329" s="47" t="s">
        <v>5496</v>
      </c>
      <c r="C329" s="46">
        <v>1297</v>
      </c>
      <c r="D329" s="47" t="s">
        <v>5496</v>
      </c>
    </row>
    <row r="330" spans="1:4" x14ac:dyDescent="0.3">
      <c r="A330" s="46">
        <v>1299</v>
      </c>
      <c r="B330" s="47" t="s">
        <v>11004</v>
      </c>
      <c r="C330" s="46">
        <v>1299</v>
      </c>
      <c r="D330" s="47" t="s">
        <v>11004</v>
      </c>
    </row>
    <row r="331" spans="1:4" x14ac:dyDescent="0.3">
      <c r="A331" s="46">
        <v>1300</v>
      </c>
      <c r="B331" s="47" t="s">
        <v>5498</v>
      </c>
      <c r="C331" s="46">
        <v>1300</v>
      </c>
      <c r="D331" s="47" t="s">
        <v>5498</v>
      </c>
    </row>
    <row r="332" spans="1:4" x14ac:dyDescent="0.3">
      <c r="A332" s="46">
        <v>1301</v>
      </c>
      <c r="B332" s="47" t="s">
        <v>5499</v>
      </c>
      <c r="C332" s="46">
        <v>1301</v>
      </c>
      <c r="D332" s="47" t="s">
        <v>5499</v>
      </c>
    </row>
    <row r="333" spans="1:4" x14ac:dyDescent="0.3">
      <c r="A333" s="46">
        <v>1302</v>
      </c>
      <c r="B333" s="47" t="s">
        <v>5500</v>
      </c>
      <c r="C333" s="46">
        <v>1302</v>
      </c>
      <c r="D333" s="47" t="s">
        <v>5500</v>
      </c>
    </row>
    <row r="334" spans="1:4" x14ac:dyDescent="0.3">
      <c r="A334" s="46">
        <v>1303</v>
      </c>
      <c r="B334" s="47" t="s">
        <v>11005</v>
      </c>
      <c r="C334" s="46">
        <v>1303</v>
      </c>
      <c r="D334" s="47" t="s">
        <v>11005</v>
      </c>
    </row>
    <row r="335" spans="1:4" x14ac:dyDescent="0.3">
      <c r="A335" s="46">
        <v>1304</v>
      </c>
      <c r="B335" s="47" t="s">
        <v>11006</v>
      </c>
      <c r="C335" s="46">
        <v>1304</v>
      </c>
      <c r="D335" s="47" t="s">
        <v>11006</v>
      </c>
    </row>
    <row r="336" spans="1:4" x14ac:dyDescent="0.3">
      <c r="A336" s="46">
        <v>1311</v>
      </c>
      <c r="B336" s="47" t="s">
        <v>5503</v>
      </c>
      <c r="C336" s="46">
        <v>1311</v>
      </c>
      <c r="D336" s="47" t="s">
        <v>5503</v>
      </c>
    </row>
    <row r="337" spans="1:4" x14ac:dyDescent="0.3">
      <c r="A337" s="46">
        <v>1313</v>
      </c>
      <c r="B337" s="47" t="s">
        <v>11007</v>
      </c>
      <c r="C337" s="46">
        <v>1313</v>
      </c>
      <c r="D337" s="47" t="s">
        <v>11007</v>
      </c>
    </row>
    <row r="338" spans="1:4" x14ac:dyDescent="0.3">
      <c r="A338" s="46">
        <v>1314</v>
      </c>
      <c r="B338" s="47" t="s">
        <v>11008</v>
      </c>
      <c r="C338" s="46">
        <v>1314</v>
      </c>
      <c r="D338" s="47" t="s">
        <v>11008</v>
      </c>
    </row>
    <row r="339" spans="1:4" x14ac:dyDescent="0.3">
      <c r="A339" s="46">
        <v>1315</v>
      </c>
      <c r="B339" s="47" t="s">
        <v>5504</v>
      </c>
      <c r="C339" s="46">
        <v>1315</v>
      </c>
      <c r="D339" s="47" t="s">
        <v>5504</v>
      </c>
    </row>
    <row r="340" spans="1:4" x14ac:dyDescent="0.3">
      <c r="A340" s="46">
        <v>1319</v>
      </c>
      <c r="B340" s="47" t="s">
        <v>11009</v>
      </c>
      <c r="C340" s="46">
        <v>1319</v>
      </c>
      <c r="D340" s="47" t="s">
        <v>11009</v>
      </c>
    </row>
    <row r="341" spans="1:4" x14ac:dyDescent="0.3">
      <c r="A341" s="46">
        <v>1322</v>
      </c>
      <c r="B341" s="47" t="s">
        <v>11010</v>
      </c>
      <c r="C341" s="46">
        <v>1322</v>
      </c>
      <c r="D341" s="47" t="s">
        <v>11010</v>
      </c>
    </row>
    <row r="342" spans="1:4" x14ac:dyDescent="0.3">
      <c r="A342" s="46">
        <v>1323</v>
      </c>
      <c r="B342" s="47" t="s">
        <v>5510</v>
      </c>
      <c r="C342" s="46">
        <v>1323</v>
      </c>
      <c r="D342" s="47" t="s">
        <v>5510</v>
      </c>
    </row>
    <row r="343" spans="1:4" x14ac:dyDescent="0.3">
      <c r="A343" s="46">
        <v>1324</v>
      </c>
      <c r="B343" s="47" t="s">
        <v>5511</v>
      </c>
      <c r="C343" s="46">
        <v>1324</v>
      </c>
      <c r="D343" s="47" t="s">
        <v>5511</v>
      </c>
    </row>
    <row r="344" spans="1:4" x14ac:dyDescent="0.3">
      <c r="A344" s="46">
        <v>1327</v>
      </c>
      <c r="B344" s="47" t="s">
        <v>11011</v>
      </c>
      <c r="C344" s="46">
        <v>1327</v>
      </c>
      <c r="D344" s="47" t="s">
        <v>11011</v>
      </c>
    </row>
    <row r="345" spans="1:4" x14ac:dyDescent="0.3">
      <c r="A345" s="46">
        <v>1328</v>
      </c>
      <c r="B345" s="47" t="s">
        <v>5514</v>
      </c>
      <c r="C345" s="46">
        <v>1328</v>
      </c>
      <c r="D345" s="47" t="s">
        <v>5514</v>
      </c>
    </row>
    <row r="346" spans="1:4" x14ac:dyDescent="0.3">
      <c r="A346" s="46">
        <v>1329</v>
      </c>
      <c r="B346" s="47" t="s">
        <v>5515</v>
      </c>
      <c r="C346" s="46">
        <v>1329</v>
      </c>
      <c r="D346" s="47" t="s">
        <v>5515</v>
      </c>
    </row>
    <row r="347" spans="1:4" x14ac:dyDescent="0.3">
      <c r="A347" s="46">
        <v>1330</v>
      </c>
      <c r="B347" s="47" t="s">
        <v>5516</v>
      </c>
      <c r="C347" s="46">
        <v>1330</v>
      </c>
      <c r="D347" s="47" t="s">
        <v>5516</v>
      </c>
    </row>
    <row r="348" spans="1:4" x14ac:dyDescent="0.3">
      <c r="A348" s="46">
        <v>1331</v>
      </c>
      <c r="B348" s="47" t="s">
        <v>11012</v>
      </c>
      <c r="C348" s="46">
        <v>1331</v>
      </c>
      <c r="D348" s="47" t="s">
        <v>11012</v>
      </c>
    </row>
    <row r="349" spans="1:4" x14ac:dyDescent="0.3">
      <c r="A349" s="46">
        <v>1332</v>
      </c>
      <c r="B349" s="47" t="s">
        <v>5517</v>
      </c>
      <c r="C349" s="46">
        <v>1332</v>
      </c>
      <c r="D349" s="47" t="s">
        <v>5517</v>
      </c>
    </row>
    <row r="350" spans="1:4" x14ac:dyDescent="0.3">
      <c r="A350" s="46">
        <v>1334</v>
      </c>
      <c r="B350" s="47" t="s">
        <v>5519</v>
      </c>
      <c r="C350" s="46">
        <v>1334</v>
      </c>
      <c r="D350" s="47" t="s">
        <v>5519</v>
      </c>
    </row>
    <row r="351" spans="1:4" x14ac:dyDescent="0.3">
      <c r="A351" s="46">
        <v>1337</v>
      </c>
      <c r="B351" s="47" t="s">
        <v>11013</v>
      </c>
      <c r="C351" s="46">
        <v>1337</v>
      </c>
      <c r="D351" s="47" t="s">
        <v>11013</v>
      </c>
    </row>
    <row r="352" spans="1:4" x14ac:dyDescent="0.3">
      <c r="A352" s="46">
        <v>1338</v>
      </c>
      <c r="B352" s="47" t="s">
        <v>11014</v>
      </c>
      <c r="C352" s="46">
        <v>1338</v>
      </c>
      <c r="D352" s="47" t="s">
        <v>11014</v>
      </c>
    </row>
    <row r="353" spans="1:4" x14ac:dyDescent="0.3">
      <c r="A353" s="46">
        <v>1339</v>
      </c>
      <c r="B353" s="47" t="s">
        <v>11015</v>
      </c>
      <c r="C353" s="46">
        <v>1339</v>
      </c>
      <c r="D353" s="47" t="s">
        <v>11015</v>
      </c>
    </row>
    <row r="354" spans="1:4" x14ac:dyDescent="0.3">
      <c r="A354" s="46">
        <v>1340</v>
      </c>
      <c r="B354" s="47" t="s">
        <v>11016</v>
      </c>
      <c r="C354" s="46">
        <v>1340</v>
      </c>
      <c r="D354" s="47" t="s">
        <v>11016</v>
      </c>
    </row>
    <row r="355" spans="1:4" x14ac:dyDescent="0.3">
      <c r="A355" s="46">
        <v>1341</v>
      </c>
      <c r="B355" s="47" t="s">
        <v>11017</v>
      </c>
      <c r="C355" s="46">
        <v>1341</v>
      </c>
      <c r="D355" s="47" t="s">
        <v>11017</v>
      </c>
    </row>
    <row r="356" spans="1:4" x14ac:dyDescent="0.3">
      <c r="A356" s="46">
        <v>1342</v>
      </c>
      <c r="B356" s="47" t="s">
        <v>5521</v>
      </c>
      <c r="C356" s="46">
        <v>1342</v>
      </c>
      <c r="D356" s="47" t="s">
        <v>5521</v>
      </c>
    </row>
    <row r="357" spans="1:4" x14ac:dyDescent="0.3">
      <c r="A357" s="46">
        <v>1344</v>
      </c>
      <c r="B357" s="47" t="s">
        <v>5522</v>
      </c>
      <c r="C357" s="46">
        <v>1344</v>
      </c>
      <c r="D357" s="47" t="s">
        <v>5522</v>
      </c>
    </row>
    <row r="358" spans="1:4" x14ac:dyDescent="0.3">
      <c r="A358" s="46">
        <v>1345</v>
      </c>
      <c r="B358" s="47" t="s">
        <v>5523</v>
      </c>
      <c r="C358" s="46">
        <v>1345</v>
      </c>
      <c r="D358" s="47" t="s">
        <v>5523</v>
      </c>
    </row>
    <row r="359" spans="1:4" x14ac:dyDescent="0.3">
      <c r="A359" s="46">
        <v>1348</v>
      </c>
      <c r="B359" s="47" t="s">
        <v>5525</v>
      </c>
      <c r="C359" s="46">
        <v>1348</v>
      </c>
      <c r="D359" s="47" t="s">
        <v>5525</v>
      </c>
    </row>
    <row r="360" spans="1:4" x14ac:dyDescent="0.3">
      <c r="A360" s="46">
        <v>1349</v>
      </c>
      <c r="B360" s="47" t="s">
        <v>11018</v>
      </c>
      <c r="C360" s="46">
        <v>1349</v>
      </c>
      <c r="D360" s="47" t="s">
        <v>11018</v>
      </c>
    </row>
    <row r="361" spans="1:4" x14ac:dyDescent="0.3">
      <c r="A361" s="46">
        <v>1350</v>
      </c>
      <c r="B361" s="47" t="s">
        <v>11019</v>
      </c>
      <c r="C361" s="46">
        <v>1350</v>
      </c>
      <c r="D361" s="47" t="s">
        <v>11019</v>
      </c>
    </row>
    <row r="362" spans="1:4" x14ac:dyDescent="0.3">
      <c r="A362" s="46">
        <v>1351</v>
      </c>
      <c r="B362" s="47" t="s">
        <v>5526</v>
      </c>
      <c r="C362" s="46">
        <v>1351</v>
      </c>
      <c r="D362" s="47" t="s">
        <v>5526</v>
      </c>
    </row>
    <row r="363" spans="1:4" x14ac:dyDescent="0.3">
      <c r="A363" s="46">
        <v>1358</v>
      </c>
      <c r="B363" s="47" t="s">
        <v>11020</v>
      </c>
      <c r="C363" s="46">
        <v>1358</v>
      </c>
      <c r="D363" s="47" t="s">
        <v>11020</v>
      </c>
    </row>
    <row r="364" spans="1:4" x14ac:dyDescent="0.3">
      <c r="A364" s="46">
        <v>1360</v>
      </c>
      <c r="B364" s="47" t="s">
        <v>5531</v>
      </c>
      <c r="C364" s="46">
        <v>1360</v>
      </c>
      <c r="D364" s="47" t="s">
        <v>5531</v>
      </c>
    </row>
    <row r="365" spans="1:4" x14ac:dyDescent="0.3">
      <c r="A365" s="46">
        <v>1361</v>
      </c>
      <c r="B365" s="47" t="s">
        <v>5532</v>
      </c>
      <c r="C365" s="46">
        <v>1361</v>
      </c>
      <c r="D365" s="47" t="s">
        <v>5532</v>
      </c>
    </row>
    <row r="366" spans="1:4" x14ac:dyDescent="0.3">
      <c r="A366" s="46">
        <v>1370</v>
      </c>
      <c r="B366" s="47" t="s">
        <v>5538</v>
      </c>
      <c r="C366" s="46">
        <v>1370</v>
      </c>
      <c r="D366" s="47" t="s">
        <v>5538</v>
      </c>
    </row>
    <row r="367" spans="1:4" x14ac:dyDescent="0.3">
      <c r="A367" s="46">
        <v>1375</v>
      </c>
      <c r="B367" s="47" t="s">
        <v>11021</v>
      </c>
      <c r="C367" s="46">
        <v>1375</v>
      </c>
      <c r="D367" s="47" t="s">
        <v>11021</v>
      </c>
    </row>
    <row r="368" spans="1:4" x14ac:dyDescent="0.3">
      <c r="A368" s="46">
        <v>1376</v>
      </c>
      <c r="B368" s="47" t="s">
        <v>11022</v>
      </c>
      <c r="C368" s="46">
        <v>1376</v>
      </c>
      <c r="D368" s="47" t="s">
        <v>11022</v>
      </c>
    </row>
    <row r="369" spans="1:4" x14ac:dyDescent="0.3">
      <c r="A369" s="46">
        <v>1377</v>
      </c>
      <c r="B369" s="47" t="s">
        <v>5543</v>
      </c>
      <c r="C369" s="46">
        <v>1377</v>
      </c>
      <c r="D369" s="47" t="s">
        <v>5543</v>
      </c>
    </row>
    <row r="370" spans="1:4" x14ac:dyDescent="0.3">
      <c r="A370" s="46">
        <v>1378</v>
      </c>
      <c r="B370" s="47" t="s">
        <v>11023</v>
      </c>
      <c r="C370" s="46">
        <v>1378</v>
      </c>
      <c r="D370" s="47" t="s">
        <v>11023</v>
      </c>
    </row>
    <row r="371" spans="1:4" x14ac:dyDescent="0.3">
      <c r="A371" s="46">
        <v>1379</v>
      </c>
      <c r="B371" s="47" t="s">
        <v>11024</v>
      </c>
      <c r="C371" s="46">
        <v>1379</v>
      </c>
      <c r="D371" s="47" t="s">
        <v>11024</v>
      </c>
    </row>
    <row r="372" spans="1:4" x14ac:dyDescent="0.3">
      <c r="A372" s="46">
        <v>1380</v>
      </c>
      <c r="B372" s="47" t="s">
        <v>11025</v>
      </c>
      <c r="C372" s="46">
        <v>1380</v>
      </c>
      <c r="D372" s="47" t="s">
        <v>11025</v>
      </c>
    </row>
    <row r="373" spans="1:4" x14ac:dyDescent="0.3">
      <c r="A373" s="46">
        <v>1381</v>
      </c>
      <c r="B373" s="47" t="s">
        <v>11026</v>
      </c>
      <c r="C373" s="46">
        <v>1381</v>
      </c>
      <c r="D373" s="47" t="s">
        <v>11026</v>
      </c>
    </row>
    <row r="374" spans="1:4" x14ac:dyDescent="0.3">
      <c r="A374" s="46">
        <v>1382</v>
      </c>
      <c r="B374" s="47" t="s">
        <v>5544</v>
      </c>
      <c r="C374" s="46">
        <v>1382</v>
      </c>
      <c r="D374" s="47" t="s">
        <v>5544</v>
      </c>
    </row>
    <row r="375" spans="1:4" x14ac:dyDescent="0.3">
      <c r="A375" s="46">
        <v>1383</v>
      </c>
      <c r="B375" s="47" t="s">
        <v>5545</v>
      </c>
      <c r="C375" s="46">
        <v>1383</v>
      </c>
      <c r="D375" s="47" t="s">
        <v>5545</v>
      </c>
    </row>
    <row r="376" spans="1:4" x14ac:dyDescent="0.3">
      <c r="A376" s="46">
        <v>1384</v>
      </c>
      <c r="B376" s="47" t="s">
        <v>11027</v>
      </c>
      <c r="C376" s="46">
        <v>1384</v>
      </c>
      <c r="D376" s="47" t="s">
        <v>11027</v>
      </c>
    </row>
    <row r="377" spans="1:4" x14ac:dyDescent="0.3">
      <c r="A377" s="46">
        <v>1385</v>
      </c>
      <c r="B377" s="47" t="s">
        <v>11028</v>
      </c>
      <c r="C377" s="46">
        <v>1385</v>
      </c>
      <c r="D377" s="47" t="s">
        <v>11028</v>
      </c>
    </row>
    <row r="378" spans="1:4" x14ac:dyDescent="0.3">
      <c r="A378" s="46">
        <v>1386</v>
      </c>
      <c r="B378" s="47" t="s">
        <v>5546</v>
      </c>
      <c r="C378" s="46">
        <v>1386</v>
      </c>
      <c r="D378" s="47" t="s">
        <v>5546</v>
      </c>
    </row>
    <row r="379" spans="1:4" x14ac:dyDescent="0.3">
      <c r="A379" s="46">
        <v>1388</v>
      </c>
      <c r="B379" s="47" t="s">
        <v>11029</v>
      </c>
      <c r="C379" s="46">
        <v>1388</v>
      </c>
      <c r="D379" s="47" t="s">
        <v>11029</v>
      </c>
    </row>
    <row r="380" spans="1:4" x14ac:dyDescent="0.3">
      <c r="A380" s="46">
        <v>1389</v>
      </c>
      <c r="B380" s="47" t="s">
        <v>11030</v>
      </c>
      <c r="C380" s="46">
        <v>1389</v>
      </c>
      <c r="D380" s="47" t="s">
        <v>11030</v>
      </c>
    </row>
    <row r="381" spans="1:4" x14ac:dyDescent="0.3">
      <c r="A381" s="46">
        <v>1401</v>
      </c>
      <c r="B381" s="47" t="s">
        <v>5553</v>
      </c>
      <c r="C381" s="46">
        <v>1401</v>
      </c>
      <c r="D381" s="47" t="s">
        <v>5553</v>
      </c>
    </row>
    <row r="382" spans="1:4" x14ac:dyDescent="0.3">
      <c r="A382" s="46">
        <v>1403</v>
      </c>
      <c r="B382" s="47" t="s">
        <v>11031</v>
      </c>
      <c r="C382" s="46">
        <v>1403</v>
      </c>
      <c r="D382" s="47" t="s">
        <v>11031</v>
      </c>
    </row>
    <row r="383" spans="1:4" x14ac:dyDescent="0.3">
      <c r="A383" s="46">
        <v>1408</v>
      </c>
      <c r="B383" s="47" t="s">
        <v>5556</v>
      </c>
      <c r="C383" s="46">
        <v>1408</v>
      </c>
      <c r="D383" s="47" t="s">
        <v>5556</v>
      </c>
    </row>
    <row r="384" spans="1:4" x14ac:dyDescent="0.3">
      <c r="A384" s="46">
        <v>1410</v>
      </c>
      <c r="B384" s="47" t="s">
        <v>5557</v>
      </c>
      <c r="C384" s="46">
        <v>1410</v>
      </c>
      <c r="D384" s="47" t="s">
        <v>5557</v>
      </c>
    </row>
    <row r="385" spans="1:4" x14ac:dyDescent="0.3">
      <c r="A385" s="46">
        <v>1429</v>
      </c>
      <c r="B385" s="47" t="s">
        <v>5565</v>
      </c>
      <c r="C385" s="46">
        <v>1429</v>
      </c>
      <c r="D385" s="47" t="s">
        <v>5565</v>
      </c>
    </row>
    <row r="386" spans="1:4" x14ac:dyDescent="0.3">
      <c r="A386" s="46">
        <v>1431</v>
      </c>
      <c r="B386" s="47" t="s">
        <v>5566</v>
      </c>
      <c r="C386" s="46">
        <v>1431</v>
      </c>
      <c r="D386" s="47" t="s">
        <v>5566</v>
      </c>
    </row>
    <row r="387" spans="1:4" x14ac:dyDescent="0.3">
      <c r="A387" s="46">
        <v>1432</v>
      </c>
      <c r="B387" s="47" t="s">
        <v>11032</v>
      </c>
      <c r="C387" s="46">
        <v>1432</v>
      </c>
      <c r="D387" s="47" t="s">
        <v>11032</v>
      </c>
    </row>
    <row r="388" spans="1:4" x14ac:dyDescent="0.3">
      <c r="A388" s="46">
        <v>1433</v>
      </c>
      <c r="B388" s="47" t="s">
        <v>11033</v>
      </c>
      <c r="C388" s="46">
        <v>1433</v>
      </c>
      <c r="D388" s="47" t="s">
        <v>11033</v>
      </c>
    </row>
    <row r="389" spans="1:4" x14ac:dyDescent="0.3">
      <c r="A389" s="46">
        <v>1438</v>
      </c>
      <c r="B389" s="47" t="s">
        <v>11034</v>
      </c>
      <c r="C389" s="46">
        <v>1438</v>
      </c>
      <c r="D389" s="47" t="s">
        <v>11034</v>
      </c>
    </row>
    <row r="390" spans="1:4" x14ac:dyDescent="0.3">
      <c r="A390" s="46">
        <v>1441</v>
      </c>
      <c r="B390" s="47" t="s">
        <v>5569</v>
      </c>
      <c r="C390" s="46">
        <v>1441</v>
      </c>
      <c r="D390" s="47" t="s">
        <v>5569</v>
      </c>
    </row>
    <row r="391" spans="1:4" x14ac:dyDescent="0.3">
      <c r="A391" s="46">
        <v>1449</v>
      </c>
      <c r="B391" s="47" t="s">
        <v>11035</v>
      </c>
      <c r="C391" s="46">
        <v>1449</v>
      </c>
      <c r="D391" s="47" t="s">
        <v>11035</v>
      </c>
    </row>
    <row r="392" spans="1:4" x14ac:dyDescent="0.3">
      <c r="A392" s="46">
        <v>1450</v>
      </c>
      <c r="B392" s="47" t="s">
        <v>5575</v>
      </c>
      <c r="C392" s="46">
        <v>1450</v>
      </c>
      <c r="D392" s="47" t="s">
        <v>5575</v>
      </c>
    </row>
    <row r="393" spans="1:4" x14ac:dyDescent="0.3">
      <c r="A393" s="46">
        <v>1455</v>
      </c>
      <c r="B393" s="47" t="s">
        <v>11036</v>
      </c>
      <c r="C393" s="46">
        <v>1455</v>
      </c>
      <c r="D393" s="47" t="s">
        <v>11036</v>
      </c>
    </row>
    <row r="394" spans="1:4" x14ac:dyDescent="0.3">
      <c r="A394" s="46">
        <v>1457</v>
      </c>
      <c r="B394" s="47" t="s">
        <v>5579</v>
      </c>
      <c r="C394" s="46">
        <v>1457</v>
      </c>
      <c r="D394" s="47" t="s">
        <v>5579</v>
      </c>
    </row>
    <row r="395" spans="1:4" x14ac:dyDescent="0.3">
      <c r="A395" s="46">
        <v>1458</v>
      </c>
      <c r="B395" s="47" t="s">
        <v>11037</v>
      </c>
      <c r="C395" s="46">
        <v>1458</v>
      </c>
      <c r="D395" s="47" t="s">
        <v>11037</v>
      </c>
    </row>
    <row r="396" spans="1:4" x14ac:dyDescent="0.3">
      <c r="A396" s="46">
        <v>1462</v>
      </c>
      <c r="B396" s="47" t="s">
        <v>11038</v>
      </c>
      <c r="C396" s="46">
        <v>1462</v>
      </c>
      <c r="D396" s="47" t="s">
        <v>11038</v>
      </c>
    </row>
    <row r="397" spans="1:4" x14ac:dyDescent="0.3">
      <c r="A397" s="46">
        <v>1464</v>
      </c>
      <c r="B397" s="47" t="s">
        <v>11039</v>
      </c>
      <c r="C397" s="46">
        <v>1464</v>
      </c>
      <c r="D397" s="47" t="s">
        <v>11039</v>
      </c>
    </row>
    <row r="398" spans="1:4" x14ac:dyDescent="0.3">
      <c r="A398" s="46">
        <v>1465</v>
      </c>
      <c r="B398" s="47" t="s">
        <v>11040</v>
      </c>
      <c r="C398" s="46">
        <v>1465</v>
      </c>
      <c r="D398" s="47" t="s">
        <v>11040</v>
      </c>
    </row>
    <row r="399" spans="1:4" x14ac:dyDescent="0.3">
      <c r="A399" s="46">
        <v>1466</v>
      </c>
      <c r="B399" s="47" t="s">
        <v>5581</v>
      </c>
      <c r="C399" s="46">
        <v>1466</v>
      </c>
      <c r="D399" s="47" t="s">
        <v>5581</v>
      </c>
    </row>
    <row r="400" spans="1:4" x14ac:dyDescent="0.3">
      <c r="A400" s="46">
        <v>1472</v>
      </c>
      <c r="B400" s="47" t="s">
        <v>11041</v>
      </c>
      <c r="C400" s="46">
        <v>1472</v>
      </c>
      <c r="D400" s="47" t="s">
        <v>11041</v>
      </c>
    </row>
    <row r="401" spans="1:4" x14ac:dyDescent="0.3">
      <c r="A401" s="46">
        <v>1475</v>
      </c>
      <c r="B401" s="47" t="s">
        <v>11042</v>
      </c>
      <c r="C401" s="46">
        <v>1475</v>
      </c>
      <c r="D401" s="47" t="s">
        <v>11042</v>
      </c>
    </row>
    <row r="402" spans="1:4" x14ac:dyDescent="0.3">
      <c r="A402" s="46">
        <v>1477</v>
      </c>
      <c r="B402" s="47" t="s">
        <v>11043</v>
      </c>
      <c r="C402" s="46">
        <v>1477</v>
      </c>
      <c r="D402" s="47" t="s">
        <v>11043</v>
      </c>
    </row>
    <row r="403" spans="1:4" x14ac:dyDescent="0.3">
      <c r="A403" s="46">
        <v>1478</v>
      </c>
      <c r="B403" s="47" t="s">
        <v>11044</v>
      </c>
      <c r="C403" s="46">
        <v>1478</v>
      </c>
      <c r="D403" s="47" t="s">
        <v>11044</v>
      </c>
    </row>
    <row r="404" spans="1:4" x14ac:dyDescent="0.3">
      <c r="A404" s="46">
        <v>1479</v>
      </c>
      <c r="B404" s="47" t="s">
        <v>11045</v>
      </c>
      <c r="C404" s="46">
        <v>1479</v>
      </c>
      <c r="D404" s="47" t="s">
        <v>11045</v>
      </c>
    </row>
    <row r="405" spans="1:4" x14ac:dyDescent="0.3">
      <c r="A405" s="46">
        <v>1482</v>
      </c>
      <c r="B405" s="47" t="s">
        <v>5587</v>
      </c>
      <c r="C405" s="46">
        <v>1482</v>
      </c>
      <c r="D405" s="47" t="s">
        <v>5587</v>
      </c>
    </row>
    <row r="406" spans="1:4" x14ac:dyDescent="0.3">
      <c r="A406" s="46">
        <v>1484</v>
      </c>
      <c r="B406" s="47" t="s">
        <v>5589</v>
      </c>
      <c r="C406" s="46">
        <v>1484</v>
      </c>
      <c r="D406" s="47" t="s">
        <v>5589</v>
      </c>
    </row>
    <row r="407" spans="1:4" x14ac:dyDescent="0.3">
      <c r="A407" s="46">
        <v>1490</v>
      </c>
      <c r="B407" s="47" t="s">
        <v>5593</v>
      </c>
      <c r="C407" s="46">
        <v>1490</v>
      </c>
      <c r="D407" s="47" t="s">
        <v>5593</v>
      </c>
    </row>
    <row r="408" spans="1:4" x14ac:dyDescent="0.3">
      <c r="A408" s="46">
        <v>1491</v>
      </c>
      <c r="B408" s="47" t="s">
        <v>11046</v>
      </c>
      <c r="C408" s="46">
        <v>1491</v>
      </c>
      <c r="D408" s="47" t="s">
        <v>11046</v>
      </c>
    </row>
    <row r="409" spans="1:4" x14ac:dyDescent="0.3">
      <c r="A409" s="46">
        <v>1492</v>
      </c>
      <c r="B409" s="47" t="s">
        <v>11047</v>
      </c>
      <c r="C409" s="46">
        <v>1492</v>
      </c>
      <c r="D409" s="47" t="s">
        <v>11047</v>
      </c>
    </row>
    <row r="410" spans="1:4" x14ac:dyDescent="0.3">
      <c r="A410" s="46">
        <v>1493</v>
      </c>
      <c r="B410" s="47" t="s">
        <v>11048</v>
      </c>
      <c r="C410" s="46">
        <v>1493</v>
      </c>
      <c r="D410" s="47" t="s">
        <v>11048</v>
      </c>
    </row>
    <row r="411" spans="1:4" x14ac:dyDescent="0.3">
      <c r="A411" s="46">
        <v>1494</v>
      </c>
      <c r="B411" s="47" t="s">
        <v>5594</v>
      </c>
      <c r="C411" s="46">
        <v>1494</v>
      </c>
      <c r="D411" s="47" t="s">
        <v>5594</v>
      </c>
    </row>
    <row r="412" spans="1:4" x14ac:dyDescent="0.3">
      <c r="A412" s="46">
        <v>1496</v>
      </c>
      <c r="B412" s="47" t="s">
        <v>5596</v>
      </c>
      <c r="C412" s="46">
        <v>1496</v>
      </c>
      <c r="D412" s="47" t="s">
        <v>5596</v>
      </c>
    </row>
    <row r="413" spans="1:4" x14ac:dyDescent="0.3">
      <c r="A413" s="46">
        <v>1501</v>
      </c>
      <c r="B413" s="47" t="s">
        <v>5601</v>
      </c>
      <c r="C413" s="46">
        <v>1501</v>
      </c>
      <c r="D413" s="47" t="s">
        <v>5601</v>
      </c>
    </row>
    <row r="414" spans="1:4" x14ac:dyDescent="0.3">
      <c r="A414" s="46">
        <v>1521</v>
      </c>
      <c r="B414" s="47" t="s">
        <v>11049</v>
      </c>
      <c r="C414" s="46">
        <v>1521</v>
      </c>
      <c r="D414" s="47" t="s">
        <v>11049</v>
      </c>
    </row>
    <row r="415" spans="1:4" x14ac:dyDescent="0.3">
      <c r="A415" s="46">
        <v>1524</v>
      </c>
      <c r="B415" s="47" t="s">
        <v>11050</v>
      </c>
      <c r="C415" s="46">
        <v>1524</v>
      </c>
      <c r="D415" s="47" t="s">
        <v>11050</v>
      </c>
    </row>
    <row r="416" spans="1:4" x14ac:dyDescent="0.3">
      <c r="A416" s="46">
        <v>1529</v>
      </c>
      <c r="B416" s="47" t="s">
        <v>5617</v>
      </c>
      <c r="C416" s="46">
        <v>1529</v>
      </c>
      <c r="D416" s="47" t="s">
        <v>5617</v>
      </c>
    </row>
    <row r="417" spans="1:4" x14ac:dyDescent="0.3">
      <c r="A417" s="46">
        <v>1533</v>
      </c>
      <c r="B417" s="47" t="s">
        <v>5620</v>
      </c>
      <c r="C417" s="46">
        <v>1533</v>
      </c>
      <c r="D417" s="47" t="s">
        <v>5620</v>
      </c>
    </row>
    <row r="418" spans="1:4" x14ac:dyDescent="0.3">
      <c r="A418" s="46">
        <v>1534</v>
      </c>
      <c r="B418" s="47" t="s">
        <v>11051</v>
      </c>
      <c r="C418" s="46">
        <v>1534</v>
      </c>
      <c r="D418" s="47" t="s">
        <v>11051</v>
      </c>
    </row>
    <row r="419" spans="1:4" x14ac:dyDescent="0.3">
      <c r="A419" s="46">
        <v>1537</v>
      </c>
      <c r="B419" s="47" t="s">
        <v>11052</v>
      </c>
      <c r="C419" s="46">
        <v>1537</v>
      </c>
      <c r="D419" s="47" t="s">
        <v>11052</v>
      </c>
    </row>
    <row r="420" spans="1:4" x14ac:dyDescent="0.3">
      <c r="A420" s="46">
        <v>1538</v>
      </c>
      <c r="B420" s="47" t="s">
        <v>11053</v>
      </c>
      <c r="C420" s="46">
        <v>1538</v>
      </c>
      <c r="D420" s="47" t="s">
        <v>11053</v>
      </c>
    </row>
    <row r="421" spans="1:4" x14ac:dyDescent="0.3">
      <c r="A421" s="46">
        <v>1546</v>
      </c>
      <c r="B421" s="47" t="s">
        <v>11054</v>
      </c>
      <c r="C421" s="46">
        <v>1546</v>
      </c>
      <c r="D421" s="47" t="s">
        <v>11054</v>
      </c>
    </row>
    <row r="422" spans="1:4" x14ac:dyDescent="0.3">
      <c r="A422" s="46">
        <v>1547</v>
      </c>
      <c r="B422" s="47" t="s">
        <v>11055</v>
      </c>
      <c r="C422" s="46">
        <v>1547</v>
      </c>
      <c r="D422" s="47" t="s">
        <v>11055</v>
      </c>
    </row>
    <row r="423" spans="1:4" x14ac:dyDescent="0.3">
      <c r="A423" s="46">
        <v>1548</v>
      </c>
      <c r="B423" s="47" t="s">
        <v>5625</v>
      </c>
      <c r="C423" s="46">
        <v>1548</v>
      </c>
      <c r="D423" s="47" t="s">
        <v>5625</v>
      </c>
    </row>
    <row r="424" spans="1:4" x14ac:dyDescent="0.3">
      <c r="A424" s="46">
        <v>1549</v>
      </c>
      <c r="B424" s="47" t="s">
        <v>11056</v>
      </c>
      <c r="C424" s="46">
        <v>1549</v>
      </c>
      <c r="D424" s="47" t="s">
        <v>11056</v>
      </c>
    </row>
    <row r="425" spans="1:4" x14ac:dyDescent="0.3">
      <c r="A425" s="46">
        <v>1553</v>
      </c>
      <c r="B425" s="47" t="s">
        <v>5629</v>
      </c>
      <c r="C425" s="46">
        <v>1553</v>
      </c>
      <c r="D425" s="47" t="s">
        <v>5629</v>
      </c>
    </row>
    <row r="426" spans="1:4" x14ac:dyDescent="0.3">
      <c r="A426" s="46">
        <v>1554</v>
      </c>
      <c r="B426" s="47" t="s">
        <v>11057</v>
      </c>
      <c r="C426" s="46">
        <v>1554</v>
      </c>
      <c r="D426" s="47" t="s">
        <v>11057</v>
      </c>
    </row>
    <row r="427" spans="1:4" x14ac:dyDescent="0.3">
      <c r="A427" s="46">
        <v>1555</v>
      </c>
      <c r="B427" s="47" t="s">
        <v>11058</v>
      </c>
      <c r="C427" s="46">
        <v>1555</v>
      </c>
      <c r="D427" s="47" t="s">
        <v>11058</v>
      </c>
    </row>
    <row r="428" spans="1:4" x14ac:dyDescent="0.3">
      <c r="A428" s="46">
        <v>1556</v>
      </c>
      <c r="B428" s="47" t="s">
        <v>11059</v>
      </c>
      <c r="C428" s="46">
        <v>1556</v>
      </c>
      <c r="D428" s="47" t="s">
        <v>11059</v>
      </c>
    </row>
    <row r="429" spans="1:4" x14ac:dyDescent="0.3">
      <c r="A429" s="46">
        <v>1571</v>
      </c>
      <c r="B429" s="47" t="s">
        <v>5640</v>
      </c>
      <c r="C429" s="46">
        <v>1571</v>
      </c>
      <c r="D429" s="47" t="s">
        <v>5640</v>
      </c>
    </row>
    <row r="430" spans="1:4" x14ac:dyDescent="0.3">
      <c r="A430" s="46">
        <v>1641</v>
      </c>
      <c r="B430" s="47" t="s">
        <v>11060</v>
      </c>
      <c r="C430" s="46">
        <v>1641</v>
      </c>
      <c r="D430" s="47" t="s">
        <v>11060</v>
      </c>
    </row>
    <row r="431" spans="1:4" x14ac:dyDescent="0.3">
      <c r="A431" s="46">
        <v>1644</v>
      </c>
      <c r="B431" s="47" t="s">
        <v>11061</v>
      </c>
      <c r="C431" s="46">
        <v>1644</v>
      </c>
      <c r="D431" s="47" t="s">
        <v>11061</v>
      </c>
    </row>
    <row r="432" spans="1:4" x14ac:dyDescent="0.3">
      <c r="A432" s="46">
        <v>1645</v>
      </c>
      <c r="B432" s="47" t="s">
        <v>11062</v>
      </c>
      <c r="C432" s="46">
        <v>1645</v>
      </c>
      <c r="D432" s="47" t="s">
        <v>11062</v>
      </c>
    </row>
    <row r="433" spans="1:4" x14ac:dyDescent="0.3">
      <c r="A433" s="46">
        <v>1646</v>
      </c>
      <c r="B433" s="47" t="s">
        <v>5651</v>
      </c>
      <c r="C433" s="46">
        <v>1646</v>
      </c>
      <c r="D433" s="47" t="s">
        <v>5651</v>
      </c>
    </row>
    <row r="434" spans="1:4" x14ac:dyDescent="0.3">
      <c r="A434" s="46">
        <v>1647</v>
      </c>
      <c r="B434" s="47" t="s">
        <v>5652</v>
      </c>
      <c r="C434" s="46">
        <v>1647</v>
      </c>
      <c r="D434" s="47" t="s">
        <v>5652</v>
      </c>
    </row>
    <row r="435" spans="1:4" x14ac:dyDescent="0.3">
      <c r="A435" s="46">
        <v>1649</v>
      </c>
      <c r="B435" s="47" t="s">
        <v>5654</v>
      </c>
      <c r="C435" s="46">
        <v>1649</v>
      </c>
      <c r="D435" s="47" t="s">
        <v>5654</v>
      </c>
    </row>
    <row r="436" spans="1:4" x14ac:dyDescent="0.3">
      <c r="A436" s="46">
        <v>1655</v>
      </c>
      <c r="B436" s="47" t="s">
        <v>11063</v>
      </c>
      <c r="C436" s="46">
        <v>1655</v>
      </c>
      <c r="D436" s="47" t="s">
        <v>11063</v>
      </c>
    </row>
    <row r="437" spans="1:4" x14ac:dyDescent="0.3">
      <c r="A437" s="46">
        <v>1657</v>
      </c>
      <c r="B437" s="47" t="s">
        <v>11064</v>
      </c>
      <c r="C437" s="46">
        <v>1657</v>
      </c>
      <c r="D437" s="47" t="s">
        <v>11064</v>
      </c>
    </row>
    <row r="438" spans="1:4" x14ac:dyDescent="0.3">
      <c r="A438" s="46">
        <v>1658</v>
      </c>
      <c r="B438" s="47" t="s">
        <v>5657</v>
      </c>
      <c r="C438" s="46">
        <v>1658</v>
      </c>
      <c r="D438" s="47" t="s">
        <v>5657</v>
      </c>
    </row>
    <row r="439" spans="1:4" x14ac:dyDescent="0.3">
      <c r="A439" s="46">
        <v>1659</v>
      </c>
      <c r="B439" s="47" t="s">
        <v>5658</v>
      </c>
      <c r="C439" s="46">
        <v>1659</v>
      </c>
      <c r="D439" s="47" t="s">
        <v>5658</v>
      </c>
    </row>
    <row r="440" spans="1:4" x14ac:dyDescent="0.3">
      <c r="A440" s="46">
        <v>1660</v>
      </c>
      <c r="B440" s="47" t="s">
        <v>5659</v>
      </c>
      <c r="C440" s="46">
        <v>1660</v>
      </c>
      <c r="D440" s="47" t="s">
        <v>5659</v>
      </c>
    </row>
    <row r="441" spans="1:4" x14ac:dyDescent="0.3">
      <c r="A441" s="46">
        <v>1662</v>
      </c>
      <c r="B441" s="47" t="s">
        <v>5661</v>
      </c>
      <c r="C441" s="46">
        <v>1662</v>
      </c>
      <c r="D441" s="47" t="s">
        <v>5661</v>
      </c>
    </row>
    <row r="442" spans="1:4" x14ac:dyDescent="0.3">
      <c r="A442" s="46">
        <v>1663</v>
      </c>
      <c r="B442" s="47" t="s">
        <v>5662</v>
      </c>
      <c r="C442" s="46">
        <v>1663</v>
      </c>
      <c r="D442" s="47" t="s">
        <v>5662</v>
      </c>
    </row>
    <row r="443" spans="1:4" x14ac:dyDescent="0.3">
      <c r="A443" s="46">
        <v>1664</v>
      </c>
      <c r="B443" s="47" t="s">
        <v>11065</v>
      </c>
      <c r="C443" s="46">
        <v>1664</v>
      </c>
      <c r="D443" s="47" t="s">
        <v>11065</v>
      </c>
    </row>
    <row r="444" spans="1:4" x14ac:dyDescent="0.3">
      <c r="A444" s="46">
        <v>1666</v>
      </c>
      <c r="B444" s="47" t="s">
        <v>5663</v>
      </c>
      <c r="C444" s="46">
        <v>1666</v>
      </c>
      <c r="D444" s="47" t="s">
        <v>5663</v>
      </c>
    </row>
    <row r="445" spans="1:4" x14ac:dyDescent="0.3">
      <c r="A445" s="46">
        <v>1667</v>
      </c>
      <c r="B445" s="47" t="s">
        <v>5664</v>
      </c>
      <c r="C445" s="46">
        <v>1667</v>
      </c>
      <c r="D445" s="47" t="s">
        <v>5664</v>
      </c>
    </row>
    <row r="446" spans="1:4" x14ac:dyDescent="0.3">
      <c r="A446" s="46">
        <v>1677</v>
      </c>
      <c r="B446" s="47" t="s">
        <v>5674</v>
      </c>
      <c r="C446" s="46">
        <v>1677</v>
      </c>
      <c r="D446" s="47" t="s">
        <v>5674</v>
      </c>
    </row>
    <row r="447" spans="1:4" x14ac:dyDescent="0.3">
      <c r="A447" s="46">
        <v>1679</v>
      </c>
      <c r="B447" s="47" t="s">
        <v>11066</v>
      </c>
      <c r="C447" s="46">
        <v>1679</v>
      </c>
      <c r="D447" s="47" t="s">
        <v>11066</v>
      </c>
    </row>
    <row r="448" spans="1:4" x14ac:dyDescent="0.3">
      <c r="A448" s="46">
        <v>1687</v>
      </c>
      <c r="B448" s="47" t="s">
        <v>5679</v>
      </c>
      <c r="C448" s="46">
        <v>1687</v>
      </c>
      <c r="D448" s="47" t="s">
        <v>5679</v>
      </c>
    </row>
    <row r="449" spans="1:4" x14ac:dyDescent="0.3">
      <c r="A449" s="46">
        <v>1688</v>
      </c>
      <c r="B449" s="47" t="s">
        <v>5680</v>
      </c>
      <c r="C449" s="46">
        <v>1688</v>
      </c>
      <c r="D449" s="47" t="s">
        <v>5680</v>
      </c>
    </row>
    <row r="450" spans="1:4" x14ac:dyDescent="0.3">
      <c r="A450" s="46">
        <v>1691</v>
      </c>
      <c r="B450" s="47" t="s">
        <v>5681</v>
      </c>
      <c r="C450" s="46">
        <v>1691</v>
      </c>
      <c r="D450" s="47" t="s">
        <v>5681</v>
      </c>
    </row>
    <row r="451" spans="1:4" x14ac:dyDescent="0.3">
      <c r="A451" s="46">
        <v>1692</v>
      </c>
      <c r="B451" s="47" t="s">
        <v>5682</v>
      </c>
      <c r="C451" s="46">
        <v>1692</v>
      </c>
      <c r="D451" s="47" t="s">
        <v>5682</v>
      </c>
    </row>
    <row r="452" spans="1:4" x14ac:dyDescent="0.3">
      <c r="A452" s="46">
        <v>1703</v>
      </c>
      <c r="B452" s="47" t="s">
        <v>11067</v>
      </c>
      <c r="C452" s="46">
        <v>1703</v>
      </c>
      <c r="D452" s="47" t="s">
        <v>11067</v>
      </c>
    </row>
    <row r="453" spans="1:4" x14ac:dyDescent="0.3">
      <c r="A453" s="46">
        <v>1704</v>
      </c>
      <c r="B453" s="47" t="s">
        <v>5685</v>
      </c>
      <c r="C453" s="46">
        <v>1704</v>
      </c>
      <c r="D453" s="47" t="s">
        <v>5685</v>
      </c>
    </row>
    <row r="454" spans="1:4" x14ac:dyDescent="0.3">
      <c r="A454" s="46">
        <v>1706</v>
      </c>
      <c r="B454" s="47" t="s">
        <v>5686</v>
      </c>
      <c r="C454" s="46">
        <v>1706</v>
      </c>
      <c r="D454" s="47" t="s">
        <v>5686</v>
      </c>
    </row>
    <row r="455" spans="1:4" x14ac:dyDescent="0.3">
      <c r="A455" s="46">
        <v>1707</v>
      </c>
      <c r="B455" s="47" t="s">
        <v>5687</v>
      </c>
      <c r="C455" s="46">
        <v>1707</v>
      </c>
      <c r="D455" s="47" t="s">
        <v>5687</v>
      </c>
    </row>
    <row r="456" spans="1:4" x14ac:dyDescent="0.3">
      <c r="A456" s="46">
        <v>1708</v>
      </c>
      <c r="B456" s="47" t="s">
        <v>5688</v>
      </c>
      <c r="C456" s="46">
        <v>1708</v>
      </c>
      <c r="D456" s="47" t="s">
        <v>5688</v>
      </c>
    </row>
    <row r="457" spans="1:4" x14ac:dyDescent="0.3">
      <c r="A457" s="46">
        <v>1709</v>
      </c>
      <c r="B457" s="47" t="s">
        <v>5689</v>
      </c>
      <c r="C457" s="46">
        <v>1709</v>
      </c>
      <c r="D457" s="47" t="s">
        <v>5689</v>
      </c>
    </row>
    <row r="458" spans="1:4" x14ac:dyDescent="0.3">
      <c r="A458" s="46">
        <v>1710</v>
      </c>
      <c r="B458" s="47" t="s">
        <v>5690</v>
      </c>
      <c r="C458" s="46">
        <v>1710</v>
      </c>
      <c r="D458" s="47" t="s">
        <v>5690</v>
      </c>
    </row>
    <row r="459" spans="1:4" x14ac:dyDescent="0.3">
      <c r="A459" s="46">
        <v>1711</v>
      </c>
      <c r="B459" s="47" t="s">
        <v>11068</v>
      </c>
      <c r="C459" s="46">
        <v>1711</v>
      </c>
      <c r="D459" s="47" t="s">
        <v>11068</v>
      </c>
    </row>
    <row r="460" spans="1:4" x14ac:dyDescent="0.3">
      <c r="A460" s="46">
        <v>1712</v>
      </c>
      <c r="B460" s="47" t="s">
        <v>11069</v>
      </c>
      <c r="C460" s="46">
        <v>1712</v>
      </c>
      <c r="D460" s="47" t="s">
        <v>11069</v>
      </c>
    </row>
    <row r="461" spans="1:4" x14ac:dyDescent="0.3">
      <c r="A461" s="46">
        <v>1722</v>
      </c>
      <c r="B461" s="47" t="s">
        <v>5694</v>
      </c>
      <c r="C461" s="46">
        <v>1722</v>
      </c>
      <c r="D461" s="47" t="s">
        <v>5694</v>
      </c>
    </row>
    <row r="462" spans="1:4" x14ac:dyDescent="0.3">
      <c r="A462" s="46">
        <v>1723</v>
      </c>
      <c r="B462" s="47" t="s">
        <v>11070</v>
      </c>
      <c r="C462" s="46">
        <v>1723</v>
      </c>
      <c r="D462" s="47" t="s">
        <v>11070</v>
      </c>
    </row>
    <row r="463" spans="1:4" x14ac:dyDescent="0.3">
      <c r="A463" s="46">
        <v>1724</v>
      </c>
      <c r="B463" s="47" t="s">
        <v>11071</v>
      </c>
      <c r="C463" s="46">
        <v>1724</v>
      </c>
      <c r="D463" s="47" t="s">
        <v>11071</v>
      </c>
    </row>
    <row r="464" spans="1:4" x14ac:dyDescent="0.3">
      <c r="A464" s="46">
        <v>1725</v>
      </c>
      <c r="B464" s="47" t="s">
        <v>11072</v>
      </c>
      <c r="C464" s="46">
        <v>1725</v>
      </c>
      <c r="D464" s="47" t="s">
        <v>11072</v>
      </c>
    </row>
    <row r="465" spans="1:4" x14ac:dyDescent="0.3">
      <c r="A465" s="46">
        <v>1728</v>
      </c>
      <c r="B465" s="47" t="s">
        <v>11073</v>
      </c>
      <c r="C465" s="46">
        <v>1728</v>
      </c>
      <c r="D465" s="47" t="s">
        <v>11073</v>
      </c>
    </row>
    <row r="466" spans="1:4" x14ac:dyDescent="0.3">
      <c r="A466" s="46">
        <v>1730</v>
      </c>
      <c r="B466" s="47" t="s">
        <v>11074</v>
      </c>
      <c r="C466" s="46">
        <v>1730</v>
      </c>
      <c r="D466" s="47" t="s">
        <v>11074</v>
      </c>
    </row>
    <row r="467" spans="1:4" x14ac:dyDescent="0.3">
      <c r="A467" s="46">
        <v>1732</v>
      </c>
      <c r="B467" s="47" t="s">
        <v>5696</v>
      </c>
      <c r="C467" s="46">
        <v>1732</v>
      </c>
      <c r="D467" s="47" t="s">
        <v>5696</v>
      </c>
    </row>
    <row r="468" spans="1:4" x14ac:dyDescent="0.3">
      <c r="A468" s="46">
        <v>1775</v>
      </c>
      <c r="B468" s="47" t="s">
        <v>5712</v>
      </c>
      <c r="C468" s="46">
        <v>1775</v>
      </c>
      <c r="D468" s="47" t="s">
        <v>5712</v>
      </c>
    </row>
    <row r="469" spans="1:4" x14ac:dyDescent="0.3">
      <c r="A469" s="46">
        <v>1780</v>
      </c>
      <c r="B469" s="47" t="s">
        <v>11075</v>
      </c>
      <c r="C469" s="46">
        <v>1780</v>
      </c>
      <c r="D469" s="47" t="s">
        <v>11075</v>
      </c>
    </row>
    <row r="470" spans="1:4" x14ac:dyDescent="0.3">
      <c r="A470" s="46">
        <v>1782</v>
      </c>
      <c r="B470" s="47" t="s">
        <v>5718</v>
      </c>
      <c r="C470" s="46">
        <v>1782</v>
      </c>
      <c r="D470" s="47" t="s">
        <v>5718</v>
      </c>
    </row>
    <row r="471" spans="1:4" x14ac:dyDescent="0.3">
      <c r="A471" s="46">
        <v>1783</v>
      </c>
      <c r="B471" s="47" t="s">
        <v>11076</v>
      </c>
      <c r="C471" s="46">
        <v>1783</v>
      </c>
      <c r="D471" s="47" t="s">
        <v>11076</v>
      </c>
    </row>
    <row r="472" spans="1:4" x14ac:dyDescent="0.3">
      <c r="A472" s="46">
        <v>1785</v>
      </c>
      <c r="B472" s="47" t="s">
        <v>5720</v>
      </c>
      <c r="C472" s="46">
        <v>1785</v>
      </c>
      <c r="D472" s="47" t="s">
        <v>5720</v>
      </c>
    </row>
    <row r="473" spans="1:4" x14ac:dyDescent="0.3">
      <c r="A473" s="46">
        <v>1791</v>
      </c>
      <c r="B473" s="47" t="s">
        <v>11077</v>
      </c>
      <c r="C473" s="46">
        <v>1791</v>
      </c>
      <c r="D473" s="47" t="s">
        <v>11077</v>
      </c>
    </row>
    <row r="474" spans="1:4" x14ac:dyDescent="0.3">
      <c r="A474" s="46">
        <v>1792</v>
      </c>
      <c r="B474" s="47" t="s">
        <v>5724</v>
      </c>
      <c r="C474" s="46">
        <v>1792</v>
      </c>
      <c r="D474" s="47" t="s">
        <v>5724</v>
      </c>
    </row>
    <row r="475" spans="1:4" x14ac:dyDescent="0.3">
      <c r="A475" s="46">
        <v>1794</v>
      </c>
      <c r="B475" s="47" t="s">
        <v>11078</v>
      </c>
      <c r="C475" s="46">
        <v>1794</v>
      </c>
      <c r="D475" s="47" t="s">
        <v>11078</v>
      </c>
    </row>
    <row r="476" spans="1:4" x14ac:dyDescent="0.3">
      <c r="A476" s="46">
        <v>1795</v>
      </c>
      <c r="B476" s="47" t="s">
        <v>11079</v>
      </c>
      <c r="C476" s="46">
        <v>1795</v>
      </c>
      <c r="D476" s="47" t="s">
        <v>11079</v>
      </c>
    </row>
    <row r="477" spans="1:4" x14ac:dyDescent="0.3">
      <c r="A477" s="46">
        <v>1796</v>
      </c>
      <c r="B477" s="47" t="s">
        <v>11080</v>
      </c>
      <c r="C477" s="46">
        <v>1796</v>
      </c>
      <c r="D477" s="47" t="s">
        <v>11080</v>
      </c>
    </row>
    <row r="478" spans="1:4" x14ac:dyDescent="0.3">
      <c r="A478" s="46">
        <v>1797</v>
      </c>
      <c r="B478" s="47" t="s">
        <v>11081</v>
      </c>
      <c r="C478" s="46">
        <v>1797</v>
      </c>
      <c r="D478" s="47" t="s">
        <v>11081</v>
      </c>
    </row>
    <row r="479" spans="1:4" x14ac:dyDescent="0.3">
      <c r="A479" s="46">
        <v>1798</v>
      </c>
      <c r="B479" s="47" t="s">
        <v>11082</v>
      </c>
      <c r="C479" s="46">
        <v>1798</v>
      </c>
      <c r="D479" s="47" t="s">
        <v>11082</v>
      </c>
    </row>
    <row r="480" spans="1:4" x14ac:dyDescent="0.3">
      <c r="A480" s="46">
        <v>1799</v>
      </c>
      <c r="B480" s="47" t="s">
        <v>11083</v>
      </c>
      <c r="C480" s="46">
        <v>1799</v>
      </c>
      <c r="D480" s="47" t="s">
        <v>11083</v>
      </c>
    </row>
    <row r="481" spans="1:4" x14ac:dyDescent="0.3">
      <c r="A481" s="46">
        <v>1800</v>
      </c>
      <c r="B481" s="47" t="s">
        <v>11084</v>
      </c>
      <c r="C481" s="46">
        <v>1800</v>
      </c>
      <c r="D481" s="47" t="s">
        <v>11084</v>
      </c>
    </row>
    <row r="482" spans="1:4" x14ac:dyDescent="0.3">
      <c r="A482" s="46">
        <v>1802</v>
      </c>
      <c r="B482" s="47" t="s">
        <v>5727</v>
      </c>
      <c r="C482" s="46">
        <v>1802</v>
      </c>
      <c r="D482" s="47" t="s">
        <v>5727</v>
      </c>
    </row>
    <row r="483" spans="1:4" x14ac:dyDescent="0.3">
      <c r="A483" s="46">
        <v>1803</v>
      </c>
      <c r="B483" s="47" t="s">
        <v>5728</v>
      </c>
      <c r="C483" s="46">
        <v>1803</v>
      </c>
      <c r="D483" s="47" t="s">
        <v>5728</v>
      </c>
    </row>
    <row r="484" spans="1:4" x14ac:dyDescent="0.3">
      <c r="A484" s="46">
        <v>1804</v>
      </c>
      <c r="B484" s="47" t="s">
        <v>11085</v>
      </c>
      <c r="C484" s="46">
        <v>1804</v>
      </c>
      <c r="D484" s="47" t="s">
        <v>11085</v>
      </c>
    </row>
    <row r="485" spans="1:4" x14ac:dyDescent="0.3">
      <c r="A485" s="46">
        <v>1805</v>
      </c>
      <c r="B485" s="47" t="s">
        <v>5729</v>
      </c>
      <c r="C485" s="46">
        <v>1805</v>
      </c>
      <c r="D485" s="47" t="s">
        <v>5729</v>
      </c>
    </row>
    <row r="486" spans="1:4" x14ac:dyDescent="0.3">
      <c r="A486" s="46">
        <v>1806</v>
      </c>
      <c r="B486" s="47" t="s">
        <v>11086</v>
      </c>
      <c r="C486" s="46">
        <v>1806</v>
      </c>
      <c r="D486" s="47" t="s">
        <v>11086</v>
      </c>
    </row>
    <row r="487" spans="1:4" x14ac:dyDescent="0.3">
      <c r="A487" s="46">
        <v>1012</v>
      </c>
      <c r="B487" s="47" t="s">
        <v>110</v>
      </c>
      <c r="C487" s="46">
        <v>1012</v>
      </c>
      <c r="D487" s="47" t="s">
        <v>110</v>
      </c>
    </row>
    <row r="488" spans="1:4" x14ac:dyDescent="0.3">
      <c r="A488" s="46">
        <v>1123</v>
      </c>
      <c r="B488" s="47" t="s">
        <v>5372</v>
      </c>
      <c r="C488" s="46">
        <v>1123</v>
      </c>
      <c r="D488" s="47" t="s">
        <v>5372</v>
      </c>
    </row>
    <row r="489" spans="1:4" x14ac:dyDescent="0.3">
      <c r="A489" s="46">
        <v>1124</v>
      </c>
      <c r="B489" s="47" t="s">
        <v>5373</v>
      </c>
      <c r="C489" s="46">
        <v>1124</v>
      </c>
      <c r="D489" s="47" t="s">
        <v>5373</v>
      </c>
    </row>
    <row r="490" spans="1:4" x14ac:dyDescent="0.3">
      <c r="A490" s="46">
        <v>1125</v>
      </c>
      <c r="B490" s="47" t="s">
        <v>5374</v>
      </c>
      <c r="C490" s="46">
        <v>1125</v>
      </c>
      <c r="D490" s="47" t="s">
        <v>5374</v>
      </c>
    </row>
    <row r="491" spans="1:4" x14ac:dyDescent="0.3">
      <c r="A491" s="46">
        <v>1138</v>
      </c>
      <c r="B491" s="47" t="s">
        <v>5385</v>
      </c>
      <c r="C491" s="46">
        <v>1138</v>
      </c>
      <c r="D491" s="47" t="s">
        <v>5385</v>
      </c>
    </row>
    <row r="492" spans="1:4" x14ac:dyDescent="0.3">
      <c r="A492" s="46">
        <v>1139</v>
      </c>
      <c r="B492" s="47" t="s">
        <v>11087</v>
      </c>
      <c r="C492" s="46">
        <v>1139</v>
      </c>
      <c r="D492" s="47" t="s">
        <v>11087</v>
      </c>
    </row>
    <row r="493" spans="1:4" x14ac:dyDescent="0.3">
      <c r="A493" s="46">
        <v>1140</v>
      </c>
      <c r="B493" s="47" t="s">
        <v>11088</v>
      </c>
      <c r="C493" s="46">
        <v>1140</v>
      </c>
      <c r="D493" s="47" t="s">
        <v>11088</v>
      </c>
    </row>
    <row r="494" spans="1:4" x14ac:dyDescent="0.3">
      <c r="A494" s="46">
        <v>1141</v>
      </c>
      <c r="B494" s="47" t="s">
        <v>11089</v>
      </c>
      <c r="C494" s="46">
        <v>1141</v>
      </c>
      <c r="D494" s="47" t="s">
        <v>11089</v>
      </c>
    </row>
    <row r="495" spans="1:4" x14ac:dyDescent="0.3">
      <c r="A495" s="46">
        <v>1233</v>
      </c>
      <c r="B495" s="47" t="s">
        <v>5459</v>
      </c>
      <c r="C495" s="46">
        <v>1233</v>
      </c>
      <c r="D495" s="47" t="s">
        <v>5459</v>
      </c>
    </row>
    <row r="496" spans="1:4" x14ac:dyDescent="0.3">
      <c r="A496" s="46">
        <v>1234</v>
      </c>
      <c r="B496" s="47" t="s">
        <v>11090</v>
      </c>
      <c r="C496" s="46">
        <v>1234</v>
      </c>
      <c r="D496" s="47" t="s">
        <v>11090</v>
      </c>
    </row>
    <row r="497" spans="1:4" x14ac:dyDescent="0.3">
      <c r="A497" s="46">
        <v>1295</v>
      </c>
      <c r="B497" s="47" t="s">
        <v>5494</v>
      </c>
      <c r="C497" s="46">
        <v>1295</v>
      </c>
      <c r="D497" s="47" t="s">
        <v>5494</v>
      </c>
    </row>
    <row r="498" spans="1:4" x14ac:dyDescent="0.3">
      <c r="A498" s="46">
        <v>1354</v>
      </c>
      <c r="B498" s="47" t="s">
        <v>5528</v>
      </c>
      <c r="C498" s="46">
        <v>1354</v>
      </c>
      <c r="D498" s="47" t="s">
        <v>5528</v>
      </c>
    </row>
    <row r="499" spans="1:4" x14ac:dyDescent="0.3">
      <c r="A499" s="46">
        <v>1359</v>
      </c>
      <c r="B499" s="47" t="s">
        <v>5530</v>
      </c>
      <c r="C499" s="46">
        <v>1359</v>
      </c>
      <c r="D499" s="47" t="s">
        <v>5530</v>
      </c>
    </row>
    <row r="500" spans="1:4" x14ac:dyDescent="0.3">
      <c r="A500" s="46">
        <v>1366</v>
      </c>
      <c r="B500" s="47" t="s">
        <v>5535</v>
      </c>
      <c r="C500" s="46">
        <v>1366</v>
      </c>
      <c r="D500" s="47" t="s">
        <v>5535</v>
      </c>
    </row>
    <row r="501" spans="1:4" x14ac:dyDescent="0.3">
      <c r="A501" s="46">
        <v>1387</v>
      </c>
      <c r="B501" s="47" t="s">
        <v>5547</v>
      </c>
      <c r="C501" s="46">
        <v>1387</v>
      </c>
      <c r="D501" s="47" t="s">
        <v>5547</v>
      </c>
    </row>
    <row r="502" spans="1:4" x14ac:dyDescent="0.3">
      <c r="A502" s="46">
        <v>1409</v>
      </c>
      <c r="B502" s="47" t="s">
        <v>11091</v>
      </c>
      <c r="C502" s="46">
        <v>1409</v>
      </c>
      <c r="D502" s="47" t="s">
        <v>11091</v>
      </c>
    </row>
    <row r="503" spans="1:4" x14ac:dyDescent="0.3">
      <c r="A503" s="46">
        <v>1411</v>
      </c>
      <c r="B503" s="47" t="s">
        <v>5558</v>
      </c>
      <c r="C503" s="46">
        <v>1411</v>
      </c>
      <c r="D503" s="47" t="s">
        <v>5558</v>
      </c>
    </row>
    <row r="504" spans="1:4" x14ac:dyDescent="0.3">
      <c r="A504" s="46">
        <v>1412</v>
      </c>
      <c r="B504" s="47" t="s">
        <v>5559</v>
      </c>
      <c r="C504" s="46">
        <v>1412</v>
      </c>
      <c r="D504" s="47" t="s">
        <v>5559</v>
      </c>
    </row>
    <row r="505" spans="1:4" x14ac:dyDescent="0.3">
      <c r="A505" s="46">
        <v>1413</v>
      </c>
      <c r="B505" s="47" t="s">
        <v>11092</v>
      </c>
      <c r="C505" s="46">
        <v>1413</v>
      </c>
      <c r="D505" s="47" t="s">
        <v>11092</v>
      </c>
    </row>
    <row r="506" spans="1:4" x14ac:dyDescent="0.3">
      <c r="A506" s="46">
        <v>1414</v>
      </c>
      <c r="B506" s="47" t="s">
        <v>5560</v>
      </c>
      <c r="C506" s="46">
        <v>1414</v>
      </c>
      <c r="D506" s="47" t="s">
        <v>5560</v>
      </c>
    </row>
    <row r="507" spans="1:4" x14ac:dyDescent="0.3">
      <c r="A507" s="46">
        <v>1415</v>
      </c>
      <c r="B507" s="47" t="s">
        <v>5561</v>
      </c>
      <c r="C507" s="46">
        <v>1415</v>
      </c>
      <c r="D507" s="47" t="s">
        <v>5561</v>
      </c>
    </row>
    <row r="508" spans="1:4" x14ac:dyDescent="0.3">
      <c r="A508" s="46">
        <v>1416</v>
      </c>
      <c r="B508" s="47" t="s">
        <v>11093</v>
      </c>
      <c r="C508" s="46">
        <v>1416</v>
      </c>
      <c r="D508" s="47" t="s">
        <v>11093</v>
      </c>
    </row>
    <row r="509" spans="1:4" x14ac:dyDescent="0.3">
      <c r="A509" s="46">
        <v>1417</v>
      </c>
      <c r="B509" s="47" t="s">
        <v>5562</v>
      </c>
      <c r="C509" s="46">
        <v>1417</v>
      </c>
      <c r="D509" s="47" t="s">
        <v>5562</v>
      </c>
    </row>
    <row r="510" spans="1:4" x14ac:dyDescent="0.3">
      <c r="A510" s="46">
        <v>1418</v>
      </c>
      <c r="B510" s="47" t="s">
        <v>11094</v>
      </c>
      <c r="C510" s="46">
        <v>1418</v>
      </c>
      <c r="D510" s="47" t="s">
        <v>11094</v>
      </c>
    </row>
    <row r="511" spans="1:4" x14ac:dyDescent="0.3">
      <c r="A511" s="46">
        <v>1419</v>
      </c>
      <c r="B511" s="47" t="s">
        <v>5563</v>
      </c>
      <c r="C511" s="46">
        <v>1419</v>
      </c>
      <c r="D511" s="47" t="s">
        <v>5563</v>
      </c>
    </row>
    <row r="512" spans="1:4" x14ac:dyDescent="0.3">
      <c r="A512" s="46">
        <v>1420</v>
      </c>
      <c r="B512" s="47" t="s">
        <v>11095</v>
      </c>
      <c r="C512" s="46">
        <v>1420</v>
      </c>
      <c r="D512" s="47" t="s">
        <v>11095</v>
      </c>
    </row>
    <row r="513" spans="1:4" x14ac:dyDescent="0.3">
      <c r="A513" s="46">
        <v>1421</v>
      </c>
      <c r="B513" s="47" t="s">
        <v>11096</v>
      </c>
      <c r="C513" s="46">
        <v>1421</v>
      </c>
      <c r="D513" s="47" t="s">
        <v>11096</v>
      </c>
    </row>
    <row r="514" spans="1:4" x14ac:dyDescent="0.3">
      <c r="A514" s="46">
        <v>1422</v>
      </c>
      <c r="B514" s="47" t="s">
        <v>11097</v>
      </c>
      <c r="C514" s="46">
        <v>1422</v>
      </c>
      <c r="D514" s="47" t="s">
        <v>11097</v>
      </c>
    </row>
    <row r="515" spans="1:4" x14ac:dyDescent="0.3">
      <c r="A515" s="46">
        <v>1423</v>
      </c>
      <c r="B515" s="47" t="s">
        <v>11098</v>
      </c>
      <c r="C515" s="46">
        <v>1423</v>
      </c>
      <c r="D515" s="47" t="s">
        <v>11098</v>
      </c>
    </row>
    <row r="516" spans="1:4" x14ac:dyDescent="0.3">
      <c r="A516" s="46">
        <v>1424</v>
      </c>
      <c r="B516" s="47" t="s">
        <v>11099</v>
      </c>
      <c r="C516" s="46">
        <v>1424</v>
      </c>
      <c r="D516" s="47" t="s">
        <v>11099</v>
      </c>
    </row>
    <row r="517" spans="1:4" x14ac:dyDescent="0.3">
      <c r="A517" s="46">
        <v>1425</v>
      </c>
      <c r="B517" s="47" t="s">
        <v>11100</v>
      </c>
      <c r="C517" s="46">
        <v>1425</v>
      </c>
      <c r="D517" s="47" t="s">
        <v>11100</v>
      </c>
    </row>
    <row r="518" spans="1:4" x14ac:dyDescent="0.3">
      <c r="A518" s="46">
        <v>1446</v>
      </c>
      <c r="B518" s="47" t="s">
        <v>5573</v>
      </c>
      <c r="C518" s="46">
        <v>1446</v>
      </c>
      <c r="D518" s="47" t="s">
        <v>5573</v>
      </c>
    </row>
    <row r="519" spans="1:4" x14ac:dyDescent="0.3">
      <c r="A519" s="46">
        <v>1495</v>
      </c>
      <c r="B519" s="47" t="s">
        <v>5595</v>
      </c>
      <c r="C519" s="46">
        <v>1495</v>
      </c>
      <c r="D519" s="47" t="s">
        <v>5595</v>
      </c>
    </row>
    <row r="520" spans="1:4" x14ac:dyDescent="0.3">
      <c r="A520" s="46">
        <v>1502</v>
      </c>
      <c r="B520" s="47" t="s">
        <v>5602</v>
      </c>
      <c r="C520" s="46">
        <v>1502</v>
      </c>
      <c r="D520" s="47" t="s">
        <v>5602</v>
      </c>
    </row>
    <row r="521" spans="1:4" x14ac:dyDescent="0.3">
      <c r="A521" s="46">
        <v>1503</v>
      </c>
      <c r="B521" s="47" t="s">
        <v>5603</v>
      </c>
      <c r="C521" s="46">
        <v>1503</v>
      </c>
      <c r="D521" s="47" t="s">
        <v>5603</v>
      </c>
    </row>
    <row r="522" spans="1:4" x14ac:dyDescent="0.3">
      <c r="A522" s="46">
        <v>1542</v>
      </c>
      <c r="B522" s="47" t="s">
        <v>5621</v>
      </c>
      <c r="C522" s="46">
        <v>1542</v>
      </c>
      <c r="D522" s="47" t="s">
        <v>5621</v>
      </c>
    </row>
    <row r="523" spans="1:4" x14ac:dyDescent="0.3">
      <c r="A523" s="46">
        <v>1651</v>
      </c>
      <c r="B523" s="47" t="s">
        <v>5655</v>
      </c>
      <c r="C523" s="46">
        <v>1651</v>
      </c>
      <c r="D523" s="47" t="s">
        <v>5655</v>
      </c>
    </row>
    <row r="524" spans="1:4" x14ac:dyDescent="0.3">
      <c r="A524" s="46">
        <v>1700</v>
      </c>
      <c r="B524" s="47" t="s">
        <v>11101</v>
      </c>
      <c r="C524" s="46">
        <v>1700</v>
      </c>
      <c r="D524" s="47" t="s">
        <v>11101</v>
      </c>
    </row>
    <row r="525" spans="1:4" x14ac:dyDescent="0.3">
      <c r="A525" s="46">
        <v>1701</v>
      </c>
      <c r="B525" s="47" t="s">
        <v>11102</v>
      </c>
      <c r="C525" s="46">
        <v>1701</v>
      </c>
      <c r="D525" s="47" t="s">
        <v>11102</v>
      </c>
    </row>
    <row r="526" spans="1:4" x14ac:dyDescent="0.3">
      <c r="A526" s="46">
        <v>1808</v>
      </c>
      <c r="B526" s="47" t="s">
        <v>5731</v>
      </c>
      <c r="C526" s="46">
        <v>1808</v>
      </c>
      <c r="D526" s="47" t="s">
        <v>5731</v>
      </c>
    </row>
    <row r="527" spans="1:4" x14ac:dyDescent="0.3">
      <c r="A527" s="46">
        <v>1003</v>
      </c>
      <c r="B527" s="47" t="s">
        <v>100</v>
      </c>
      <c r="C527" s="46">
        <v>1003</v>
      </c>
      <c r="D527" s="47" t="s">
        <v>100</v>
      </c>
    </row>
    <row r="528" spans="1:4" x14ac:dyDescent="0.3">
      <c r="A528" s="46">
        <v>1011</v>
      </c>
      <c r="B528" s="47" t="s">
        <v>109</v>
      </c>
      <c r="C528" s="46">
        <v>1011</v>
      </c>
      <c r="D528" s="47" t="s">
        <v>109</v>
      </c>
    </row>
    <row r="529" spans="1:4" x14ac:dyDescent="0.3">
      <c r="A529" s="46">
        <v>1059</v>
      </c>
      <c r="B529" s="47" t="s">
        <v>11103</v>
      </c>
      <c r="C529" s="46">
        <v>1059</v>
      </c>
      <c r="D529" s="47" t="s">
        <v>11103</v>
      </c>
    </row>
    <row r="530" spans="1:4" x14ac:dyDescent="0.3">
      <c r="A530" s="46">
        <v>1135</v>
      </c>
      <c r="B530" s="47" t="s">
        <v>5382</v>
      </c>
      <c r="C530" s="46">
        <v>1135</v>
      </c>
      <c r="D530" s="47" t="s">
        <v>5382</v>
      </c>
    </row>
    <row r="531" spans="1:4" x14ac:dyDescent="0.3">
      <c r="A531" s="46">
        <v>1196</v>
      </c>
      <c r="B531" s="47" t="s">
        <v>5426</v>
      </c>
      <c r="C531" s="46">
        <v>1196</v>
      </c>
      <c r="D531" s="47" t="s">
        <v>5426</v>
      </c>
    </row>
    <row r="532" spans="1:4" x14ac:dyDescent="0.3">
      <c r="A532" s="46">
        <v>1197</v>
      </c>
      <c r="B532" s="47" t="s">
        <v>5427</v>
      </c>
      <c r="C532" s="46">
        <v>1197</v>
      </c>
      <c r="D532" s="47" t="s">
        <v>5427</v>
      </c>
    </row>
    <row r="533" spans="1:4" x14ac:dyDescent="0.3">
      <c r="A533" s="46">
        <v>1211</v>
      </c>
      <c r="B533" s="47" t="s">
        <v>11104</v>
      </c>
      <c r="C533" s="46">
        <v>1211</v>
      </c>
      <c r="D533" s="47" t="s">
        <v>11104</v>
      </c>
    </row>
    <row r="534" spans="1:4" x14ac:dyDescent="0.3">
      <c r="A534" s="46">
        <v>1239</v>
      </c>
      <c r="B534" s="47" t="s">
        <v>5460</v>
      </c>
      <c r="C534" s="46">
        <v>1239</v>
      </c>
      <c r="D534" s="47" t="s">
        <v>5460</v>
      </c>
    </row>
    <row r="535" spans="1:4" x14ac:dyDescent="0.3">
      <c r="A535" s="46">
        <v>1240</v>
      </c>
      <c r="B535" s="47" t="s">
        <v>11105</v>
      </c>
      <c r="C535" s="46">
        <v>1240</v>
      </c>
      <c r="D535" s="47" t="s">
        <v>11105</v>
      </c>
    </row>
    <row r="536" spans="1:4" x14ac:dyDescent="0.3">
      <c r="A536" s="46">
        <v>1241</v>
      </c>
      <c r="B536" s="47" t="s">
        <v>11106</v>
      </c>
      <c r="C536" s="46">
        <v>1241</v>
      </c>
      <c r="D536" s="47" t="s">
        <v>11106</v>
      </c>
    </row>
    <row r="537" spans="1:4" x14ac:dyDescent="0.3">
      <c r="A537" s="46">
        <v>1270</v>
      </c>
      <c r="B537" s="47" t="s">
        <v>5479</v>
      </c>
      <c r="C537" s="46">
        <v>1270</v>
      </c>
      <c r="D537" s="47" t="s">
        <v>5479</v>
      </c>
    </row>
    <row r="538" spans="1:4" x14ac:dyDescent="0.3">
      <c r="A538" s="46">
        <v>1280</v>
      </c>
      <c r="B538" s="47" t="s">
        <v>11107</v>
      </c>
      <c r="C538" s="46">
        <v>1280</v>
      </c>
      <c r="D538" s="47" t="s">
        <v>11107</v>
      </c>
    </row>
    <row r="539" spans="1:4" x14ac:dyDescent="0.3">
      <c r="A539" s="46">
        <v>1333</v>
      </c>
      <c r="B539" s="47" t="s">
        <v>5518</v>
      </c>
      <c r="C539" s="46">
        <v>1333</v>
      </c>
      <c r="D539" s="47" t="s">
        <v>5518</v>
      </c>
    </row>
    <row r="540" spans="1:4" x14ac:dyDescent="0.3">
      <c r="A540" s="46">
        <v>1367</v>
      </c>
      <c r="B540" s="47" t="s">
        <v>11108</v>
      </c>
      <c r="C540" s="46">
        <v>1367</v>
      </c>
      <c r="D540" s="47" t="s">
        <v>11108</v>
      </c>
    </row>
    <row r="541" spans="1:4" x14ac:dyDescent="0.3">
      <c r="A541" s="46">
        <v>1395</v>
      </c>
      <c r="B541" s="47" t="s">
        <v>11109</v>
      </c>
      <c r="C541" s="46">
        <v>1395</v>
      </c>
      <c r="D541" s="47" t="s">
        <v>11109</v>
      </c>
    </row>
    <row r="542" spans="1:4" x14ac:dyDescent="0.3">
      <c r="A542" s="46">
        <v>1468</v>
      </c>
      <c r="B542" s="47" t="s">
        <v>5583</v>
      </c>
      <c r="C542" s="46">
        <v>1468</v>
      </c>
      <c r="D542" s="47" t="s">
        <v>5583</v>
      </c>
    </row>
    <row r="543" spans="1:4" x14ac:dyDescent="0.3">
      <c r="A543" s="46">
        <v>1489</v>
      </c>
      <c r="B543" s="47" t="s">
        <v>5592</v>
      </c>
      <c r="C543" s="46">
        <v>1489</v>
      </c>
      <c r="D543" s="47" t="s">
        <v>5592</v>
      </c>
    </row>
    <row r="544" spans="1:4" x14ac:dyDescent="0.3">
      <c r="A544" s="46">
        <v>1497</v>
      </c>
      <c r="B544" s="47" t="s">
        <v>5597</v>
      </c>
      <c r="C544" s="46">
        <v>1497</v>
      </c>
      <c r="D544" s="47" t="s">
        <v>5597</v>
      </c>
    </row>
    <row r="545" spans="1:4" x14ac:dyDescent="0.3">
      <c r="A545" s="46">
        <v>1522</v>
      </c>
      <c r="B545" s="47" t="s">
        <v>11110</v>
      </c>
      <c r="C545" s="46">
        <v>1522</v>
      </c>
      <c r="D545" s="47" t="s">
        <v>11110</v>
      </c>
    </row>
    <row r="546" spans="1:4" x14ac:dyDescent="0.3">
      <c r="A546" s="46">
        <v>1523</v>
      </c>
      <c r="B546" s="47" t="s">
        <v>11111</v>
      </c>
      <c r="C546" s="46">
        <v>1523</v>
      </c>
      <c r="D546" s="47" t="s">
        <v>11111</v>
      </c>
    </row>
    <row r="547" spans="1:4" x14ac:dyDescent="0.3">
      <c r="A547" s="46">
        <v>1543</v>
      </c>
      <c r="B547" s="47" t="s">
        <v>5622</v>
      </c>
      <c r="C547" s="46">
        <v>1543</v>
      </c>
      <c r="D547" s="47" t="s">
        <v>5622</v>
      </c>
    </row>
    <row r="548" spans="1:4" x14ac:dyDescent="0.3">
      <c r="A548" s="46">
        <v>1544</v>
      </c>
      <c r="B548" s="47" t="s">
        <v>5623</v>
      </c>
      <c r="C548" s="46">
        <v>1544</v>
      </c>
      <c r="D548" s="47" t="s">
        <v>5623</v>
      </c>
    </row>
    <row r="549" spans="1:4" x14ac:dyDescent="0.3">
      <c r="A549" s="46">
        <v>1545</v>
      </c>
      <c r="B549" s="47" t="s">
        <v>5624</v>
      </c>
      <c r="C549" s="46">
        <v>1545</v>
      </c>
      <c r="D549" s="47" t="s">
        <v>5624</v>
      </c>
    </row>
    <row r="550" spans="1:4" x14ac:dyDescent="0.3">
      <c r="A550" s="46">
        <v>1642</v>
      </c>
      <c r="B550" s="47" t="s">
        <v>11112</v>
      </c>
      <c r="C550" s="46">
        <v>1642</v>
      </c>
      <c r="D550" s="47" t="s">
        <v>11112</v>
      </c>
    </row>
    <row r="551" spans="1:4" x14ac:dyDescent="0.3">
      <c r="A551" s="46">
        <v>1650</v>
      </c>
      <c r="B551" s="47" t="s">
        <v>11113</v>
      </c>
      <c r="C551" s="46">
        <v>1650</v>
      </c>
      <c r="D551" s="47" t="s">
        <v>11113</v>
      </c>
    </row>
    <row r="552" spans="1:4" x14ac:dyDescent="0.3">
      <c r="A552" s="46">
        <v>1654</v>
      </c>
      <c r="B552" s="47" t="s">
        <v>11114</v>
      </c>
      <c r="C552" s="46">
        <v>1654</v>
      </c>
      <c r="D552" s="47" t="s">
        <v>11114</v>
      </c>
    </row>
    <row r="553" spans="1:4" x14ac:dyDescent="0.3">
      <c r="A553" s="46">
        <v>1665</v>
      </c>
      <c r="B553" s="47" t="s">
        <v>11115</v>
      </c>
      <c r="C553" s="46">
        <v>1665</v>
      </c>
      <c r="D553" s="47" t="s">
        <v>11115</v>
      </c>
    </row>
    <row r="554" spans="1:4" x14ac:dyDescent="0.3">
      <c r="A554" s="46">
        <v>1681</v>
      </c>
      <c r="B554" s="47" t="s">
        <v>11116</v>
      </c>
      <c r="C554" s="46">
        <v>1681</v>
      </c>
      <c r="D554" s="47" t="s">
        <v>11116</v>
      </c>
    </row>
    <row r="555" spans="1:4" x14ac:dyDescent="0.3">
      <c r="A555" s="46">
        <v>1683</v>
      </c>
      <c r="B555" s="47" t="s">
        <v>11117</v>
      </c>
      <c r="C555" s="46">
        <v>1683</v>
      </c>
      <c r="D555" s="47" t="s">
        <v>11117</v>
      </c>
    </row>
    <row r="556" spans="1:4" x14ac:dyDescent="0.3">
      <c r="A556" s="46">
        <v>1684</v>
      </c>
      <c r="B556" s="47" t="s">
        <v>11118</v>
      </c>
      <c r="C556" s="46">
        <v>1684</v>
      </c>
      <c r="D556" s="47" t="s">
        <v>11118</v>
      </c>
    </row>
    <row r="557" spans="1:4" x14ac:dyDescent="0.3">
      <c r="A557" s="46">
        <v>1693</v>
      </c>
      <c r="B557" s="47" t="s">
        <v>11119</v>
      </c>
      <c r="C557" s="46">
        <v>1693</v>
      </c>
      <c r="D557" s="47" t="s">
        <v>11119</v>
      </c>
    </row>
    <row r="558" spans="1:4" x14ac:dyDescent="0.3">
      <c r="A558" s="46">
        <v>1696</v>
      </c>
      <c r="B558" s="47" t="s">
        <v>11120</v>
      </c>
      <c r="C558" s="46">
        <v>1696</v>
      </c>
      <c r="D558" s="47" t="s">
        <v>11120</v>
      </c>
    </row>
    <row r="559" spans="1:4" x14ac:dyDescent="0.3">
      <c r="A559" s="46">
        <v>1699</v>
      </c>
      <c r="B559" s="47" t="s">
        <v>11121</v>
      </c>
      <c r="C559" s="46">
        <v>1699</v>
      </c>
      <c r="D559" s="47" t="s">
        <v>11121</v>
      </c>
    </row>
    <row r="560" spans="1:4" x14ac:dyDescent="0.3">
      <c r="A560" s="46">
        <v>1715</v>
      </c>
      <c r="B560" s="47" t="s">
        <v>11122</v>
      </c>
      <c r="C560" s="46">
        <v>1715</v>
      </c>
      <c r="D560" s="47" t="s">
        <v>11122</v>
      </c>
    </row>
    <row r="561" spans="1:4" x14ac:dyDescent="0.3">
      <c r="A561" s="46">
        <v>1717</v>
      </c>
      <c r="B561" s="47" t="s">
        <v>11123</v>
      </c>
      <c r="C561" s="46">
        <v>1717</v>
      </c>
      <c r="D561" s="47" t="s">
        <v>11123</v>
      </c>
    </row>
    <row r="562" spans="1:4" x14ac:dyDescent="0.3">
      <c r="A562" s="46">
        <v>1718</v>
      </c>
      <c r="B562" s="47" t="s">
        <v>11124</v>
      </c>
      <c r="C562" s="46">
        <v>1718</v>
      </c>
      <c r="D562" s="47" t="s">
        <v>11124</v>
      </c>
    </row>
    <row r="563" spans="1:4" x14ac:dyDescent="0.3">
      <c r="A563" s="46">
        <v>1726</v>
      </c>
      <c r="B563" s="47" t="s">
        <v>11125</v>
      </c>
      <c r="C563" s="46">
        <v>1726</v>
      </c>
      <c r="D563" s="47" t="s">
        <v>11125</v>
      </c>
    </row>
    <row r="564" spans="1:4" x14ac:dyDescent="0.3">
      <c r="A564" s="46">
        <v>1729</v>
      </c>
      <c r="B564" s="47" t="s">
        <v>11126</v>
      </c>
      <c r="C564" s="46">
        <v>1729</v>
      </c>
      <c r="D564" s="47" t="s">
        <v>11126</v>
      </c>
    </row>
    <row r="565" spans="1:4" x14ac:dyDescent="0.3">
      <c r="A565" s="46">
        <v>1778</v>
      </c>
      <c r="B565" s="47" t="s">
        <v>5715</v>
      </c>
      <c r="C565" s="46">
        <v>1778</v>
      </c>
      <c r="D565" s="47" t="s">
        <v>5715</v>
      </c>
    </row>
    <row r="566" spans="1:4" x14ac:dyDescent="0.3">
      <c r="A566" s="46">
        <v>1779</v>
      </c>
      <c r="B566" s="47" t="s">
        <v>5716</v>
      </c>
      <c r="C566" s="46">
        <v>1779</v>
      </c>
      <c r="D566" s="47" t="s">
        <v>5716</v>
      </c>
    </row>
    <row r="567" spans="1:4" x14ac:dyDescent="0.3">
      <c r="A567" s="46">
        <v>1456</v>
      </c>
      <c r="B567" s="47" t="s">
        <v>5578</v>
      </c>
      <c r="C567" s="46">
        <v>1456</v>
      </c>
      <c r="D567" s="47" t="s">
        <v>5578</v>
      </c>
    </row>
    <row r="568" spans="1:4" x14ac:dyDescent="0.3">
      <c r="A568" s="46">
        <v>1827</v>
      </c>
      <c r="B568" s="47" t="s">
        <v>5590</v>
      </c>
      <c r="C568" s="46">
        <v>1827</v>
      </c>
      <c r="D568" s="47" t="s">
        <v>5590</v>
      </c>
    </row>
    <row r="569" spans="1:4" x14ac:dyDescent="0.3">
      <c r="A569" s="46">
        <v>1530</v>
      </c>
      <c r="B569" s="47" t="s">
        <v>5618</v>
      </c>
      <c r="C569" s="46">
        <v>1530</v>
      </c>
      <c r="D569" s="47" t="s">
        <v>5618</v>
      </c>
    </row>
    <row r="570" spans="1:4" x14ac:dyDescent="0.3">
      <c r="A570" s="46">
        <v>1113</v>
      </c>
      <c r="B570" s="47" t="s">
        <v>11127</v>
      </c>
      <c r="C570" s="46">
        <v>1113</v>
      </c>
      <c r="D570" s="47" t="s">
        <v>11127</v>
      </c>
    </row>
    <row r="571" spans="1:4" x14ac:dyDescent="0.3">
      <c r="A571" s="46">
        <v>1114</v>
      </c>
      <c r="B571" s="47" t="s">
        <v>11128</v>
      </c>
      <c r="C571" s="46">
        <v>1114</v>
      </c>
      <c r="D571" s="47" t="s">
        <v>11128</v>
      </c>
    </row>
    <row r="572" spans="1:4" x14ac:dyDescent="0.3">
      <c r="A572" s="46">
        <v>1117</v>
      </c>
      <c r="B572" s="47" t="s">
        <v>5367</v>
      </c>
      <c r="C572" s="46">
        <v>1117</v>
      </c>
      <c r="D572" s="47" t="s">
        <v>5367</v>
      </c>
    </row>
    <row r="573" spans="1:4" x14ac:dyDescent="0.3">
      <c r="A573" s="46">
        <v>1132</v>
      </c>
      <c r="B573" s="47" t="s">
        <v>11129</v>
      </c>
      <c r="C573" s="46">
        <v>1132</v>
      </c>
      <c r="D573" s="47" t="s">
        <v>11129</v>
      </c>
    </row>
    <row r="574" spans="1:4" x14ac:dyDescent="0.3">
      <c r="A574" s="46">
        <v>1177</v>
      </c>
      <c r="B574" s="47" t="s">
        <v>5410</v>
      </c>
      <c r="C574" s="46">
        <v>1177</v>
      </c>
      <c r="D574" s="47" t="s">
        <v>5410</v>
      </c>
    </row>
    <row r="575" spans="1:4" x14ac:dyDescent="0.3">
      <c r="A575" s="46">
        <v>1179</v>
      </c>
      <c r="B575" s="47" t="s">
        <v>5412</v>
      </c>
      <c r="C575" s="46">
        <v>1179</v>
      </c>
      <c r="D575" s="47" t="s">
        <v>5412</v>
      </c>
    </row>
    <row r="576" spans="1:4" x14ac:dyDescent="0.3">
      <c r="A576" s="46">
        <v>1242</v>
      </c>
      <c r="B576" s="47" t="s">
        <v>5461</v>
      </c>
      <c r="C576" s="46">
        <v>1242</v>
      </c>
      <c r="D576" s="47" t="s">
        <v>5461</v>
      </c>
    </row>
    <row r="577" spans="1:4" x14ac:dyDescent="0.3">
      <c r="A577" s="46">
        <v>1308</v>
      </c>
      <c r="B577" s="47" t="s">
        <v>11130</v>
      </c>
      <c r="C577" s="46">
        <v>1308</v>
      </c>
      <c r="D577" s="47" t="s">
        <v>11130</v>
      </c>
    </row>
    <row r="578" spans="1:4" x14ac:dyDescent="0.3">
      <c r="A578" s="46">
        <v>1362</v>
      </c>
      <c r="B578" s="47" t="s">
        <v>11131</v>
      </c>
      <c r="C578" s="46">
        <v>1362</v>
      </c>
      <c r="D578" s="47" t="s">
        <v>11131</v>
      </c>
    </row>
    <row r="579" spans="1:4" x14ac:dyDescent="0.3">
      <c r="A579" s="46">
        <v>1427</v>
      </c>
      <c r="B579" s="47" t="s">
        <v>11132</v>
      </c>
      <c r="C579" s="46">
        <v>1427</v>
      </c>
      <c r="D579" s="47" t="s">
        <v>11132</v>
      </c>
    </row>
    <row r="580" spans="1:4" x14ac:dyDescent="0.3">
      <c r="A580" s="46">
        <v>1453</v>
      </c>
      <c r="B580" s="47" t="s">
        <v>11133</v>
      </c>
      <c r="C580" s="46">
        <v>1453</v>
      </c>
      <c r="D580" s="47" t="s">
        <v>11133</v>
      </c>
    </row>
    <row r="581" spans="1:4" x14ac:dyDescent="0.3">
      <c r="A581" s="46">
        <v>1500</v>
      </c>
      <c r="B581" s="47" t="s">
        <v>5600</v>
      </c>
      <c r="C581" s="46">
        <v>1500</v>
      </c>
      <c r="D581" s="47" t="s">
        <v>5600</v>
      </c>
    </row>
    <row r="582" spans="1:4" x14ac:dyDescent="0.3">
      <c r="A582" s="46">
        <v>1525</v>
      </c>
      <c r="B582" s="47" t="s">
        <v>5615</v>
      </c>
      <c r="C582" s="46">
        <v>1525</v>
      </c>
      <c r="D582" s="47" t="s">
        <v>5615</v>
      </c>
    </row>
    <row r="583" spans="1:4" x14ac:dyDescent="0.3">
      <c r="A583" s="46">
        <v>1535</v>
      </c>
      <c r="B583" s="47" t="s">
        <v>11134</v>
      </c>
      <c r="C583" s="46">
        <v>1535</v>
      </c>
      <c r="D583" s="47" t="s">
        <v>11134</v>
      </c>
    </row>
    <row r="584" spans="1:4" x14ac:dyDescent="0.3">
      <c r="A584" s="46">
        <v>1676</v>
      </c>
      <c r="B584" s="47" t="s">
        <v>5673</v>
      </c>
      <c r="C584" s="46">
        <v>1676</v>
      </c>
      <c r="D584" s="47" t="s">
        <v>5673</v>
      </c>
    </row>
    <row r="585" spans="1:4" x14ac:dyDescent="0.3">
      <c r="A585" s="46">
        <v>1685</v>
      </c>
      <c r="B585" s="47" t="s">
        <v>5677</v>
      </c>
      <c r="C585" s="46">
        <v>1685</v>
      </c>
      <c r="D585" s="47" t="s">
        <v>5677</v>
      </c>
    </row>
    <row r="586" spans="1:4" x14ac:dyDescent="0.3">
      <c r="A586" s="46">
        <v>1001</v>
      </c>
      <c r="B586" s="47" t="s">
        <v>93</v>
      </c>
      <c r="C586" s="46">
        <v>1001</v>
      </c>
      <c r="D586" s="47" t="s">
        <v>93</v>
      </c>
    </row>
    <row r="587" spans="1:4" x14ac:dyDescent="0.3">
      <c r="A587" s="46">
        <v>1013</v>
      </c>
      <c r="B587" s="47" t="s">
        <v>112</v>
      </c>
      <c r="C587" s="46">
        <v>1013</v>
      </c>
      <c r="D587" s="47" t="s">
        <v>112</v>
      </c>
    </row>
    <row r="588" spans="1:4" x14ac:dyDescent="0.3">
      <c r="A588" s="46">
        <v>1021</v>
      </c>
      <c r="B588" s="47" t="s">
        <v>11135</v>
      </c>
      <c r="C588" s="46">
        <v>1021</v>
      </c>
      <c r="D588" s="47" t="s">
        <v>11135</v>
      </c>
    </row>
    <row r="589" spans="1:4" x14ac:dyDescent="0.3">
      <c r="A589" s="46">
        <v>1022</v>
      </c>
      <c r="B589" s="47" t="s">
        <v>5301</v>
      </c>
      <c r="C589" s="46">
        <v>1022</v>
      </c>
      <c r="D589" s="47" t="s">
        <v>5301</v>
      </c>
    </row>
    <row r="590" spans="1:4" x14ac:dyDescent="0.3">
      <c r="A590" s="46">
        <v>1023</v>
      </c>
      <c r="B590" s="47" t="s">
        <v>11136</v>
      </c>
      <c r="C590" s="46">
        <v>1023</v>
      </c>
      <c r="D590" s="47" t="s">
        <v>11136</v>
      </c>
    </row>
    <row r="591" spans="1:4" x14ac:dyDescent="0.3">
      <c r="A591" s="46">
        <v>1024</v>
      </c>
      <c r="B591" s="47" t="s">
        <v>5302</v>
      </c>
      <c r="C591" s="46">
        <v>1024</v>
      </c>
      <c r="D591" s="47" t="s">
        <v>5302</v>
      </c>
    </row>
    <row r="592" spans="1:4" x14ac:dyDescent="0.3">
      <c r="A592" s="46">
        <v>1025</v>
      </c>
      <c r="B592" s="47" t="s">
        <v>5303</v>
      </c>
      <c r="C592" s="46">
        <v>1025</v>
      </c>
      <c r="D592" s="47" t="s">
        <v>5303</v>
      </c>
    </row>
    <row r="593" spans="1:4" x14ac:dyDescent="0.3">
      <c r="A593" s="46">
        <v>1038</v>
      </c>
      <c r="B593" s="47" t="s">
        <v>5312</v>
      </c>
      <c r="C593" s="46">
        <v>1038</v>
      </c>
      <c r="D593" s="47" t="s">
        <v>5312</v>
      </c>
    </row>
    <row r="594" spans="1:4" x14ac:dyDescent="0.3">
      <c r="A594" s="46">
        <v>1047</v>
      </c>
      <c r="B594" s="47" t="s">
        <v>5317</v>
      </c>
      <c r="C594" s="46">
        <v>1047</v>
      </c>
      <c r="D594" s="47" t="s">
        <v>5317</v>
      </c>
    </row>
    <row r="595" spans="1:4" x14ac:dyDescent="0.3">
      <c r="A595" s="46">
        <v>1051</v>
      </c>
      <c r="B595" s="47" t="s">
        <v>11137</v>
      </c>
      <c r="C595" s="46">
        <v>1051</v>
      </c>
      <c r="D595" s="47" t="s">
        <v>11137</v>
      </c>
    </row>
    <row r="596" spans="1:4" x14ac:dyDescent="0.3">
      <c r="A596" s="46">
        <v>1060</v>
      </c>
      <c r="B596" s="47" t="s">
        <v>11138</v>
      </c>
      <c r="C596" s="46">
        <v>1060</v>
      </c>
      <c r="D596" s="47" t="s">
        <v>11138</v>
      </c>
    </row>
    <row r="597" spans="1:4" x14ac:dyDescent="0.3">
      <c r="A597" s="46">
        <v>1085</v>
      </c>
      <c r="B597" s="47" t="s">
        <v>11139</v>
      </c>
      <c r="C597" s="46">
        <v>1085</v>
      </c>
      <c r="D597" s="47" t="s">
        <v>11139</v>
      </c>
    </row>
    <row r="598" spans="1:4" x14ac:dyDescent="0.3">
      <c r="A598" s="46">
        <v>1091</v>
      </c>
      <c r="B598" s="47" t="s">
        <v>5350</v>
      </c>
      <c r="C598" s="46">
        <v>1091</v>
      </c>
      <c r="D598" s="47" t="s">
        <v>5350</v>
      </c>
    </row>
    <row r="599" spans="1:4" x14ac:dyDescent="0.3">
      <c r="A599" s="46">
        <v>1092</v>
      </c>
      <c r="B599" s="47" t="s">
        <v>5351</v>
      </c>
      <c r="C599" s="46">
        <v>1092</v>
      </c>
      <c r="D599" s="47" t="s">
        <v>5351</v>
      </c>
    </row>
    <row r="600" spans="1:4" x14ac:dyDescent="0.3">
      <c r="A600" s="46">
        <v>1099</v>
      </c>
      <c r="B600" s="47" t="s">
        <v>5357</v>
      </c>
      <c r="C600" s="46">
        <v>1099</v>
      </c>
      <c r="D600" s="47" t="s">
        <v>5357</v>
      </c>
    </row>
    <row r="601" spans="1:4" x14ac:dyDescent="0.3">
      <c r="A601" s="46">
        <v>1112</v>
      </c>
      <c r="B601" s="47" t="s">
        <v>5364</v>
      </c>
      <c r="C601" s="46">
        <v>1112</v>
      </c>
      <c r="D601" s="47" t="s">
        <v>5364</v>
      </c>
    </row>
    <row r="602" spans="1:4" x14ac:dyDescent="0.3">
      <c r="A602" s="46">
        <v>1115</v>
      </c>
      <c r="B602" s="47" t="s">
        <v>11140</v>
      </c>
      <c r="C602" s="46">
        <v>1115</v>
      </c>
      <c r="D602" s="47" t="s">
        <v>11140</v>
      </c>
    </row>
    <row r="603" spans="1:4" x14ac:dyDescent="0.3">
      <c r="A603" s="46">
        <v>1116</v>
      </c>
      <c r="B603" s="47" t="s">
        <v>5366</v>
      </c>
      <c r="C603" s="46">
        <v>1116</v>
      </c>
      <c r="D603" s="47" t="s">
        <v>5366</v>
      </c>
    </row>
    <row r="604" spans="1:4" x14ac:dyDescent="0.3">
      <c r="A604" s="46">
        <v>1120</v>
      </c>
      <c r="B604" s="47" t="s">
        <v>5370</v>
      </c>
      <c r="C604" s="46">
        <v>1120</v>
      </c>
      <c r="D604" s="47" t="s">
        <v>5370</v>
      </c>
    </row>
    <row r="605" spans="1:4" x14ac:dyDescent="0.3">
      <c r="A605" s="46">
        <v>1131</v>
      </c>
      <c r="B605" s="47" t="s">
        <v>5378</v>
      </c>
      <c r="C605" s="46">
        <v>1131</v>
      </c>
      <c r="D605" s="47" t="s">
        <v>5378</v>
      </c>
    </row>
    <row r="606" spans="1:4" x14ac:dyDescent="0.3">
      <c r="A606" s="46">
        <v>1142</v>
      </c>
      <c r="B606" s="47" t="s">
        <v>5386</v>
      </c>
      <c r="C606" s="46">
        <v>1142</v>
      </c>
      <c r="D606" s="47" t="s">
        <v>5386</v>
      </c>
    </row>
    <row r="607" spans="1:4" x14ac:dyDescent="0.3">
      <c r="A607" s="46">
        <v>1167</v>
      </c>
      <c r="B607" s="47" t="s">
        <v>11141</v>
      </c>
      <c r="C607" s="46">
        <v>1167</v>
      </c>
      <c r="D607" s="47" t="s">
        <v>11141</v>
      </c>
    </row>
    <row r="608" spans="1:4" x14ac:dyDescent="0.3">
      <c r="A608" s="46">
        <v>1169</v>
      </c>
      <c r="B608" s="47" t="s">
        <v>11142</v>
      </c>
      <c r="C608" s="46">
        <v>1169</v>
      </c>
      <c r="D608" s="47" t="s">
        <v>11142</v>
      </c>
    </row>
    <row r="609" spans="1:4" x14ac:dyDescent="0.3">
      <c r="A609" s="46">
        <v>1170</v>
      </c>
      <c r="B609" s="47" t="s">
        <v>5405</v>
      </c>
      <c r="C609" s="46">
        <v>1170</v>
      </c>
      <c r="D609" s="47" t="s">
        <v>5405</v>
      </c>
    </row>
    <row r="610" spans="1:4" x14ac:dyDescent="0.3">
      <c r="A610" s="46">
        <v>1173</v>
      </c>
      <c r="B610" s="47" t="s">
        <v>5407</v>
      </c>
      <c r="C610" s="46">
        <v>1173</v>
      </c>
      <c r="D610" s="47" t="s">
        <v>5407</v>
      </c>
    </row>
    <row r="611" spans="1:4" x14ac:dyDescent="0.3">
      <c r="A611" s="46">
        <v>1182</v>
      </c>
      <c r="B611" s="47" t="s">
        <v>5414</v>
      </c>
      <c r="C611" s="46">
        <v>1182</v>
      </c>
      <c r="D611" s="47" t="s">
        <v>5414</v>
      </c>
    </row>
    <row r="612" spans="1:4" x14ac:dyDescent="0.3">
      <c r="A612" s="46">
        <v>1183</v>
      </c>
      <c r="B612" s="47" t="s">
        <v>5415</v>
      </c>
      <c r="C612" s="46">
        <v>1183</v>
      </c>
      <c r="D612" s="47" t="s">
        <v>5415</v>
      </c>
    </row>
    <row r="613" spans="1:4" x14ac:dyDescent="0.3">
      <c r="A613" s="46">
        <v>1184</v>
      </c>
      <c r="B613" s="47" t="s">
        <v>5416</v>
      </c>
      <c r="C613" s="46">
        <v>1184</v>
      </c>
      <c r="D613" s="47" t="s">
        <v>5416</v>
      </c>
    </row>
    <row r="614" spans="1:4" x14ac:dyDescent="0.3">
      <c r="A614" s="46">
        <v>1185</v>
      </c>
      <c r="B614" s="47" t="s">
        <v>5417</v>
      </c>
      <c r="C614" s="46">
        <v>1185</v>
      </c>
      <c r="D614" s="47" t="s">
        <v>5417</v>
      </c>
    </row>
    <row r="615" spans="1:4" x14ac:dyDescent="0.3">
      <c r="A615" s="46">
        <v>1186</v>
      </c>
      <c r="B615" s="47" t="s">
        <v>11143</v>
      </c>
      <c r="C615" s="46">
        <v>1186</v>
      </c>
      <c r="D615" s="47" t="s">
        <v>11143</v>
      </c>
    </row>
    <row r="616" spans="1:4" x14ac:dyDescent="0.3">
      <c r="A616" s="46">
        <v>1191</v>
      </c>
      <c r="B616" s="47" t="s">
        <v>5421</v>
      </c>
      <c r="C616" s="46">
        <v>1191</v>
      </c>
      <c r="D616" s="47" t="s">
        <v>5421</v>
      </c>
    </row>
    <row r="617" spans="1:4" x14ac:dyDescent="0.3">
      <c r="A617" s="46">
        <v>1192</v>
      </c>
      <c r="B617" s="47" t="s">
        <v>5422</v>
      </c>
      <c r="C617" s="46">
        <v>1192</v>
      </c>
      <c r="D617" s="47" t="s">
        <v>5422</v>
      </c>
    </row>
    <row r="618" spans="1:4" x14ac:dyDescent="0.3">
      <c r="A618" s="46">
        <v>1193</v>
      </c>
      <c r="B618" s="47" t="s">
        <v>5423</v>
      </c>
      <c r="C618" s="46">
        <v>1193</v>
      </c>
      <c r="D618" s="47" t="s">
        <v>5423</v>
      </c>
    </row>
    <row r="619" spans="1:4" x14ac:dyDescent="0.3">
      <c r="A619" s="46">
        <v>1244</v>
      </c>
      <c r="B619" s="47" t="s">
        <v>5463</v>
      </c>
      <c r="C619" s="46">
        <v>1244</v>
      </c>
      <c r="D619" s="47" t="s">
        <v>5463</v>
      </c>
    </row>
    <row r="620" spans="1:4" x14ac:dyDescent="0.3">
      <c r="A620" s="46">
        <v>1281</v>
      </c>
      <c r="B620" s="47" t="s">
        <v>5487</v>
      </c>
      <c r="C620" s="46">
        <v>1281</v>
      </c>
      <c r="D620" s="47" t="s">
        <v>5487</v>
      </c>
    </row>
    <row r="621" spans="1:4" x14ac:dyDescent="0.3">
      <c r="A621" s="46">
        <v>1282</v>
      </c>
      <c r="B621" s="47" t="s">
        <v>11144</v>
      </c>
      <c r="C621" s="46">
        <v>1282</v>
      </c>
      <c r="D621" s="47" t="s">
        <v>11144</v>
      </c>
    </row>
    <row r="622" spans="1:4" x14ac:dyDescent="0.3">
      <c r="A622" s="46">
        <v>1284</v>
      </c>
      <c r="B622" s="47" t="s">
        <v>5488</v>
      </c>
      <c r="C622" s="46">
        <v>1284</v>
      </c>
      <c r="D622" s="47" t="s">
        <v>5488</v>
      </c>
    </row>
    <row r="623" spans="1:4" x14ac:dyDescent="0.3">
      <c r="A623" s="46">
        <v>1285</v>
      </c>
      <c r="B623" s="47" t="s">
        <v>11145</v>
      </c>
      <c r="C623" s="46">
        <v>1285</v>
      </c>
      <c r="D623" s="47" t="s">
        <v>11145</v>
      </c>
    </row>
    <row r="624" spans="1:4" x14ac:dyDescent="0.3">
      <c r="A624" s="46">
        <v>1286</v>
      </c>
      <c r="B624" s="47" t="s">
        <v>11146</v>
      </c>
      <c r="C624" s="46">
        <v>1286</v>
      </c>
      <c r="D624" s="47" t="s">
        <v>11146</v>
      </c>
    </row>
    <row r="625" spans="1:4" x14ac:dyDescent="0.3">
      <c r="A625" s="46">
        <v>1287</v>
      </c>
      <c r="B625" s="47" t="s">
        <v>11147</v>
      </c>
      <c r="C625" s="46">
        <v>1287</v>
      </c>
      <c r="D625" s="47" t="s">
        <v>11147</v>
      </c>
    </row>
    <row r="626" spans="1:4" x14ac:dyDescent="0.3">
      <c r="A626" s="46">
        <v>1309</v>
      </c>
      <c r="B626" s="47" t="s">
        <v>5502</v>
      </c>
      <c r="C626" s="46">
        <v>1309</v>
      </c>
      <c r="D626" s="47" t="s">
        <v>5502</v>
      </c>
    </row>
    <row r="627" spans="1:4" x14ac:dyDescent="0.3">
      <c r="A627" s="46">
        <v>1310</v>
      </c>
      <c r="B627" s="47" t="s">
        <v>11148</v>
      </c>
      <c r="C627" s="46">
        <v>1310</v>
      </c>
      <c r="D627" s="47" t="s">
        <v>11148</v>
      </c>
    </row>
    <row r="628" spans="1:4" x14ac:dyDescent="0.3">
      <c r="A628" s="46">
        <v>1312</v>
      </c>
      <c r="B628" s="47" t="s">
        <v>11149</v>
      </c>
      <c r="C628" s="46">
        <v>1312</v>
      </c>
      <c r="D628" s="47" t="s">
        <v>11149</v>
      </c>
    </row>
    <row r="629" spans="1:4" x14ac:dyDescent="0.3">
      <c r="A629" s="46">
        <v>1316</v>
      </c>
      <c r="B629" s="47" t="s">
        <v>5505</v>
      </c>
      <c r="C629" s="46">
        <v>1316</v>
      </c>
      <c r="D629" s="47" t="s">
        <v>5505</v>
      </c>
    </row>
    <row r="630" spans="1:4" x14ac:dyDescent="0.3">
      <c r="A630" s="46">
        <v>1317</v>
      </c>
      <c r="B630" s="47" t="s">
        <v>5506</v>
      </c>
      <c r="C630" s="46">
        <v>1317</v>
      </c>
      <c r="D630" s="47" t="s">
        <v>5506</v>
      </c>
    </row>
    <row r="631" spans="1:4" x14ac:dyDescent="0.3">
      <c r="A631" s="46">
        <v>1318</v>
      </c>
      <c r="B631" s="47" t="s">
        <v>5507</v>
      </c>
      <c r="C631" s="46">
        <v>1318</v>
      </c>
      <c r="D631" s="47" t="s">
        <v>5507</v>
      </c>
    </row>
    <row r="632" spans="1:4" x14ac:dyDescent="0.3">
      <c r="A632" s="46">
        <v>1320</v>
      </c>
      <c r="B632" s="47" t="s">
        <v>5508</v>
      </c>
      <c r="C632" s="46">
        <v>1320</v>
      </c>
      <c r="D632" s="47" t="s">
        <v>5508</v>
      </c>
    </row>
    <row r="633" spans="1:4" x14ac:dyDescent="0.3">
      <c r="A633" s="46">
        <v>1321</v>
      </c>
      <c r="B633" s="47" t="s">
        <v>5509</v>
      </c>
      <c r="C633" s="46">
        <v>1321</v>
      </c>
      <c r="D633" s="47" t="s">
        <v>5509</v>
      </c>
    </row>
    <row r="634" spans="1:4" x14ac:dyDescent="0.3">
      <c r="A634" s="46">
        <v>1335</v>
      </c>
      <c r="B634" s="47" t="s">
        <v>5520</v>
      </c>
      <c r="C634" s="46">
        <v>1335</v>
      </c>
      <c r="D634" s="47" t="s">
        <v>5520</v>
      </c>
    </row>
    <row r="635" spans="1:4" x14ac:dyDescent="0.3">
      <c r="A635" s="46">
        <v>1336</v>
      </c>
      <c r="B635" s="47" t="s">
        <v>11150</v>
      </c>
      <c r="C635" s="46">
        <v>1336</v>
      </c>
      <c r="D635" s="47" t="s">
        <v>11150</v>
      </c>
    </row>
    <row r="636" spans="1:4" x14ac:dyDescent="0.3">
      <c r="A636" s="46">
        <v>1356</v>
      </c>
      <c r="B636" s="47" t="s">
        <v>5529</v>
      </c>
      <c r="C636" s="46">
        <v>1356</v>
      </c>
      <c r="D636" s="47" t="s">
        <v>5529</v>
      </c>
    </row>
    <row r="637" spans="1:4" x14ac:dyDescent="0.3">
      <c r="A637" s="46">
        <v>1357</v>
      </c>
      <c r="B637" s="47" t="s">
        <v>11151</v>
      </c>
      <c r="C637" s="46">
        <v>1357</v>
      </c>
      <c r="D637" s="47" t="s">
        <v>11151</v>
      </c>
    </row>
    <row r="638" spans="1:4" x14ac:dyDescent="0.3">
      <c r="A638" s="46">
        <v>1363</v>
      </c>
      <c r="B638" s="47" t="s">
        <v>5533</v>
      </c>
      <c r="C638" s="46">
        <v>1363</v>
      </c>
      <c r="D638" s="47" t="s">
        <v>5533</v>
      </c>
    </row>
    <row r="639" spans="1:4" x14ac:dyDescent="0.3">
      <c r="A639" s="46">
        <v>1364</v>
      </c>
      <c r="B639" s="47" t="s">
        <v>5534</v>
      </c>
      <c r="C639" s="46">
        <v>1364</v>
      </c>
      <c r="D639" s="47" t="s">
        <v>5534</v>
      </c>
    </row>
    <row r="640" spans="1:4" x14ac:dyDescent="0.3">
      <c r="A640" s="46">
        <v>1365</v>
      </c>
      <c r="B640" s="47" t="s">
        <v>11152</v>
      </c>
      <c r="C640" s="46">
        <v>1365</v>
      </c>
      <c r="D640" s="47" t="s">
        <v>11152</v>
      </c>
    </row>
    <row r="641" spans="1:4" x14ac:dyDescent="0.3">
      <c r="A641" s="46">
        <v>1368</v>
      </c>
      <c r="B641" s="47" t="s">
        <v>5536</v>
      </c>
      <c r="C641" s="46">
        <v>1368</v>
      </c>
      <c r="D641" s="47" t="s">
        <v>5536</v>
      </c>
    </row>
    <row r="642" spans="1:4" x14ac:dyDescent="0.3">
      <c r="A642" s="46">
        <v>1369</v>
      </c>
      <c r="B642" s="47" t="s">
        <v>5537</v>
      </c>
      <c r="C642" s="46">
        <v>1369</v>
      </c>
      <c r="D642" s="47" t="s">
        <v>5537</v>
      </c>
    </row>
    <row r="643" spans="1:4" x14ac:dyDescent="0.3">
      <c r="A643" s="46">
        <v>1390</v>
      </c>
      <c r="B643" s="47" t="s">
        <v>11153</v>
      </c>
      <c r="C643" s="46">
        <v>1390</v>
      </c>
      <c r="D643" s="47" t="s">
        <v>11153</v>
      </c>
    </row>
    <row r="644" spans="1:4" x14ac:dyDescent="0.3">
      <c r="A644" s="46">
        <v>1393</v>
      </c>
      <c r="B644" s="47" t="s">
        <v>5549</v>
      </c>
      <c r="C644" s="46">
        <v>1393</v>
      </c>
      <c r="D644" s="47" t="s">
        <v>5549</v>
      </c>
    </row>
    <row r="645" spans="1:4" x14ac:dyDescent="0.3">
      <c r="A645" s="46">
        <v>1398</v>
      </c>
      <c r="B645" s="47" t="s">
        <v>5551</v>
      </c>
      <c r="C645" s="46">
        <v>1398</v>
      </c>
      <c r="D645" s="47" t="s">
        <v>5551</v>
      </c>
    </row>
    <row r="646" spans="1:4" x14ac:dyDescent="0.3">
      <c r="A646" s="46">
        <v>1399</v>
      </c>
      <c r="B646" s="47" t="s">
        <v>11154</v>
      </c>
      <c r="C646" s="46">
        <v>1399</v>
      </c>
      <c r="D646" s="47" t="s">
        <v>11154</v>
      </c>
    </row>
    <row r="647" spans="1:4" x14ac:dyDescent="0.3">
      <c r="A647" s="46">
        <v>1426</v>
      </c>
      <c r="B647" s="47" t="s">
        <v>11155</v>
      </c>
      <c r="C647" s="46">
        <v>1426</v>
      </c>
      <c r="D647" s="47" t="s">
        <v>11155</v>
      </c>
    </row>
    <row r="648" spans="1:4" x14ac:dyDescent="0.3">
      <c r="A648" s="46">
        <v>1430</v>
      </c>
      <c r="B648" s="47" t="s">
        <v>11156</v>
      </c>
      <c r="C648" s="46">
        <v>1430</v>
      </c>
      <c r="D648" s="47" t="s">
        <v>11156</v>
      </c>
    </row>
    <row r="649" spans="1:4" x14ac:dyDescent="0.3">
      <c r="A649" s="46">
        <v>1434</v>
      </c>
      <c r="B649" s="47" t="s">
        <v>11157</v>
      </c>
      <c r="C649" s="46">
        <v>1434</v>
      </c>
      <c r="D649" s="47" t="s">
        <v>11157</v>
      </c>
    </row>
    <row r="650" spans="1:4" x14ac:dyDescent="0.3">
      <c r="A650" s="46">
        <v>1435</v>
      </c>
      <c r="B650" s="47" t="s">
        <v>11158</v>
      </c>
      <c r="C650" s="46">
        <v>1435</v>
      </c>
      <c r="D650" s="47" t="s">
        <v>11158</v>
      </c>
    </row>
    <row r="651" spans="1:4" x14ac:dyDescent="0.3">
      <c r="A651" s="46">
        <v>1445</v>
      </c>
      <c r="B651" s="47" t="s">
        <v>11159</v>
      </c>
      <c r="C651" s="46">
        <v>1445</v>
      </c>
      <c r="D651" s="47" t="s">
        <v>11159</v>
      </c>
    </row>
    <row r="652" spans="1:4" x14ac:dyDescent="0.3">
      <c r="A652" s="46">
        <v>1448</v>
      </c>
      <c r="B652" s="47" t="s">
        <v>11160</v>
      </c>
      <c r="C652" s="46">
        <v>1448</v>
      </c>
      <c r="D652" s="47" t="s">
        <v>11160</v>
      </c>
    </row>
    <row r="653" spans="1:4" x14ac:dyDescent="0.3">
      <c r="A653" s="46">
        <v>1454</v>
      </c>
      <c r="B653" s="47" t="s">
        <v>11161</v>
      </c>
      <c r="C653" s="46">
        <v>1454</v>
      </c>
      <c r="D653" s="47" t="s">
        <v>11161</v>
      </c>
    </row>
    <row r="654" spans="1:4" x14ac:dyDescent="0.3">
      <c r="A654" s="46">
        <v>1460</v>
      </c>
      <c r="B654" s="47" t="s">
        <v>5580</v>
      </c>
      <c r="C654" s="46">
        <v>1460</v>
      </c>
      <c r="D654" s="47" t="s">
        <v>5580</v>
      </c>
    </row>
    <row r="655" spans="1:4" x14ac:dyDescent="0.3">
      <c r="A655" s="46">
        <v>1467</v>
      </c>
      <c r="B655" s="47" t="s">
        <v>5582</v>
      </c>
      <c r="C655" s="46">
        <v>1467</v>
      </c>
      <c r="D655" s="47" t="s">
        <v>5582</v>
      </c>
    </row>
    <row r="656" spans="1:4" x14ac:dyDescent="0.3">
      <c r="A656" s="46">
        <v>1469</v>
      </c>
      <c r="B656" s="47" t="s">
        <v>5584</v>
      </c>
      <c r="C656" s="46">
        <v>1469</v>
      </c>
      <c r="D656" s="47" t="s">
        <v>5584</v>
      </c>
    </row>
    <row r="657" spans="1:4" x14ac:dyDescent="0.3">
      <c r="A657" s="46">
        <v>1470</v>
      </c>
      <c r="B657" s="47" t="s">
        <v>5585</v>
      </c>
      <c r="C657" s="46">
        <v>1470</v>
      </c>
      <c r="D657" s="47" t="s">
        <v>5585</v>
      </c>
    </row>
    <row r="658" spans="1:4" x14ac:dyDescent="0.3">
      <c r="A658" s="46">
        <v>1471</v>
      </c>
      <c r="B658" s="47" t="s">
        <v>5586</v>
      </c>
      <c r="C658" s="46">
        <v>1471</v>
      </c>
      <c r="D658" s="47" t="s">
        <v>5586</v>
      </c>
    </row>
    <row r="659" spans="1:4" x14ac:dyDescent="0.3">
      <c r="A659" s="46">
        <v>1473</v>
      </c>
      <c r="B659" s="47" t="s">
        <v>11162</v>
      </c>
      <c r="C659" s="46">
        <v>1473</v>
      </c>
      <c r="D659" s="47" t="s">
        <v>11162</v>
      </c>
    </row>
    <row r="660" spans="1:4" x14ac:dyDescent="0.3">
      <c r="A660" s="46">
        <v>1480</v>
      </c>
      <c r="B660" s="47" t="s">
        <v>11163</v>
      </c>
      <c r="C660" s="46">
        <v>1480</v>
      </c>
      <c r="D660" s="47" t="s">
        <v>11163</v>
      </c>
    </row>
    <row r="661" spans="1:4" x14ac:dyDescent="0.3">
      <c r="A661" s="46">
        <v>1481</v>
      </c>
      <c r="B661" s="47" t="s">
        <v>11164</v>
      </c>
      <c r="C661" s="46">
        <v>1481</v>
      </c>
      <c r="D661" s="47" t="s">
        <v>11164</v>
      </c>
    </row>
    <row r="662" spans="1:4" x14ac:dyDescent="0.3">
      <c r="A662" s="46">
        <v>1487</v>
      </c>
      <c r="B662" s="47" t="s">
        <v>11165</v>
      </c>
      <c r="C662" s="46">
        <v>1487</v>
      </c>
      <c r="D662" s="47" t="s">
        <v>11165</v>
      </c>
    </row>
    <row r="663" spans="1:4" x14ac:dyDescent="0.3">
      <c r="A663" s="46">
        <v>1488</v>
      </c>
      <c r="B663" s="47" t="s">
        <v>11166</v>
      </c>
      <c r="C663" s="46">
        <v>1488</v>
      </c>
      <c r="D663" s="47" t="s">
        <v>11166</v>
      </c>
    </row>
    <row r="664" spans="1:4" x14ac:dyDescent="0.3">
      <c r="A664" s="46">
        <v>1498</v>
      </c>
      <c r="B664" s="47" t="s">
        <v>5598</v>
      </c>
      <c r="C664" s="46">
        <v>1498</v>
      </c>
      <c r="D664" s="47" t="s">
        <v>5598</v>
      </c>
    </row>
    <row r="665" spans="1:4" x14ac:dyDescent="0.3">
      <c r="A665" s="46">
        <v>1499</v>
      </c>
      <c r="B665" s="47" t="s">
        <v>5599</v>
      </c>
      <c r="C665" s="46">
        <v>1499</v>
      </c>
      <c r="D665" s="47" t="s">
        <v>5599</v>
      </c>
    </row>
    <row r="666" spans="1:4" x14ac:dyDescent="0.3">
      <c r="A666" s="46">
        <v>1504</v>
      </c>
      <c r="B666" s="47" t="s">
        <v>11167</v>
      </c>
      <c r="C666" s="46">
        <v>1504</v>
      </c>
      <c r="D666" s="47" t="s">
        <v>11167</v>
      </c>
    </row>
    <row r="667" spans="1:4" x14ac:dyDescent="0.3">
      <c r="A667" s="46">
        <v>1505</v>
      </c>
      <c r="B667" s="47" t="s">
        <v>11168</v>
      </c>
      <c r="C667" s="46">
        <v>1505</v>
      </c>
      <c r="D667" s="47" t="s">
        <v>11168</v>
      </c>
    </row>
    <row r="668" spans="1:4" x14ac:dyDescent="0.3">
      <c r="A668" s="46">
        <v>1507</v>
      </c>
      <c r="B668" s="47" t="s">
        <v>5605</v>
      </c>
      <c r="C668" s="46">
        <v>1507</v>
      </c>
      <c r="D668" s="47" t="s">
        <v>5605</v>
      </c>
    </row>
    <row r="669" spans="1:4" x14ac:dyDescent="0.3">
      <c r="A669" s="46">
        <v>1515</v>
      </c>
      <c r="B669" s="47" t="s">
        <v>11169</v>
      </c>
      <c r="C669" s="46">
        <v>1515</v>
      </c>
      <c r="D669" s="47" t="s">
        <v>11169</v>
      </c>
    </row>
    <row r="670" spans="1:4" x14ac:dyDescent="0.3">
      <c r="A670" s="46">
        <v>1513</v>
      </c>
      <c r="B670" s="47" t="s">
        <v>5609</v>
      </c>
      <c r="C670" s="46">
        <v>1513</v>
      </c>
      <c r="D670" s="47" t="s">
        <v>5609</v>
      </c>
    </row>
    <row r="671" spans="1:4" x14ac:dyDescent="0.3">
      <c r="A671" s="46">
        <v>1514</v>
      </c>
      <c r="B671" s="47" t="s">
        <v>11170</v>
      </c>
      <c r="C671" s="46">
        <v>1514</v>
      </c>
      <c r="D671" s="47" t="s">
        <v>11170</v>
      </c>
    </row>
    <row r="672" spans="1:4" x14ac:dyDescent="0.3">
      <c r="A672" s="46">
        <v>1516</v>
      </c>
      <c r="B672" s="47" t="s">
        <v>5610</v>
      </c>
      <c r="C672" s="46">
        <v>1516</v>
      </c>
      <c r="D672" s="47" t="s">
        <v>5610</v>
      </c>
    </row>
    <row r="673" spans="1:4" x14ac:dyDescent="0.3">
      <c r="A673" s="46">
        <v>1519</v>
      </c>
      <c r="B673" s="47" t="s">
        <v>5613</v>
      </c>
      <c r="C673" s="46">
        <v>1519</v>
      </c>
      <c r="D673" s="47" t="s">
        <v>5613</v>
      </c>
    </row>
    <row r="674" spans="1:4" x14ac:dyDescent="0.3">
      <c r="A674" s="46">
        <v>1520</v>
      </c>
      <c r="B674" s="47" t="s">
        <v>5614</v>
      </c>
      <c r="C674" s="46">
        <v>1520</v>
      </c>
      <c r="D674" s="47" t="s">
        <v>5614</v>
      </c>
    </row>
    <row r="675" spans="1:4" x14ac:dyDescent="0.3">
      <c r="A675" s="46">
        <v>1526</v>
      </c>
      <c r="B675" s="47" t="s">
        <v>11171</v>
      </c>
      <c r="C675" s="46">
        <v>1526</v>
      </c>
      <c r="D675" s="47" t="s">
        <v>11171</v>
      </c>
    </row>
    <row r="676" spans="1:4" x14ac:dyDescent="0.3">
      <c r="A676" s="46">
        <v>1536</v>
      </c>
      <c r="B676" s="47" t="s">
        <v>11172</v>
      </c>
      <c r="C676" s="46">
        <v>1536</v>
      </c>
      <c r="D676" s="47" t="s">
        <v>11172</v>
      </c>
    </row>
    <row r="677" spans="1:4" x14ac:dyDescent="0.3">
      <c r="A677" s="46">
        <v>1680</v>
      </c>
      <c r="B677" s="47" t="s">
        <v>5676</v>
      </c>
      <c r="C677" s="46">
        <v>1680</v>
      </c>
      <c r="D677" s="47" t="s">
        <v>5676</v>
      </c>
    </row>
    <row r="678" spans="1:4" x14ac:dyDescent="0.3">
      <c r="A678" s="46">
        <v>1686</v>
      </c>
      <c r="B678" s="47" t="s">
        <v>5678</v>
      </c>
      <c r="C678" s="46">
        <v>1686</v>
      </c>
      <c r="D678" s="47" t="s">
        <v>5678</v>
      </c>
    </row>
    <row r="679" spans="1:4" x14ac:dyDescent="0.3">
      <c r="A679" s="46">
        <v>1694</v>
      </c>
      <c r="B679" s="47" t="s">
        <v>11173</v>
      </c>
      <c r="C679" s="46">
        <v>1694</v>
      </c>
      <c r="D679" s="47" t="s">
        <v>11173</v>
      </c>
    </row>
    <row r="680" spans="1:4" x14ac:dyDescent="0.3">
      <c r="A680" s="46">
        <v>1733</v>
      </c>
      <c r="B680" s="47" t="s">
        <v>11174</v>
      </c>
      <c r="C680" s="46">
        <v>1733</v>
      </c>
      <c r="D680" s="47" t="s">
        <v>11174</v>
      </c>
    </row>
    <row r="681" spans="1:4" x14ac:dyDescent="0.3">
      <c r="A681" s="46">
        <v>1734</v>
      </c>
      <c r="B681" s="47" t="s">
        <v>5697</v>
      </c>
      <c r="C681" s="46">
        <v>1734</v>
      </c>
      <c r="D681" s="47" t="s">
        <v>5697</v>
      </c>
    </row>
    <row r="682" spans="1:4" x14ac:dyDescent="0.3">
      <c r="A682" s="46">
        <v>1735</v>
      </c>
      <c r="B682" s="47" t="s">
        <v>11175</v>
      </c>
      <c r="C682" s="46">
        <v>1735</v>
      </c>
      <c r="D682" s="47" t="s">
        <v>11175</v>
      </c>
    </row>
    <row r="683" spans="1:4" x14ac:dyDescent="0.3">
      <c r="A683" s="46">
        <v>1781</v>
      </c>
      <c r="B683" s="47" t="s">
        <v>5717</v>
      </c>
      <c r="C683" s="46">
        <v>1781</v>
      </c>
      <c r="D683" s="47" t="s">
        <v>5717</v>
      </c>
    </row>
    <row r="684" spans="1:4" x14ac:dyDescent="0.3">
      <c r="A684" s="46">
        <v>1789</v>
      </c>
      <c r="B684" s="47" t="s">
        <v>11176</v>
      </c>
      <c r="C684" s="46">
        <v>1789</v>
      </c>
      <c r="D684" s="47" t="s">
        <v>11176</v>
      </c>
    </row>
    <row r="685" spans="1:4" x14ac:dyDescent="0.3">
      <c r="A685" s="46">
        <v>1790</v>
      </c>
      <c r="B685" s="47" t="s">
        <v>11177</v>
      </c>
      <c r="C685" s="46">
        <v>1790</v>
      </c>
      <c r="D685" s="47" t="s">
        <v>11177</v>
      </c>
    </row>
    <row r="686" spans="1:4" x14ac:dyDescent="0.3">
      <c r="A686" s="46">
        <v>1134</v>
      </c>
      <c r="B686" s="47" t="s">
        <v>5380</v>
      </c>
      <c r="C686" s="46">
        <v>1134</v>
      </c>
      <c r="D686" s="47" t="s">
        <v>5380</v>
      </c>
    </row>
    <row r="687" spans="1:4" x14ac:dyDescent="0.3">
      <c r="A687" s="46">
        <v>1137</v>
      </c>
      <c r="B687" s="47" t="s">
        <v>5384</v>
      </c>
      <c r="C687" s="46">
        <v>1137</v>
      </c>
      <c r="D687" s="47" t="s">
        <v>5384</v>
      </c>
    </row>
    <row r="688" spans="1:4" x14ac:dyDescent="0.3">
      <c r="A688" s="46">
        <v>1157</v>
      </c>
      <c r="B688" s="47" t="s">
        <v>5394</v>
      </c>
      <c r="C688" s="46">
        <v>1157</v>
      </c>
      <c r="D688" s="47" t="s">
        <v>5394</v>
      </c>
    </row>
    <row r="689" spans="1:4" x14ac:dyDescent="0.3">
      <c r="A689" s="46">
        <v>1160</v>
      </c>
      <c r="B689" s="47" t="s">
        <v>5397</v>
      </c>
      <c r="C689" s="46">
        <v>1160</v>
      </c>
      <c r="D689" s="47" t="s">
        <v>5397</v>
      </c>
    </row>
    <row r="690" spans="1:4" x14ac:dyDescent="0.3">
      <c r="A690" s="46">
        <v>1163</v>
      </c>
      <c r="B690" s="47" t="s">
        <v>5400</v>
      </c>
      <c r="C690" s="46">
        <v>1163</v>
      </c>
      <c r="D690" s="47" t="s">
        <v>5400</v>
      </c>
    </row>
    <row r="691" spans="1:4" x14ac:dyDescent="0.3">
      <c r="A691" s="46">
        <v>1171</v>
      </c>
      <c r="B691" s="47" t="s">
        <v>11178</v>
      </c>
      <c r="C691" s="46">
        <v>1171</v>
      </c>
      <c r="D691" s="47" t="s">
        <v>11178</v>
      </c>
    </row>
    <row r="692" spans="1:4" x14ac:dyDescent="0.3">
      <c r="A692" s="46">
        <v>1172</v>
      </c>
      <c r="B692" s="47" t="s">
        <v>5406</v>
      </c>
      <c r="C692" s="46">
        <v>1172</v>
      </c>
      <c r="D692" s="47" t="s">
        <v>5406</v>
      </c>
    </row>
    <row r="693" spans="1:4" x14ac:dyDescent="0.3">
      <c r="A693" s="46">
        <v>1253</v>
      </c>
      <c r="B693" s="47" t="s">
        <v>5467</v>
      </c>
      <c r="C693" s="46">
        <v>1253</v>
      </c>
      <c r="D693" s="47" t="s">
        <v>5467</v>
      </c>
    </row>
    <row r="694" spans="1:4" x14ac:dyDescent="0.3">
      <c r="A694" s="46">
        <v>1254</v>
      </c>
      <c r="B694" s="47" t="s">
        <v>11179</v>
      </c>
      <c r="C694" s="46">
        <v>1254</v>
      </c>
      <c r="D694" s="47" t="s">
        <v>11179</v>
      </c>
    </row>
    <row r="695" spans="1:4" x14ac:dyDescent="0.3">
      <c r="A695" s="46">
        <v>1255</v>
      </c>
      <c r="B695" s="47" t="s">
        <v>5468</v>
      </c>
      <c r="C695" s="46">
        <v>1255</v>
      </c>
      <c r="D695" s="47" t="s">
        <v>5468</v>
      </c>
    </row>
    <row r="696" spans="1:4" x14ac:dyDescent="0.3">
      <c r="A696" s="46">
        <v>1257</v>
      </c>
      <c r="B696" s="47" t="s">
        <v>5470</v>
      </c>
      <c r="C696" s="46">
        <v>1257</v>
      </c>
      <c r="D696" s="47" t="s">
        <v>5470</v>
      </c>
    </row>
    <row r="697" spans="1:4" x14ac:dyDescent="0.3">
      <c r="A697" s="46">
        <v>1258</v>
      </c>
      <c r="B697" s="47" t="s">
        <v>5471</v>
      </c>
      <c r="C697" s="46">
        <v>1258</v>
      </c>
      <c r="D697" s="47" t="s">
        <v>5471</v>
      </c>
    </row>
    <row r="698" spans="1:4" x14ac:dyDescent="0.3">
      <c r="A698" s="46">
        <v>1262</v>
      </c>
      <c r="B698" s="47" t="s">
        <v>5475</v>
      </c>
      <c r="C698" s="46">
        <v>1262</v>
      </c>
      <c r="D698" s="47" t="s">
        <v>5475</v>
      </c>
    </row>
    <row r="699" spans="1:4" x14ac:dyDescent="0.3">
      <c r="A699" s="46">
        <v>1263</v>
      </c>
      <c r="B699" s="47" t="s">
        <v>11180</v>
      </c>
      <c r="C699" s="46">
        <v>1263</v>
      </c>
      <c r="D699" s="47" t="s">
        <v>11180</v>
      </c>
    </row>
    <row r="700" spans="1:4" x14ac:dyDescent="0.3">
      <c r="A700" s="46">
        <v>1264</v>
      </c>
      <c r="B700" s="47" t="s">
        <v>11181</v>
      </c>
      <c r="C700" s="46">
        <v>1264</v>
      </c>
      <c r="D700" s="47" t="s">
        <v>11181</v>
      </c>
    </row>
    <row r="701" spans="1:4" x14ac:dyDescent="0.3">
      <c r="A701" s="46">
        <v>1288</v>
      </c>
      <c r="B701" s="47" t="s">
        <v>5489</v>
      </c>
      <c r="C701" s="46">
        <v>1288</v>
      </c>
      <c r="D701" s="47" t="s">
        <v>5489</v>
      </c>
    </row>
    <row r="702" spans="1:4" x14ac:dyDescent="0.3">
      <c r="A702" s="46">
        <v>1289</v>
      </c>
      <c r="B702" s="47" t="s">
        <v>5490</v>
      </c>
      <c r="C702" s="46">
        <v>1289</v>
      </c>
      <c r="D702" s="47" t="s">
        <v>5490</v>
      </c>
    </row>
    <row r="703" spans="1:4" x14ac:dyDescent="0.3">
      <c r="A703" s="46">
        <v>1291</v>
      </c>
      <c r="B703" s="47" t="s">
        <v>5492</v>
      </c>
      <c r="C703" s="46">
        <v>1291</v>
      </c>
      <c r="D703" s="47" t="s">
        <v>5492</v>
      </c>
    </row>
    <row r="704" spans="1:4" x14ac:dyDescent="0.3">
      <c r="A704" s="46">
        <v>1290</v>
      </c>
      <c r="B704" s="47" t="s">
        <v>5491</v>
      </c>
      <c r="C704" s="46">
        <v>1290</v>
      </c>
      <c r="D704" s="47" t="s">
        <v>5491</v>
      </c>
    </row>
    <row r="705" spans="1:4" x14ac:dyDescent="0.3">
      <c r="A705" s="46">
        <v>1306</v>
      </c>
      <c r="B705" s="47" t="s">
        <v>11182</v>
      </c>
      <c r="C705" s="46">
        <v>1306</v>
      </c>
      <c r="D705" s="47" t="s">
        <v>11182</v>
      </c>
    </row>
    <row r="706" spans="1:4" x14ac:dyDescent="0.3">
      <c r="A706" s="46">
        <v>1307</v>
      </c>
      <c r="B706" s="47" t="s">
        <v>11183</v>
      </c>
      <c r="C706" s="46">
        <v>1307</v>
      </c>
      <c r="D706" s="47" t="s">
        <v>11183</v>
      </c>
    </row>
    <row r="707" spans="1:4" x14ac:dyDescent="0.3">
      <c r="A707" s="46">
        <v>1343</v>
      </c>
      <c r="B707" s="47" t="s">
        <v>11184</v>
      </c>
      <c r="C707" s="46">
        <v>1343</v>
      </c>
      <c r="D707" s="47" t="s">
        <v>11184</v>
      </c>
    </row>
    <row r="708" spans="1:4" x14ac:dyDescent="0.3">
      <c r="A708" s="46">
        <v>1346</v>
      </c>
      <c r="B708" s="47" t="s">
        <v>5524</v>
      </c>
      <c r="C708" s="46">
        <v>1346</v>
      </c>
      <c r="D708" s="47" t="s">
        <v>5524</v>
      </c>
    </row>
    <row r="709" spans="1:4" x14ac:dyDescent="0.3">
      <c r="A709" s="46">
        <v>1347</v>
      </c>
      <c r="B709" s="47" t="s">
        <v>11185</v>
      </c>
      <c r="C709" s="46">
        <v>1347</v>
      </c>
      <c r="D709" s="47" t="s">
        <v>11185</v>
      </c>
    </row>
    <row r="710" spans="1:4" x14ac:dyDescent="0.3">
      <c r="A710" s="46">
        <v>1371</v>
      </c>
      <c r="B710" s="47" t="s">
        <v>5539</v>
      </c>
      <c r="C710" s="46">
        <v>1371</v>
      </c>
      <c r="D710" s="47" t="s">
        <v>5539</v>
      </c>
    </row>
    <row r="711" spans="1:4" x14ac:dyDescent="0.3">
      <c r="A711" s="46">
        <v>1374</v>
      </c>
      <c r="B711" s="47" t="s">
        <v>5542</v>
      </c>
      <c r="C711" s="46">
        <v>1374</v>
      </c>
      <c r="D711" s="47" t="s">
        <v>5542</v>
      </c>
    </row>
    <row r="712" spans="1:4" x14ac:dyDescent="0.3">
      <c r="A712" s="46">
        <v>1391</v>
      </c>
      <c r="B712" s="47" t="s">
        <v>5548</v>
      </c>
      <c r="C712" s="46">
        <v>1391</v>
      </c>
      <c r="D712" s="47" t="s">
        <v>5548</v>
      </c>
    </row>
    <row r="713" spans="1:4" x14ac:dyDescent="0.3">
      <c r="A713" s="46">
        <v>1392</v>
      </c>
      <c r="B713" s="47" t="s">
        <v>11186</v>
      </c>
      <c r="C713" s="46">
        <v>1392</v>
      </c>
      <c r="D713" s="47" t="s">
        <v>11186</v>
      </c>
    </row>
    <row r="714" spans="1:4" x14ac:dyDescent="0.3">
      <c r="A714" s="46">
        <v>1439</v>
      </c>
      <c r="B714" s="47" t="s">
        <v>5567</v>
      </c>
      <c r="C714" s="46">
        <v>1439</v>
      </c>
      <c r="D714" s="47" t="s">
        <v>5567</v>
      </c>
    </row>
    <row r="715" spans="1:4" x14ac:dyDescent="0.3">
      <c r="A715" s="46">
        <v>1447</v>
      </c>
      <c r="B715" s="47" t="s">
        <v>5574</v>
      </c>
      <c r="C715" s="46">
        <v>1447</v>
      </c>
      <c r="D715" s="47" t="s">
        <v>5574</v>
      </c>
    </row>
    <row r="716" spans="1:4" x14ac:dyDescent="0.3">
      <c r="A716" s="46">
        <v>1474</v>
      </c>
      <c r="B716" s="47" t="s">
        <v>11187</v>
      </c>
      <c r="C716" s="46">
        <v>1474</v>
      </c>
      <c r="D716" s="47" t="s">
        <v>11187</v>
      </c>
    </row>
    <row r="717" spans="1:4" x14ac:dyDescent="0.3">
      <c r="A717" s="46">
        <v>1476</v>
      </c>
      <c r="B717" s="47" t="s">
        <v>11188</v>
      </c>
      <c r="C717" s="46">
        <v>1476</v>
      </c>
      <c r="D717" s="47" t="s">
        <v>11188</v>
      </c>
    </row>
    <row r="718" spans="1:4" x14ac:dyDescent="0.3">
      <c r="A718" s="46">
        <v>1486</v>
      </c>
      <c r="B718" s="47" t="s">
        <v>5591</v>
      </c>
      <c r="C718" s="46">
        <v>1486</v>
      </c>
      <c r="D718" s="47" t="s">
        <v>5591</v>
      </c>
    </row>
    <row r="719" spans="1:4" x14ac:dyDescent="0.3">
      <c r="A719" s="46">
        <v>1506</v>
      </c>
      <c r="B719" s="47" t="s">
        <v>5604</v>
      </c>
      <c r="C719" s="46">
        <v>1506</v>
      </c>
      <c r="D719" s="47" t="s">
        <v>5604</v>
      </c>
    </row>
    <row r="720" spans="1:4" x14ac:dyDescent="0.3">
      <c r="A720" s="46">
        <v>1540</v>
      </c>
      <c r="B720" s="47" t="s">
        <v>11189</v>
      </c>
      <c r="C720" s="46">
        <v>1540</v>
      </c>
      <c r="D720" s="47" t="s">
        <v>11189</v>
      </c>
    </row>
    <row r="721" spans="1:4" x14ac:dyDescent="0.3">
      <c r="A721" s="46">
        <v>1541</v>
      </c>
      <c r="B721" s="47" t="s">
        <v>11190</v>
      </c>
      <c r="C721" s="46">
        <v>1541</v>
      </c>
      <c r="D721" s="47" t="s">
        <v>11190</v>
      </c>
    </row>
    <row r="722" spans="1:4" x14ac:dyDescent="0.3">
      <c r="A722" s="46">
        <v>1572</v>
      </c>
      <c r="B722" s="47" t="s">
        <v>5641</v>
      </c>
      <c r="C722" s="46">
        <v>1572</v>
      </c>
      <c r="D722" s="47" t="s">
        <v>5641</v>
      </c>
    </row>
    <row r="723" spans="1:4" x14ac:dyDescent="0.3">
      <c r="A723" s="46">
        <v>1573</v>
      </c>
      <c r="B723" s="47" t="s">
        <v>11191</v>
      </c>
      <c r="C723" s="46">
        <v>1573</v>
      </c>
      <c r="D723" s="47" t="s">
        <v>11191</v>
      </c>
    </row>
    <row r="724" spans="1:4" x14ac:dyDescent="0.3">
      <c r="A724" s="46">
        <v>1574</v>
      </c>
      <c r="B724" s="47" t="s">
        <v>11192</v>
      </c>
      <c r="C724" s="46">
        <v>1574</v>
      </c>
      <c r="D724" s="47" t="s">
        <v>11192</v>
      </c>
    </row>
    <row r="725" spans="1:4" x14ac:dyDescent="0.3">
      <c r="A725" s="46">
        <v>1575</v>
      </c>
      <c r="B725" s="47" t="s">
        <v>5642</v>
      </c>
      <c r="C725" s="46">
        <v>1575</v>
      </c>
      <c r="D725" s="47" t="s">
        <v>5642</v>
      </c>
    </row>
    <row r="726" spans="1:4" x14ac:dyDescent="0.3">
      <c r="A726" s="46">
        <v>1576</v>
      </c>
      <c r="B726" s="47" t="s">
        <v>11193</v>
      </c>
      <c r="C726" s="46">
        <v>1576</v>
      </c>
      <c r="D726" s="47" t="s">
        <v>11193</v>
      </c>
    </row>
    <row r="727" spans="1:4" x14ac:dyDescent="0.3">
      <c r="A727" s="46">
        <v>1577</v>
      </c>
      <c r="B727" s="47" t="s">
        <v>5643</v>
      </c>
      <c r="C727" s="46">
        <v>1577</v>
      </c>
      <c r="D727" s="47" t="s">
        <v>5643</v>
      </c>
    </row>
    <row r="728" spans="1:4" x14ac:dyDescent="0.3">
      <c r="A728" s="46">
        <v>1578</v>
      </c>
      <c r="B728" s="47" t="s">
        <v>11194</v>
      </c>
      <c r="C728" s="46">
        <v>1578</v>
      </c>
      <c r="D728" s="47" t="s">
        <v>11194</v>
      </c>
    </row>
    <row r="729" spans="1:4" x14ac:dyDescent="0.3">
      <c r="A729" s="46">
        <v>1579</v>
      </c>
      <c r="B729" s="47" t="s">
        <v>11195</v>
      </c>
      <c r="C729" s="46">
        <v>1579</v>
      </c>
      <c r="D729" s="47" t="s">
        <v>11195</v>
      </c>
    </row>
    <row r="730" spans="1:4" x14ac:dyDescent="0.3">
      <c r="A730" s="46">
        <v>1580</v>
      </c>
      <c r="B730" s="47" t="s">
        <v>11196</v>
      </c>
      <c r="C730" s="46">
        <v>1580</v>
      </c>
      <c r="D730" s="47" t="s">
        <v>11196</v>
      </c>
    </row>
    <row r="731" spans="1:4" x14ac:dyDescent="0.3">
      <c r="A731" s="46">
        <v>1581</v>
      </c>
      <c r="B731" s="47" t="s">
        <v>11197</v>
      </c>
      <c r="C731" s="46">
        <v>1581</v>
      </c>
      <c r="D731" s="47" t="s">
        <v>11197</v>
      </c>
    </row>
    <row r="732" spans="1:4" x14ac:dyDescent="0.3">
      <c r="A732" s="46">
        <v>1582</v>
      </c>
      <c r="B732" s="47" t="s">
        <v>11198</v>
      </c>
      <c r="C732" s="46">
        <v>1582</v>
      </c>
      <c r="D732" s="47" t="s">
        <v>11198</v>
      </c>
    </row>
    <row r="733" spans="1:4" x14ac:dyDescent="0.3">
      <c r="A733" s="46">
        <v>1583</v>
      </c>
      <c r="B733" s="47" t="s">
        <v>11199</v>
      </c>
      <c r="C733" s="46">
        <v>1583</v>
      </c>
      <c r="D733" s="47" t="s">
        <v>11199</v>
      </c>
    </row>
    <row r="734" spans="1:4" x14ac:dyDescent="0.3">
      <c r="A734" s="46">
        <v>1584</v>
      </c>
      <c r="B734" s="47" t="s">
        <v>11200</v>
      </c>
      <c r="C734" s="46">
        <v>1584</v>
      </c>
      <c r="D734" s="47" t="s">
        <v>11200</v>
      </c>
    </row>
    <row r="735" spans="1:4" x14ac:dyDescent="0.3">
      <c r="A735" s="46">
        <v>1585</v>
      </c>
      <c r="B735" s="47" t="s">
        <v>11201</v>
      </c>
      <c r="C735" s="46">
        <v>1585</v>
      </c>
      <c r="D735" s="47" t="s">
        <v>11201</v>
      </c>
    </row>
    <row r="736" spans="1:4" x14ac:dyDescent="0.3">
      <c r="A736" s="46">
        <v>1586</v>
      </c>
      <c r="B736" s="47" t="s">
        <v>11202</v>
      </c>
      <c r="C736" s="46">
        <v>1586</v>
      </c>
      <c r="D736" s="47" t="s">
        <v>11202</v>
      </c>
    </row>
    <row r="737" spans="1:4" x14ac:dyDescent="0.3">
      <c r="A737" s="46">
        <v>1587</v>
      </c>
      <c r="B737" s="47" t="s">
        <v>11203</v>
      </c>
      <c r="C737" s="46">
        <v>1587</v>
      </c>
      <c r="D737" s="47" t="s">
        <v>11203</v>
      </c>
    </row>
    <row r="738" spans="1:4" x14ac:dyDescent="0.3">
      <c r="A738" s="46">
        <v>1588</v>
      </c>
      <c r="B738" s="47" t="s">
        <v>11204</v>
      </c>
      <c r="C738" s="46">
        <v>1588</v>
      </c>
      <c r="D738" s="47" t="s">
        <v>11204</v>
      </c>
    </row>
    <row r="739" spans="1:4" x14ac:dyDescent="0.3">
      <c r="A739" s="46">
        <v>1589</v>
      </c>
      <c r="B739" s="47" t="s">
        <v>11205</v>
      </c>
      <c r="C739" s="46">
        <v>1589</v>
      </c>
      <c r="D739" s="47" t="s">
        <v>11205</v>
      </c>
    </row>
    <row r="740" spans="1:4" x14ac:dyDescent="0.3">
      <c r="A740" s="46">
        <v>1590</v>
      </c>
      <c r="B740" s="47" t="s">
        <v>11206</v>
      </c>
      <c r="C740" s="46">
        <v>1590</v>
      </c>
      <c r="D740" s="47" t="s">
        <v>11206</v>
      </c>
    </row>
    <row r="741" spans="1:4" x14ac:dyDescent="0.3">
      <c r="A741" s="46">
        <v>1591</v>
      </c>
      <c r="B741" s="47" t="s">
        <v>11207</v>
      </c>
      <c r="C741" s="46">
        <v>1591</v>
      </c>
      <c r="D741" s="47" t="s">
        <v>11207</v>
      </c>
    </row>
    <row r="742" spans="1:4" x14ac:dyDescent="0.3">
      <c r="A742" s="46">
        <v>1592</v>
      </c>
      <c r="B742" s="47" t="s">
        <v>11208</v>
      </c>
      <c r="C742" s="46">
        <v>1592</v>
      </c>
      <c r="D742" s="47" t="s">
        <v>11208</v>
      </c>
    </row>
    <row r="743" spans="1:4" x14ac:dyDescent="0.3">
      <c r="A743" s="46">
        <v>1593</v>
      </c>
      <c r="B743" s="47" t="s">
        <v>11209</v>
      </c>
      <c r="C743" s="46">
        <v>1593</v>
      </c>
      <c r="D743" s="47" t="s">
        <v>11209</v>
      </c>
    </row>
    <row r="744" spans="1:4" x14ac:dyDescent="0.3">
      <c r="A744" s="46">
        <v>1594</v>
      </c>
      <c r="B744" s="47" t="s">
        <v>11210</v>
      </c>
      <c r="C744" s="46">
        <v>1594</v>
      </c>
      <c r="D744" s="47" t="s">
        <v>11210</v>
      </c>
    </row>
    <row r="745" spans="1:4" x14ac:dyDescent="0.3">
      <c r="A745" s="46">
        <v>1595</v>
      </c>
      <c r="B745" s="47" t="s">
        <v>11211</v>
      </c>
      <c r="C745" s="46">
        <v>1595</v>
      </c>
      <c r="D745" s="47" t="s">
        <v>11211</v>
      </c>
    </row>
    <row r="746" spans="1:4" x14ac:dyDescent="0.3">
      <c r="A746" s="46">
        <v>1596</v>
      </c>
      <c r="B746" s="47" t="s">
        <v>11212</v>
      </c>
      <c r="C746" s="46">
        <v>1596</v>
      </c>
      <c r="D746" s="47" t="s">
        <v>11212</v>
      </c>
    </row>
    <row r="747" spans="1:4" x14ac:dyDescent="0.3">
      <c r="A747" s="46">
        <v>1597</v>
      </c>
      <c r="B747" s="47" t="s">
        <v>11213</v>
      </c>
      <c r="C747" s="46">
        <v>1597</v>
      </c>
      <c r="D747" s="47" t="s">
        <v>11213</v>
      </c>
    </row>
    <row r="748" spans="1:4" x14ac:dyDescent="0.3">
      <c r="A748" s="46">
        <v>1598</v>
      </c>
      <c r="B748" s="47" t="s">
        <v>11214</v>
      </c>
      <c r="C748" s="46">
        <v>1598</v>
      </c>
      <c r="D748" s="47" t="s">
        <v>11214</v>
      </c>
    </row>
    <row r="749" spans="1:4" x14ac:dyDescent="0.3">
      <c r="A749" s="46">
        <v>1599</v>
      </c>
      <c r="B749" s="47" t="s">
        <v>11215</v>
      </c>
      <c r="C749" s="46">
        <v>1599</v>
      </c>
      <c r="D749" s="47" t="s">
        <v>11215</v>
      </c>
    </row>
    <row r="750" spans="1:4" x14ac:dyDescent="0.3">
      <c r="A750" s="46">
        <v>1600</v>
      </c>
      <c r="B750" s="47" t="s">
        <v>11216</v>
      </c>
      <c r="C750" s="46">
        <v>1600</v>
      </c>
      <c r="D750" s="47" t="s">
        <v>11216</v>
      </c>
    </row>
    <row r="751" spans="1:4" x14ac:dyDescent="0.3">
      <c r="A751" s="46">
        <v>1601</v>
      </c>
      <c r="B751" s="47" t="s">
        <v>11217</v>
      </c>
      <c r="C751" s="46">
        <v>1601</v>
      </c>
      <c r="D751" s="47" t="s">
        <v>11217</v>
      </c>
    </row>
    <row r="752" spans="1:4" x14ac:dyDescent="0.3">
      <c r="A752" s="46">
        <v>1602</v>
      </c>
      <c r="B752" s="47" t="s">
        <v>5644</v>
      </c>
      <c r="C752" s="46">
        <v>1602</v>
      </c>
      <c r="D752" s="47" t="s">
        <v>5644</v>
      </c>
    </row>
    <row r="753" spans="1:4" x14ac:dyDescent="0.3">
      <c r="A753" s="46">
        <v>1603</v>
      </c>
      <c r="B753" s="47" t="s">
        <v>5645</v>
      </c>
      <c r="C753" s="46">
        <v>1603</v>
      </c>
      <c r="D753" s="47" t="s">
        <v>5645</v>
      </c>
    </row>
    <row r="754" spans="1:4" x14ac:dyDescent="0.3">
      <c r="A754" s="46">
        <v>1604</v>
      </c>
      <c r="B754" s="47" t="s">
        <v>11218</v>
      </c>
      <c r="C754" s="46">
        <v>1604</v>
      </c>
      <c r="D754" s="47" t="s">
        <v>11218</v>
      </c>
    </row>
    <row r="755" spans="1:4" x14ac:dyDescent="0.3">
      <c r="A755" s="46">
        <v>1605</v>
      </c>
      <c r="B755" s="47" t="s">
        <v>11219</v>
      </c>
      <c r="C755" s="46">
        <v>1605</v>
      </c>
      <c r="D755" s="47" t="s">
        <v>11219</v>
      </c>
    </row>
    <row r="756" spans="1:4" x14ac:dyDescent="0.3">
      <c r="A756" s="46">
        <v>1606</v>
      </c>
      <c r="B756" s="47" t="s">
        <v>11220</v>
      </c>
      <c r="C756" s="46">
        <v>1606</v>
      </c>
      <c r="D756" s="47" t="s">
        <v>11220</v>
      </c>
    </row>
    <row r="757" spans="1:4" x14ac:dyDescent="0.3">
      <c r="A757" s="46">
        <v>1607</v>
      </c>
      <c r="B757" s="47" t="s">
        <v>11221</v>
      </c>
      <c r="C757" s="46">
        <v>1607</v>
      </c>
      <c r="D757" s="47" t="s">
        <v>11221</v>
      </c>
    </row>
    <row r="758" spans="1:4" x14ac:dyDescent="0.3">
      <c r="A758" s="46">
        <v>1608</v>
      </c>
      <c r="B758" s="47" t="s">
        <v>5646</v>
      </c>
      <c r="C758" s="46">
        <v>1608</v>
      </c>
      <c r="D758" s="47" t="s">
        <v>5646</v>
      </c>
    </row>
    <row r="759" spans="1:4" x14ac:dyDescent="0.3">
      <c r="A759" s="46">
        <v>1609</v>
      </c>
      <c r="B759" s="47" t="s">
        <v>11222</v>
      </c>
      <c r="C759" s="46">
        <v>1609</v>
      </c>
      <c r="D759" s="47" t="s">
        <v>11222</v>
      </c>
    </row>
    <row r="760" spans="1:4" x14ac:dyDescent="0.3">
      <c r="A760" s="46">
        <v>1610</v>
      </c>
      <c r="B760" s="47" t="s">
        <v>5647</v>
      </c>
      <c r="C760" s="46">
        <v>1610</v>
      </c>
      <c r="D760" s="47" t="s">
        <v>5647</v>
      </c>
    </row>
    <row r="761" spans="1:4" x14ac:dyDescent="0.3">
      <c r="A761" s="46">
        <v>1611</v>
      </c>
      <c r="B761" s="47" t="s">
        <v>5648</v>
      </c>
      <c r="C761" s="46">
        <v>1611</v>
      </c>
      <c r="D761" s="47" t="s">
        <v>5648</v>
      </c>
    </row>
    <row r="762" spans="1:4" x14ac:dyDescent="0.3">
      <c r="A762" s="46">
        <v>1612</v>
      </c>
      <c r="B762" s="47" t="s">
        <v>11223</v>
      </c>
      <c r="C762" s="46">
        <v>1612</v>
      </c>
      <c r="D762" s="47" t="s">
        <v>11223</v>
      </c>
    </row>
    <row r="763" spans="1:4" x14ac:dyDescent="0.3">
      <c r="A763" s="46">
        <v>1613</v>
      </c>
      <c r="B763" s="47" t="s">
        <v>11224</v>
      </c>
      <c r="C763" s="46">
        <v>1613</v>
      </c>
      <c r="D763" s="47" t="s">
        <v>11224</v>
      </c>
    </row>
    <row r="764" spans="1:4" x14ac:dyDescent="0.3">
      <c r="A764" s="46">
        <v>1614</v>
      </c>
      <c r="B764" s="47" t="s">
        <v>11225</v>
      </c>
      <c r="C764" s="46">
        <v>1614</v>
      </c>
      <c r="D764" s="47" t="s">
        <v>11225</v>
      </c>
    </row>
    <row r="765" spans="1:4" x14ac:dyDescent="0.3">
      <c r="A765" s="46">
        <v>1615</v>
      </c>
      <c r="B765" s="47" t="s">
        <v>11226</v>
      </c>
      <c r="C765" s="46">
        <v>1615</v>
      </c>
      <c r="D765" s="47" t="s">
        <v>11226</v>
      </c>
    </row>
    <row r="766" spans="1:4" x14ac:dyDescent="0.3">
      <c r="A766" s="46">
        <v>1616</v>
      </c>
      <c r="B766" s="47" t="s">
        <v>11227</v>
      </c>
      <c r="C766" s="46">
        <v>1616</v>
      </c>
      <c r="D766" s="47" t="s">
        <v>11227</v>
      </c>
    </row>
    <row r="767" spans="1:4" x14ac:dyDescent="0.3">
      <c r="A767" s="46">
        <v>1617</v>
      </c>
      <c r="B767" s="47" t="s">
        <v>11228</v>
      </c>
      <c r="C767" s="46">
        <v>1617</v>
      </c>
      <c r="D767" s="47" t="s">
        <v>11228</v>
      </c>
    </row>
    <row r="768" spans="1:4" x14ac:dyDescent="0.3">
      <c r="A768" s="46">
        <v>1618</v>
      </c>
      <c r="B768" s="47" t="s">
        <v>11229</v>
      </c>
      <c r="C768" s="46">
        <v>1618</v>
      </c>
      <c r="D768" s="47" t="s">
        <v>11229</v>
      </c>
    </row>
    <row r="769" spans="1:4" x14ac:dyDescent="0.3">
      <c r="A769" s="46">
        <v>1619</v>
      </c>
      <c r="B769" s="47" t="s">
        <v>11230</v>
      </c>
      <c r="C769" s="46">
        <v>1619</v>
      </c>
      <c r="D769" s="47" t="s">
        <v>11230</v>
      </c>
    </row>
    <row r="770" spans="1:4" x14ac:dyDescent="0.3">
      <c r="A770" s="46">
        <v>1620</v>
      </c>
      <c r="B770" s="47" t="s">
        <v>11231</v>
      </c>
      <c r="C770" s="46">
        <v>1620</v>
      </c>
      <c r="D770" s="47" t="s">
        <v>11231</v>
      </c>
    </row>
    <row r="771" spans="1:4" x14ac:dyDescent="0.3">
      <c r="A771" s="46">
        <v>1621</v>
      </c>
      <c r="B771" s="47" t="s">
        <v>5649</v>
      </c>
      <c r="C771" s="46">
        <v>1621</v>
      </c>
      <c r="D771" s="47" t="s">
        <v>5649</v>
      </c>
    </row>
    <row r="772" spans="1:4" x14ac:dyDescent="0.3">
      <c r="A772" s="46">
        <v>1622</v>
      </c>
      <c r="B772" s="47" t="s">
        <v>11232</v>
      </c>
      <c r="C772" s="46">
        <v>1622</v>
      </c>
      <c r="D772" s="47" t="s">
        <v>11232</v>
      </c>
    </row>
    <row r="773" spans="1:4" x14ac:dyDescent="0.3">
      <c r="A773" s="46">
        <v>1623</v>
      </c>
      <c r="B773" s="47" t="s">
        <v>11233</v>
      </c>
      <c r="C773" s="46">
        <v>1623</v>
      </c>
      <c r="D773" s="47" t="s">
        <v>11233</v>
      </c>
    </row>
    <row r="774" spans="1:4" x14ac:dyDescent="0.3">
      <c r="A774" s="46">
        <v>1624</v>
      </c>
      <c r="B774" s="47" t="s">
        <v>11234</v>
      </c>
      <c r="C774" s="46">
        <v>1624</v>
      </c>
      <c r="D774" s="47" t="s">
        <v>11234</v>
      </c>
    </row>
    <row r="775" spans="1:4" x14ac:dyDescent="0.3">
      <c r="A775" s="46">
        <v>1625</v>
      </c>
      <c r="B775" s="47" t="s">
        <v>11235</v>
      </c>
      <c r="C775" s="46">
        <v>1625</v>
      </c>
      <c r="D775" s="47" t="s">
        <v>11235</v>
      </c>
    </row>
    <row r="776" spans="1:4" x14ac:dyDescent="0.3">
      <c r="A776" s="46">
        <v>1626</v>
      </c>
      <c r="B776" s="47" t="s">
        <v>11236</v>
      </c>
      <c r="C776" s="46">
        <v>1626</v>
      </c>
      <c r="D776" s="47" t="s">
        <v>11236</v>
      </c>
    </row>
    <row r="777" spans="1:4" x14ac:dyDescent="0.3">
      <c r="A777" s="46">
        <v>1627</v>
      </c>
      <c r="B777" s="47" t="s">
        <v>11237</v>
      </c>
      <c r="C777" s="46">
        <v>1627</v>
      </c>
      <c r="D777" s="47" t="s">
        <v>11237</v>
      </c>
    </row>
    <row r="778" spans="1:4" x14ac:dyDescent="0.3">
      <c r="A778" s="46">
        <v>1628</v>
      </c>
      <c r="B778" s="47" t="s">
        <v>11238</v>
      </c>
      <c r="C778" s="46">
        <v>1628</v>
      </c>
      <c r="D778" s="47" t="s">
        <v>11238</v>
      </c>
    </row>
    <row r="779" spans="1:4" x14ac:dyDescent="0.3">
      <c r="A779" s="46">
        <v>1629</v>
      </c>
      <c r="B779" s="47" t="s">
        <v>11239</v>
      </c>
      <c r="C779" s="46">
        <v>1629</v>
      </c>
      <c r="D779" s="47" t="s">
        <v>11239</v>
      </c>
    </row>
    <row r="780" spans="1:4" x14ac:dyDescent="0.3">
      <c r="A780" s="46">
        <v>1630</v>
      </c>
      <c r="B780" s="47" t="s">
        <v>11240</v>
      </c>
      <c r="C780" s="46">
        <v>1630</v>
      </c>
      <c r="D780" s="47" t="s">
        <v>11240</v>
      </c>
    </row>
    <row r="781" spans="1:4" x14ac:dyDescent="0.3">
      <c r="A781" s="46">
        <v>1631</v>
      </c>
      <c r="B781" s="47" t="s">
        <v>11241</v>
      </c>
      <c r="C781" s="46">
        <v>1631</v>
      </c>
      <c r="D781" s="47" t="s">
        <v>11241</v>
      </c>
    </row>
    <row r="782" spans="1:4" x14ac:dyDescent="0.3">
      <c r="A782" s="46">
        <v>1632</v>
      </c>
      <c r="B782" s="47" t="s">
        <v>11242</v>
      </c>
      <c r="C782" s="46">
        <v>1632</v>
      </c>
      <c r="D782" s="47" t="s">
        <v>11242</v>
      </c>
    </row>
    <row r="783" spans="1:4" x14ac:dyDescent="0.3">
      <c r="A783" s="46">
        <v>1633</v>
      </c>
      <c r="B783" s="47" t="s">
        <v>11243</v>
      </c>
      <c r="C783" s="46">
        <v>1633</v>
      </c>
      <c r="D783" s="47" t="s">
        <v>11243</v>
      </c>
    </row>
    <row r="784" spans="1:4" x14ac:dyDescent="0.3">
      <c r="A784" s="46">
        <v>1634</v>
      </c>
      <c r="B784" s="47" t="s">
        <v>11244</v>
      </c>
      <c r="C784" s="46">
        <v>1634</v>
      </c>
      <c r="D784" s="47" t="s">
        <v>11244</v>
      </c>
    </row>
    <row r="785" spans="1:4" x14ac:dyDescent="0.3">
      <c r="A785" s="46">
        <v>1635</v>
      </c>
      <c r="B785" s="47" t="s">
        <v>11245</v>
      </c>
      <c r="C785" s="46">
        <v>1635</v>
      </c>
      <c r="D785" s="47" t="s">
        <v>11245</v>
      </c>
    </row>
    <row r="786" spans="1:4" x14ac:dyDescent="0.3">
      <c r="A786" s="46">
        <v>1636</v>
      </c>
      <c r="B786" s="47" t="s">
        <v>11246</v>
      </c>
      <c r="C786" s="46">
        <v>1636</v>
      </c>
      <c r="D786" s="47" t="s">
        <v>11246</v>
      </c>
    </row>
    <row r="787" spans="1:4" x14ac:dyDescent="0.3">
      <c r="A787" s="46">
        <v>1637</v>
      </c>
      <c r="B787" s="47" t="s">
        <v>11247</v>
      </c>
      <c r="C787" s="46">
        <v>1637</v>
      </c>
      <c r="D787" s="47" t="s">
        <v>11247</v>
      </c>
    </row>
    <row r="788" spans="1:4" x14ac:dyDescent="0.3">
      <c r="A788" s="46">
        <v>1638</v>
      </c>
      <c r="B788" s="47" t="s">
        <v>5650</v>
      </c>
      <c r="C788" s="46">
        <v>1638</v>
      </c>
      <c r="D788" s="47" t="s">
        <v>5650</v>
      </c>
    </row>
    <row r="789" spans="1:4" x14ac:dyDescent="0.3">
      <c r="A789" s="46">
        <v>1639</v>
      </c>
      <c r="B789" s="47" t="s">
        <v>11248</v>
      </c>
      <c r="C789" s="46">
        <v>1639</v>
      </c>
      <c r="D789" s="47" t="s">
        <v>11248</v>
      </c>
    </row>
    <row r="790" spans="1:4" x14ac:dyDescent="0.3">
      <c r="A790" s="46">
        <v>1640</v>
      </c>
      <c r="B790" s="47" t="s">
        <v>11249</v>
      </c>
      <c r="C790" s="46">
        <v>1640</v>
      </c>
      <c r="D790" s="47" t="s">
        <v>11249</v>
      </c>
    </row>
    <row r="791" spans="1:4" x14ac:dyDescent="0.3">
      <c r="A791" s="46">
        <v>1668</v>
      </c>
      <c r="B791" s="47" t="s">
        <v>5665</v>
      </c>
      <c r="C791" s="46">
        <v>1668</v>
      </c>
      <c r="D791" s="47" t="s">
        <v>5665</v>
      </c>
    </row>
    <row r="792" spans="1:4" x14ac:dyDescent="0.3">
      <c r="A792" s="46">
        <v>1702</v>
      </c>
      <c r="B792" s="47" t="s">
        <v>11250</v>
      </c>
      <c r="C792" s="46">
        <v>1702</v>
      </c>
      <c r="D792" s="47" t="s">
        <v>11250</v>
      </c>
    </row>
    <row r="793" spans="1:4" x14ac:dyDescent="0.3">
      <c r="A793" s="46">
        <v>1705</v>
      </c>
      <c r="B793" s="47" t="s">
        <v>11251</v>
      </c>
      <c r="C793" s="46">
        <v>1705</v>
      </c>
      <c r="D793" s="47" t="s">
        <v>11251</v>
      </c>
    </row>
    <row r="794" spans="1:4" x14ac:dyDescent="0.3">
      <c r="A794" s="46">
        <v>1721</v>
      </c>
      <c r="B794" s="47" t="s">
        <v>5693</v>
      </c>
      <c r="C794" s="46">
        <v>1721</v>
      </c>
      <c r="D794" s="47" t="s">
        <v>5693</v>
      </c>
    </row>
    <row r="795" spans="1:4" x14ac:dyDescent="0.3">
      <c r="A795" s="46">
        <v>1727</v>
      </c>
      <c r="B795" s="47" t="s">
        <v>11252</v>
      </c>
      <c r="C795" s="46">
        <v>1727</v>
      </c>
      <c r="D795" s="47" t="s">
        <v>11252</v>
      </c>
    </row>
    <row r="796" spans="1:4" x14ac:dyDescent="0.3">
      <c r="A796" s="46">
        <v>1736</v>
      </c>
      <c r="B796" s="47" t="s">
        <v>11253</v>
      </c>
      <c r="C796" s="46">
        <v>1736</v>
      </c>
      <c r="D796" s="47" t="s">
        <v>11253</v>
      </c>
    </row>
    <row r="797" spans="1:4" x14ac:dyDescent="0.3">
      <c r="A797" s="46">
        <v>1737</v>
      </c>
      <c r="B797" s="47" t="s">
        <v>11254</v>
      </c>
      <c r="C797" s="46">
        <v>1737</v>
      </c>
      <c r="D797" s="47" t="s">
        <v>11254</v>
      </c>
    </row>
    <row r="798" spans="1:4" x14ac:dyDescent="0.3">
      <c r="A798" s="46">
        <v>1738</v>
      </c>
      <c r="B798" s="47" t="s">
        <v>11255</v>
      </c>
      <c r="C798" s="46">
        <v>1738</v>
      </c>
      <c r="D798" s="47" t="s">
        <v>11255</v>
      </c>
    </row>
    <row r="799" spans="1:4" x14ac:dyDescent="0.3">
      <c r="A799" s="46">
        <v>1739</v>
      </c>
      <c r="B799" s="47" t="s">
        <v>11256</v>
      </c>
      <c r="C799" s="46">
        <v>1739</v>
      </c>
      <c r="D799" s="47" t="s">
        <v>11256</v>
      </c>
    </row>
    <row r="800" spans="1:4" x14ac:dyDescent="0.3">
      <c r="A800" s="46">
        <v>1740</v>
      </c>
      <c r="B800" s="47" t="s">
        <v>11257</v>
      </c>
      <c r="C800" s="46">
        <v>1740</v>
      </c>
      <c r="D800" s="47" t="s">
        <v>11257</v>
      </c>
    </row>
    <row r="801" spans="1:4" x14ac:dyDescent="0.3">
      <c r="A801" s="46">
        <v>1741</v>
      </c>
      <c r="B801" s="47" t="s">
        <v>11258</v>
      </c>
      <c r="C801" s="46">
        <v>1741</v>
      </c>
      <c r="D801" s="47" t="s">
        <v>11258</v>
      </c>
    </row>
    <row r="802" spans="1:4" x14ac:dyDescent="0.3">
      <c r="A802" s="46">
        <v>1742</v>
      </c>
      <c r="B802" s="47" t="s">
        <v>11259</v>
      </c>
      <c r="C802" s="46">
        <v>1742</v>
      </c>
      <c r="D802" s="47" t="s">
        <v>11259</v>
      </c>
    </row>
    <row r="803" spans="1:4" x14ac:dyDescent="0.3">
      <c r="A803" s="46">
        <v>1743</v>
      </c>
      <c r="B803" s="47" t="s">
        <v>11260</v>
      </c>
      <c r="C803" s="46">
        <v>1743</v>
      </c>
      <c r="D803" s="47" t="s">
        <v>11260</v>
      </c>
    </row>
    <row r="804" spans="1:4" x14ac:dyDescent="0.3">
      <c r="A804" s="46">
        <v>1744</v>
      </c>
      <c r="B804" s="47" t="s">
        <v>5698</v>
      </c>
      <c r="C804" s="46">
        <v>1744</v>
      </c>
      <c r="D804" s="47" t="s">
        <v>5698</v>
      </c>
    </row>
    <row r="805" spans="1:4" x14ac:dyDescent="0.3">
      <c r="A805" s="46">
        <v>1745</v>
      </c>
      <c r="B805" s="47" t="s">
        <v>11261</v>
      </c>
      <c r="C805" s="46">
        <v>1745</v>
      </c>
      <c r="D805" s="47" t="s">
        <v>11261</v>
      </c>
    </row>
    <row r="806" spans="1:4" x14ac:dyDescent="0.3">
      <c r="A806" s="46">
        <v>1746</v>
      </c>
      <c r="B806" s="47" t="s">
        <v>11262</v>
      </c>
      <c r="C806" s="46">
        <v>1746</v>
      </c>
      <c r="D806" s="47" t="s">
        <v>11262</v>
      </c>
    </row>
    <row r="807" spans="1:4" x14ac:dyDescent="0.3">
      <c r="A807" s="46">
        <v>1747</v>
      </c>
      <c r="B807" s="47" t="s">
        <v>11263</v>
      </c>
      <c r="C807" s="46">
        <v>1747</v>
      </c>
      <c r="D807" s="47" t="s">
        <v>11263</v>
      </c>
    </row>
    <row r="808" spans="1:4" x14ac:dyDescent="0.3">
      <c r="A808" s="46">
        <v>1748</v>
      </c>
      <c r="B808" s="47" t="s">
        <v>11264</v>
      </c>
      <c r="C808" s="46">
        <v>1748</v>
      </c>
      <c r="D808" s="47" t="s">
        <v>11264</v>
      </c>
    </row>
    <row r="809" spans="1:4" x14ac:dyDescent="0.3">
      <c r="A809" s="46">
        <v>1749</v>
      </c>
      <c r="B809" s="47" t="s">
        <v>11265</v>
      </c>
      <c r="C809" s="46">
        <v>1749</v>
      </c>
      <c r="D809" s="47" t="s">
        <v>11265</v>
      </c>
    </row>
    <row r="810" spans="1:4" x14ac:dyDescent="0.3">
      <c r="A810" s="46">
        <v>1750</v>
      </c>
      <c r="B810" s="47" t="s">
        <v>11266</v>
      </c>
      <c r="C810" s="46">
        <v>1750</v>
      </c>
      <c r="D810" s="47" t="s">
        <v>11266</v>
      </c>
    </row>
    <row r="811" spans="1:4" x14ac:dyDescent="0.3">
      <c r="A811" s="46">
        <v>1751</v>
      </c>
      <c r="B811" s="47" t="s">
        <v>11267</v>
      </c>
      <c r="C811" s="46">
        <v>1751</v>
      </c>
      <c r="D811" s="47" t="s">
        <v>11267</v>
      </c>
    </row>
    <row r="812" spans="1:4" x14ac:dyDescent="0.3">
      <c r="A812" s="46">
        <v>1752</v>
      </c>
      <c r="B812" s="47" t="s">
        <v>11268</v>
      </c>
      <c r="C812" s="46">
        <v>1752</v>
      </c>
      <c r="D812" s="47" t="s">
        <v>11268</v>
      </c>
    </row>
    <row r="813" spans="1:4" x14ac:dyDescent="0.3">
      <c r="A813" s="46">
        <v>1753</v>
      </c>
      <c r="B813" s="47" t="s">
        <v>5699</v>
      </c>
      <c r="C813" s="46">
        <v>1753</v>
      </c>
      <c r="D813" s="47" t="s">
        <v>5699</v>
      </c>
    </row>
    <row r="814" spans="1:4" x14ac:dyDescent="0.3">
      <c r="A814" s="46">
        <v>1754</v>
      </c>
      <c r="B814" s="47" t="s">
        <v>5700</v>
      </c>
      <c r="C814" s="46">
        <v>1754</v>
      </c>
      <c r="D814" s="47" t="s">
        <v>5700</v>
      </c>
    </row>
    <row r="815" spans="1:4" x14ac:dyDescent="0.3">
      <c r="A815" s="46">
        <v>1755</v>
      </c>
      <c r="B815" s="47" t="s">
        <v>5701</v>
      </c>
      <c r="C815" s="46">
        <v>1755</v>
      </c>
      <c r="D815" s="47" t="s">
        <v>5701</v>
      </c>
    </row>
    <row r="816" spans="1:4" x14ac:dyDescent="0.3">
      <c r="A816" s="46">
        <v>1756</v>
      </c>
      <c r="B816" s="47" t="s">
        <v>11269</v>
      </c>
      <c r="C816" s="46">
        <v>1756</v>
      </c>
      <c r="D816" s="47" t="s">
        <v>11269</v>
      </c>
    </row>
    <row r="817" spans="1:4" x14ac:dyDescent="0.3">
      <c r="A817" s="46">
        <v>1757</v>
      </c>
      <c r="B817" s="47" t="s">
        <v>5702</v>
      </c>
      <c r="C817" s="46">
        <v>1757</v>
      </c>
      <c r="D817" s="47" t="s">
        <v>5702</v>
      </c>
    </row>
    <row r="818" spans="1:4" x14ac:dyDescent="0.3">
      <c r="A818" s="46">
        <v>1758</v>
      </c>
      <c r="B818" s="47" t="s">
        <v>11270</v>
      </c>
      <c r="C818" s="46">
        <v>1758</v>
      </c>
      <c r="D818" s="47" t="s">
        <v>11270</v>
      </c>
    </row>
    <row r="819" spans="1:4" x14ac:dyDescent="0.3">
      <c r="A819" s="46">
        <v>1759</v>
      </c>
      <c r="B819" s="47" t="s">
        <v>11271</v>
      </c>
      <c r="C819" s="46">
        <v>1759</v>
      </c>
      <c r="D819" s="47" t="s">
        <v>11271</v>
      </c>
    </row>
    <row r="820" spans="1:4" x14ac:dyDescent="0.3">
      <c r="A820" s="46">
        <v>1760</v>
      </c>
      <c r="B820" s="47" t="s">
        <v>11272</v>
      </c>
      <c r="C820" s="46">
        <v>1760</v>
      </c>
      <c r="D820" s="47" t="s">
        <v>11272</v>
      </c>
    </row>
    <row r="821" spans="1:4" x14ac:dyDescent="0.3">
      <c r="A821" s="46">
        <v>1761</v>
      </c>
      <c r="B821" s="47" t="s">
        <v>11273</v>
      </c>
      <c r="C821" s="46">
        <v>1761</v>
      </c>
      <c r="D821" s="47" t="s">
        <v>11273</v>
      </c>
    </row>
    <row r="822" spans="1:4" x14ac:dyDescent="0.3">
      <c r="A822" s="46">
        <v>1762</v>
      </c>
      <c r="B822" s="47" t="s">
        <v>11274</v>
      </c>
      <c r="C822" s="46">
        <v>1762</v>
      </c>
      <c r="D822" s="47" t="s">
        <v>11274</v>
      </c>
    </row>
    <row r="823" spans="1:4" x14ac:dyDescent="0.3">
      <c r="A823" s="46">
        <v>1763</v>
      </c>
      <c r="B823" s="47" t="s">
        <v>5703</v>
      </c>
      <c r="C823" s="46">
        <v>1763</v>
      </c>
      <c r="D823" s="47" t="s">
        <v>5703</v>
      </c>
    </row>
    <row r="824" spans="1:4" x14ac:dyDescent="0.3">
      <c r="A824" s="46">
        <v>1764</v>
      </c>
      <c r="B824" s="47" t="s">
        <v>11275</v>
      </c>
      <c r="C824" s="46">
        <v>1764</v>
      </c>
      <c r="D824" s="47" t="s">
        <v>11275</v>
      </c>
    </row>
    <row r="825" spans="1:4" x14ac:dyDescent="0.3">
      <c r="A825" s="46">
        <v>1765</v>
      </c>
      <c r="B825" s="47" t="s">
        <v>5704</v>
      </c>
      <c r="C825" s="46">
        <v>1765</v>
      </c>
      <c r="D825" s="47" t="s">
        <v>5704</v>
      </c>
    </row>
    <row r="826" spans="1:4" x14ac:dyDescent="0.3">
      <c r="A826" s="46">
        <v>1766</v>
      </c>
      <c r="B826" s="47" t="s">
        <v>5705</v>
      </c>
      <c r="C826" s="46">
        <v>1766</v>
      </c>
      <c r="D826" s="47" t="s">
        <v>5705</v>
      </c>
    </row>
    <row r="827" spans="1:4" x14ac:dyDescent="0.3">
      <c r="A827" s="46">
        <v>1767</v>
      </c>
      <c r="B827" s="47" t="s">
        <v>11276</v>
      </c>
      <c r="C827" s="46">
        <v>1767</v>
      </c>
      <c r="D827" s="47" t="s">
        <v>11276</v>
      </c>
    </row>
    <row r="828" spans="1:4" x14ac:dyDescent="0.3">
      <c r="A828" s="46">
        <v>1768</v>
      </c>
      <c r="B828" s="47" t="s">
        <v>11277</v>
      </c>
      <c r="C828" s="46">
        <v>1768</v>
      </c>
      <c r="D828" s="47" t="s">
        <v>11277</v>
      </c>
    </row>
    <row r="829" spans="1:4" x14ac:dyDescent="0.3">
      <c r="A829" s="46">
        <v>1769</v>
      </c>
      <c r="B829" s="47" t="s">
        <v>5706</v>
      </c>
      <c r="C829" s="46">
        <v>1769</v>
      </c>
      <c r="D829" s="47" t="s">
        <v>5706</v>
      </c>
    </row>
    <row r="830" spans="1:4" x14ac:dyDescent="0.3">
      <c r="A830" s="46">
        <v>1770</v>
      </c>
      <c r="B830" s="47" t="s">
        <v>5707</v>
      </c>
      <c r="C830" s="46">
        <v>1770</v>
      </c>
      <c r="D830" s="47" t="s">
        <v>5707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3327-951E-40FF-A346-D85DCF714B69}">
  <dimension ref="B2:Y125"/>
  <sheetViews>
    <sheetView workbookViewId="0">
      <selection activeCell="F5" sqref="F5"/>
    </sheetView>
  </sheetViews>
  <sheetFormatPr defaultRowHeight="14.4" x14ac:dyDescent="0.3"/>
  <cols>
    <col min="2" max="2" width="18.109375" bestFit="1" customWidth="1"/>
    <col min="3" max="3" width="17" bestFit="1" customWidth="1"/>
    <col min="4" max="4" width="16.109375" bestFit="1" customWidth="1"/>
    <col min="5" max="5" width="13.44140625" bestFit="1" customWidth="1"/>
    <col min="6" max="6" width="16.33203125" bestFit="1" customWidth="1"/>
    <col min="7" max="7" width="14.33203125" bestFit="1" customWidth="1"/>
    <col min="8" max="8" width="11.21875" bestFit="1" customWidth="1"/>
    <col min="9" max="9" width="13.44140625" bestFit="1" customWidth="1"/>
    <col min="11" max="11" width="17" bestFit="1" customWidth="1"/>
    <col min="12" max="12" width="16.109375" bestFit="1" customWidth="1"/>
    <col min="13" max="13" width="13.44140625" bestFit="1" customWidth="1"/>
    <col min="14" max="16" width="10.33203125" bestFit="1" customWidth="1"/>
    <col min="17" max="17" width="13.44140625" bestFit="1" customWidth="1"/>
    <col min="19" max="24" width="10.33203125" bestFit="1" customWidth="1"/>
    <col min="25" max="25" width="13.44140625" bestFit="1" customWidth="1"/>
  </cols>
  <sheetData>
    <row r="2" spans="2:25" x14ac:dyDescent="0.3">
      <c r="C2" s="31">
        <f>cont_1</f>
        <v>0</v>
      </c>
      <c r="D2" s="31">
        <f>cont_2</f>
        <v>0</v>
      </c>
      <c r="E2" s="31">
        <f>cont_3</f>
        <v>0</v>
      </c>
      <c r="K2" s="31">
        <v>0.2</v>
      </c>
      <c r="L2" s="31">
        <v>0.79</v>
      </c>
      <c r="M2" s="31">
        <v>0.01</v>
      </c>
      <c r="S2" s="31">
        <v>0.4</v>
      </c>
      <c r="T2" s="31">
        <v>0.59</v>
      </c>
      <c r="U2" s="31">
        <v>0.01</v>
      </c>
    </row>
    <row r="3" spans="2:25" x14ac:dyDescent="0.3">
      <c r="C3" s="134">
        <f>SUM(C5:C54)</f>
        <v>0</v>
      </c>
      <c r="D3" s="134">
        <f>SUM(D5:D54)</f>
        <v>0</v>
      </c>
      <c r="E3" s="134">
        <f>SUM(E5:E54)</f>
        <v>0</v>
      </c>
      <c r="I3" s="142">
        <f>SUM(I5:I54)</f>
        <v>0</v>
      </c>
      <c r="K3" s="134">
        <f>SUM(K5:K54)</f>
        <v>0</v>
      </c>
      <c r="L3" s="134">
        <f>SUM(L5:L54)</f>
        <v>0</v>
      </c>
      <c r="M3" s="134">
        <f>SUM(M5:M54)</f>
        <v>0</v>
      </c>
      <c r="Q3" s="137">
        <f>SUM(Q5:Q54)</f>
        <v>0</v>
      </c>
      <c r="S3" s="134">
        <f>SUM(S5:S54)</f>
        <v>0</v>
      </c>
      <c r="T3" s="134">
        <f>SUM(T5:T54)</f>
        <v>0</v>
      </c>
      <c r="U3" s="134">
        <f>SUM(U5:U54)</f>
        <v>0</v>
      </c>
      <c r="Y3" s="137">
        <f>SUM(Y5:Y54)</f>
        <v>0</v>
      </c>
    </row>
    <row r="4" spans="2:25" x14ac:dyDescent="0.3">
      <c r="B4" s="135" t="s">
        <v>13218</v>
      </c>
      <c r="C4" s="123" t="s">
        <v>127</v>
      </c>
      <c r="D4" s="123" t="s">
        <v>128</v>
      </c>
      <c r="E4" s="123" t="s">
        <v>71</v>
      </c>
      <c r="F4" s="135" t="s">
        <v>73</v>
      </c>
      <c r="G4" s="135" t="s">
        <v>74</v>
      </c>
      <c r="H4" s="135" t="s">
        <v>75</v>
      </c>
      <c r="I4" s="123" t="s">
        <v>71</v>
      </c>
      <c r="K4" s="123" t="s">
        <v>127</v>
      </c>
      <c r="L4" s="123" t="s">
        <v>128</v>
      </c>
      <c r="M4" s="123" t="s">
        <v>71</v>
      </c>
      <c r="N4" s="135" t="s">
        <v>73</v>
      </c>
      <c r="O4" s="135" t="s">
        <v>74</v>
      </c>
      <c r="P4" s="135" t="s">
        <v>75</v>
      </c>
      <c r="Q4" s="123" t="s">
        <v>71</v>
      </c>
      <c r="S4" s="123" t="s">
        <v>127</v>
      </c>
      <c r="T4" s="123" t="s">
        <v>128</v>
      </c>
      <c r="U4" s="123" t="s">
        <v>71</v>
      </c>
      <c r="V4" s="135" t="s">
        <v>73</v>
      </c>
      <c r="W4" s="135" t="s">
        <v>74</v>
      </c>
      <c r="X4" s="135" t="s">
        <v>75</v>
      </c>
      <c r="Y4" s="123" t="s">
        <v>71</v>
      </c>
    </row>
    <row r="5" spans="2:25" x14ac:dyDescent="0.3">
      <c r="B5" s="13" t="str">
        <f>'Worker Premium Calc'!C5</f>
        <v/>
      </c>
      <c r="C5" s="85">
        <f>SUM((('Worker Premium Calc'!I5*'Worker Premium Calc'!B5*'Worker Premium Calc'!K5*policy_term)/1000*$C$2)+SUM(('Worker Premium Calc'!I5*'Worker Premium Calc'!B5*'Worker Premium Calc'!L5*policy_term)/1000*$D$2)+SUM(('Worker Premium Calc'!I5*'Worker Premium Calc'!B5*'Worker Premium Calc'!M5*policy_term)/1000*$E$2))</f>
        <v>0</v>
      </c>
      <c r="D5" s="46">
        <f>SUM((('Worker Premium Calc'!J5*'Worker Premium Calc'!B5*'Worker Premium Calc'!N5*policy_term)/1000*$C$2)+SUM(('Worker Premium Calc'!J5*'Worker Premium Calc'!B5*'Worker Premium Calc'!O5*policy_term)/1000*$D$2)+SUM(('Worker Premium Calc'!J5*'Worker Premium Calc'!B5*'Worker Premium Calc'!P5*policy_term)/1000*$E$2))</f>
        <v>0</v>
      </c>
      <c r="E5" s="85">
        <f>ROUND(SUM(C5:D5),2)</f>
        <v>0</v>
      </c>
      <c r="F5" s="46">
        <f>IFERROR(ROUND((E5*(1+load_disc_perc)),5),0)</f>
        <v>0</v>
      </c>
      <c r="G5" s="46">
        <f>ROUND((F5*medex_loading),3)</f>
        <v>0</v>
      </c>
      <c r="H5" s="85">
        <f>ROUND((F5*od_loading),3)</f>
        <v>0</v>
      </c>
      <c r="I5" s="85">
        <f>ROUND(SUM(F5:H5),2)</f>
        <v>0</v>
      </c>
      <c r="K5" s="85">
        <f>SUM((('Worker Premium Calc'!I5*'Worker Premium Calc'!B5*'Worker Premium Calc'!K5*policy_term)/1000*$K$2)+SUM(('Worker Premium Calc'!I5*'Worker Premium Calc'!B5*'Worker Premium Calc'!L5*policy_term)/1000*$L$2)+SUM(('Worker Premium Calc'!I5*'Worker Premium Calc'!B5*'Worker Premium Calc'!M5*policy_term)/1000*$M$2))</f>
        <v>0</v>
      </c>
      <c r="L5" s="85">
        <f>SUM((('Worker Premium Calc'!J5*'Worker Premium Calc'!B5*'Worker Premium Calc'!N5*policy_term)/1000*$K$2)+SUM(('Worker Premium Calc'!J5*'Worker Premium Calc'!B5*'Worker Premium Calc'!O5*policy_term)/1000*$L$2)+SUM(('Worker Premium Calc'!J5*'Worker Premium Calc'!B5*'Worker Premium Calc'!P5*policy_term)/1000*$M$2))</f>
        <v>0</v>
      </c>
      <c r="M5" s="85">
        <f>ROUND(SUM(K5:L5),2)</f>
        <v>0</v>
      </c>
      <c r="N5" s="46">
        <f t="shared" ref="N5:N36" si="0">IFERROR(ROUND((M5*(1+load_disc_perc)),5),0)</f>
        <v>0</v>
      </c>
      <c r="O5" s="46">
        <f t="shared" ref="O5:O36" si="1">ROUND((N5*medex_loading),3)</f>
        <v>0</v>
      </c>
      <c r="P5" s="46">
        <f t="shared" ref="P5:P36" si="2">ROUND((N5*od_loading),3)</f>
        <v>0</v>
      </c>
      <c r="Q5" s="46">
        <f>ROUND(SUM(N5:P5),2)</f>
        <v>0</v>
      </c>
      <c r="S5" s="85">
        <f>SUM((('Worker Premium Calc'!I5*'Worker Premium Calc'!B5*'Worker Premium Calc'!K5*policy_term)/1000*$S$2)+SUM(('Worker Premium Calc'!I5*'Worker Premium Calc'!B5*'Worker Premium Calc'!L5*policy_term)/1000*$T$2)+SUM(('Worker Premium Calc'!I5*'Worker Premium Calc'!B5*'Worker Premium Calc'!M5*policy_term)/1000*$U$2))</f>
        <v>0</v>
      </c>
      <c r="T5" s="85">
        <f>SUM((('Worker Premium Calc'!J5*'Worker Premium Calc'!B5*'Worker Premium Calc'!N5*policy_term)/1000*$S$2)+SUM(('Worker Premium Calc'!J5*'Worker Premium Calc'!B5*'Worker Premium Calc'!O5*policy_term)/1000*$T$2)+SUM(('Worker Premium Calc'!J5*'Worker Premium Calc'!B5*'Worker Premium Calc'!P5*policy_term)/1000*$U$2))</f>
        <v>0</v>
      </c>
      <c r="U5" s="85">
        <f>ROUND(SUM(S5:T5),2)</f>
        <v>0</v>
      </c>
      <c r="V5" s="46">
        <f t="shared" ref="V5:V36" si="3">IFERROR(ROUND((U5*(1+load_disc_perc)),5),0)</f>
        <v>0</v>
      </c>
      <c r="W5" s="46">
        <f t="shared" ref="W5:W36" si="4">ROUND((V5*medex_loading),3)</f>
        <v>0</v>
      </c>
      <c r="X5" s="46">
        <f t="shared" ref="X5:X36" si="5">ROUND((V5*od_loading),3)</f>
        <v>0</v>
      </c>
      <c r="Y5" s="46">
        <f>ROUND(SUM(V5:X5),2)</f>
        <v>0</v>
      </c>
    </row>
    <row r="6" spans="2:25" x14ac:dyDescent="0.3">
      <c r="B6" s="13" t="str">
        <f>'Worker Premium Calc'!C6</f>
        <v/>
      </c>
      <c r="C6" s="85">
        <f>SUM((('Worker Premium Calc'!I6*'Worker Premium Calc'!B6*'Worker Premium Calc'!K6*policy_term)/1000*$C$2)+SUM(('Worker Premium Calc'!I6*'Worker Premium Calc'!B6*'Worker Premium Calc'!L6*policy_term)/1000*$D$2)+SUM(('Worker Premium Calc'!I6*'Worker Premium Calc'!B6*'Worker Premium Calc'!M6*policy_term)/1000*$E$2))</f>
        <v>0</v>
      </c>
      <c r="D6" s="46">
        <f>SUM((('Worker Premium Calc'!J6*'Worker Premium Calc'!B6*'Worker Premium Calc'!N6*policy_term)/1000*$C$2)+SUM(('Worker Premium Calc'!J6*'Worker Premium Calc'!B6*'Worker Premium Calc'!O6*policy_term)/1000*$D$2)+SUM(('Worker Premium Calc'!J6*'Worker Premium Calc'!B6*'Worker Premium Calc'!P6*policy_term)/1000*$E$2))</f>
        <v>0</v>
      </c>
      <c r="E6" s="85">
        <f t="shared" ref="E6:E54" si="6">ROUND(SUM(C6:D6),2)</f>
        <v>0</v>
      </c>
      <c r="F6" s="46">
        <f t="shared" ref="F6:F36" si="7">IFERROR(ROUND((E6*(1+load_disc_perc)),5),0)</f>
        <v>0</v>
      </c>
      <c r="G6" s="46">
        <f t="shared" ref="G6:G36" si="8">ROUND((F6*medex_loading),3)</f>
        <v>0</v>
      </c>
      <c r="H6" s="85">
        <f t="shared" ref="H6:H36" si="9">ROUND((F6*od_loading),3)</f>
        <v>0</v>
      </c>
      <c r="I6" s="85">
        <f t="shared" ref="I6:I54" si="10">ROUND(SUM(F6:H6),2)</f>
        <v>0</v>
      </c>
      <c r="K6" s="85">
        <f>SUM((('Worker Premium Calc'!I6*'Worker Premium Calc'!B6*'Worker Premium Calc'!K6*policy_term)/1000*$K$2)+SUM(('Worker Premium Calc'!I6*'Worker Premium Calc'!B6*'Worker Premium Calc'!L6*policy_term)/1000*$L$2)+SUM(('Worker Premium Calc'!I6*'Worker Premium Calc'!B6*'Worker Premium Calc'!M6*policy_term)/1000*$M$2))</f>
        <v>0</v>
      </c>
      <c r="L6" s="85">
        <f>SUM((('Worker Premium Calc'!J6*'Worker Premium Calc'!B6*'Worker Premium Calc'!N6*policy_term)/1000*$K$2)+SUM(('Worker Premium Calc'!J6*'Worker Premium Calc'!B6*'Worker Premium Calc'!O6*policy_term)/1000*$L$2)+SUM(('Worker Premium Calc'!J6*'Worker Premium Calc'!B6*'Worker Premium Calc'!P6*policy_term)/1000*$M$2))</f>
        <v>0</v>
      </c>
      <c r="M6" s="85">
        <f t="shared" ref="M6:M54" si="11">ROUND(SUM(K6:L6),2)</f>
        <v>0</v>
      </c>
      <c r="N6" s="46">
        <f t="shared" si="0"/>
        <v>0</v>
      </c>
      <c r="O6" s="46">
        <f t="shared" si="1"/>
        <v>0</v>
      </c>
      <c r="P6" s="46">
        <f t="shared" si="2"/>
        <v>0</v>
      </c>
      <c r="Q6" s="46">
        <f t="shared" ref="Q6:Q54" si="12">ROUND(SUM(N6:P6),2)</f>
        <v>0</v>
      </c>
      <c r="S6" s="85">
        <f>SUM((('Worker Premium Calc'!I6*'Worker Premium Calc'!B6*'Worker Premium Calc'!K6*policy_term)/1000*$S$2)+SUM(('Worker Premium Calc'!I6*'Worker Premium Calc'!B6*'Worker Premium Calc'!L6*policy_term)/1000*$T$2)+SUM(('Worker Premium Calc'!I6*'Worker Premium Calc'!B6*'Worker Premium Calc'!M6*policy_term)/1000*$U$2))</f>
        <v>0</v>
      </c>
      <c r="T6" s="85">
        <f>SUM((('Worker Premium Calc'!J6*'Worker Premium Calc'!B6*'Worker Premium Calc'!N6*policy_term)/1000*$S$2)+SUM(('Worker Premium Calc'!J6*'Worker Premium Calc'!B6*'Worker Premium Calc'!O6*policy_term)/1000*$T$2)+SUM(('Worker Premium Calc'!J6*'Worker Premium Calc'!B6*'Worker Premium Calc'!P6*policy_term)/1000*$U$2))</f>
        <v>0</v>
      </c>
      <c r="U6" s="85">
        <f t="shared" ref="U6:U54" si="13">ROUND(SUM(S6:T6),2)</f>
        <v>0</v>
      </c>
      <c r="V6" s="46">
        <f t="shared" si="3"/>
        <v>0</v>
      </c>
      <c r="W6" s="46">
        <f t="shared" si="4"/>
        <v>0</v>
      </c>
      <c r="X6" s="46">
        <f t="shared" si="5"/>
        <v>0</v>
      </c>
      <c r="Y6" s="46">
        <f t="shared" ref="Y6:Y54" si="14">ROUND(SUM(V6:X6),2)</f>
        <v>0</v>
      </c>
    </row>
    <row r="7" spans="2:25" x14ac:dyDescent="0.3">
      <c r="B7" s="13" t="str">
        <f>'Worker Premium Calc'!C7</f>
        <v/>
      </c>
      <c r="C7" s="85">
        <f>SUM((('Worker Premium Calc'!I7*'Worker Premium Calc'!B7*'Worker Premium Calc'!K7*policy_term)/1000*$C$2)+SUM(('Worker Premium Calc'!I7*'Worker Premium Calc'!B7*'Worker Premium Calc'!L7*policy_term)/1000*$D$2)+SUM(('Worker Premium Calc'!I7*'Worker Premium Calc'!B7*'Worker Premium Calc'!M7*policy_term)/1000*$E$2))</f>
        <v>0</v>
      </c>
      <c r="D7" s="46">
        <f>SUM((('Worker Premium Calc'!J7*'Worker Premium Calc'!B7*'Worker Premium Calc'!N7*policy_term)/1000*$C$2)+SUM(('Worker Premium Calc'!J7*'Worker Premium Calc'!B7*'Worker Premium Calc'!O7*policy_term)/1000*$D$2)+SUM(('Worker Premium Calc'!J7*'Worker Premium Calc'!B7*'Worker Premium Calc'!P7*policy_term)/1000*$E$2))</f>
        <v>0</v>
      </c>
      <c r="E7" s="85">
        <f t="shared" si="6"/>
        <v>0</v>
      </c>
      <c r="F7" s="46">
        <f t="shared" si="7"/>
        <v>0</v>
      </c>
      <c r="G7" s="46">
        <f t="shared" si="8"/>
        <v>0</v>
      </c>
      <c r="H7" s="85">
        <f t="shared" si="9"/>
        <v>0</v>
      </c>
      <c r="I7" s="85">
        <f t="shared" si="10"/>
        <v>0</v>
      </c>
      <c r="K7" s="85">
        <f>SUM((('Worker Premium Calc'!I7*'Worker Premium Calc'!B7*'Worker Premium Calc'!K7*policy_term)/1000*$K$2)+SUM(('Worker Premium Calc'!I7*'Worker Premium Calc'!B7*'Worker Premium Calc'!L7*policy_term)/1000*$L$2)+SUM(('Worker Premium Calc'!I7*'Worker Premium Calc'!B7*'Worker Premium Calc'!M7*policy_term)/1000*$M$2))</f>
        <v>0</v>
      </c>
      <c r="L7" s="85">
        <f>SUM((('Worker Premium Calc'!J7*'Worker Premium Calc'!B7*'Worker Premium Calc'!N7*policy_term)/1000*$K$2)+SUM(('Worker Premium Calc'!J7*'Worker Premium Calc'!B7*'Worker Premium Calc'!O7*policy_term)/1000*$L$2)+SUM(('Worker Premium Calc'!J7*'Worker Premium Calc'!B7*'Worker Premium Calc'!P7*policy_term)/1000*$M$2))</f>
        <v>0</v>
      </c>
      <c r="M7" s="85">
        <f t="shared" si="11"/>
        <v>0</v>
      </c>
      <c r="N7" s="46">
        <f t="shared" si="0"/>
        <v>0</v>
      </c>
      <c r="O7" s="46">
        <f t="shared" si="1"/>
        <v>0</v>
      </c>
      <c r="P7" s="46">
        <f t="shared" si="2"/>
        <v>0</v>
      </c>
      <c r="Q7" s="46">
        <f t="shared" si="12"/>
        <v>0</v>
      </c>
      <c r="S7" s="85">
        <f>SUM((('Worker Premium Calc'!I7*'Worker Premium Calc'!B7*'Worker Premium Calc'!K7*policy_term)/1000*$S$2)+SUM(('Worker Premium Calc'!I7*'Worker Premium Calc'!B7*'Worker Premium Calc'!L7*policy_term)/1000*$T$2)+SUM(('Worker Premium Calc'!I7*'Worker Premium Calc'!B7*'Worker Premium Calc'!M7*policy_term)/1000*$U$2))</f>
        <v>0</v>
      </c>
      <c r="T7" s="85">
        <f>SUM((('Worker Premium Calc'!J7*'Worker Premium Calc'!B7*'Worker Premium Calc'!N7*policy_term)/1000*$S$2)+SUM(('Worker Premium Calc'!J7*'Worker Premium Calc'!B7*'Worker Premium Calc'!O7*policy_term)/1000*$T$2)+SUM(('Worker Premium Calc'!J7*'Worker Premium Calc'!B7*'Worker Premium Calc'!P7*policy_term)/1000*$U$2))</f>
        <v>0</v>
      </c>
      <c r="U7" s="85">
        <f t="shared" si="13"/>
        <v>0</v>
      </c>
      <c r="V7" s="46">
        <f t="shared" si="3"/>
        <v>0</v>
      </c>
      <c r="W7" s="46">
        <f t="shared" si="4"/>
        <v>0</v>
      </c>
      <c r="X7" s="46">
        <f t="shared" si="5"/>
        <v>0</v>
      </c>
      <c r="Y7" s="46">
        <f t="shared" si="14"/>
        <v>0</v>
      </c>
    </row>
    <row r="8" spans="2:25" x14ac:dyDescent="0.3">
      <c r="B8" s="13" t="str">
        <f>'Worker Premium Calc'!C8</f>
        <v/>
      </c>
      <c r="C8" s="85">
        <f>SUM((('Worker Premium Calc'!I8*'Worker Premium Calc'!B8*'Worker Premium Calc'!K8*policy_term)/1000*$C$2)+SUM(('Worker Premium Calc'!I8*'Worker Premium Calc'!B8*'Worker Premium Calc'!L8*policy_term)/1000*$D$2)+SUM(('Worker Premium Calc'!I8*'Worker Premium Calc'!B8*'Worker Premium Calc'!M8*policy_term)/1000*$E$2))</f>
        <v>0</v>
      </c>
      <c r="D8" s="46">
        <f>SUM((('Worker Premium Calc'!J8*'Worker Premium Calc'!B8*'Worker Premium Calc'!N8*policy_term)/1000*$C$2)+SUM(('Worker Premium Calc'!J8*'Worker Premium Calc'!B8*'Worker Premium Calc'!O8*policy_term)/1000*$D$2)+SUM(('Worker Premium Calc'!J8*'Worker Premium Calc'!B8*'Worker Premium Calc'!P8*policy_term)/1000*$E$2))</f>
        <v>0</v>
      </c>
      <c r="E8" s="85">
        <f t="shared" si="6"/>
        <v>0</v>
      </c>
      <c r="F8" s="46">
        <f t="shared" si="7"/>
        <v>0</v>
      </c>
      <c r="G8" s="46">
        <f t="shared" si="8"/>
        <v>0</v>
      </c>
      <c r="H8" s="85">
        <f t="shared" si="9"/>
        <v>0</v>
      </c>
      <c r="I8" s="85">
        <f t="shared" si="10"/>
        <v>0</v>
      </c>
      <c r="K8" s="85">
        <f>SUM((('Worker Premium Calc'!I8*'Worker Premium Calc'!B8*'Worker Premium Calc'!K8*policy_term)/1000*$K$2)+SUM(('Worker Premium Calc'!I8*'Worker Premium Calc'!B8*'Worker Premium Calc'!L8*policy_term)/1000*$L$2)+SUM(('Worker Premium Calc'!I8*'Worker Premium Calc'!B8*'Worker Premium Calc'!M8*policy_term)/1000*$M$2))</f>
        <v>0</v>
      </c>
      <c r="L8" s="85">
        <f>SUM((('Worker Premium Calc'!J8*'Worker Premium Calc'!B8*'Worker Premium Calc'!N8*policy_term)/1000*$K$2)+SUM(('Worker Premium Calc'!J8*'Worker Premium Calc'!B8*'Worker Premium Calc'!O8*policy_term)/1000*$L$2)+SUM(('Worker Premium Calc'!J8*'Worker Premium Calc'!B8*'Worker Premium Calc'!P8*policy_term)/1000*$M$2))</f>
        <v>0</v>
      </c>
      <c r="M8" s="85">
        <f t="shared" si="11"/>
        <v>0</v>
      </c>
      <c r="N8" s="46">
        <f t="shared" si="0"/>
        <v>0</v>
      </c>
      <c r="O8" s="46">
        <f t="shared" si="1"/>
        <v>0</v>
      </c>
      <c r="P8" s="46">
        <f t="shared" si="2"/>
        <v>0</v>
      </c>
      <c r="Q8" s="46">
        <f t="shared" si="12"/>
        <v>0</v>
      </c>
      <c r="S8" s="85">
        <f>SUM((('Worker Premium Calc'!I8*'Worker Premium Calc'!B8*'Worker Premium Calc'!K8*policy_term)/1000*$S$2)+SUM(('Worker Premium Calc'!I8*'Worker Premium Calc'!B8*'Worker Premium Calc'!L8*policy_term)/1000*$T$2)+SUM(('Worker Premium Calc'!I8*'Worker Premium Calc'!B8*'Worker Premium Calc'!M8*policy_term)/1000*$U$2))</f>
        <v>0</v>
      </c>
      <c r="T8" s="85">
        <f>SUM((('Worker Premium Calc'!J8*'Worker Premium Calc'!B8*'Worker Premium Calc'!N8*policy_term)/1000*$S$2)+SUM(('Worker Premium Calc'!J8*'Worker Premium Calc'!B8*'Worker Premium Calc'!O8*policy_term)/1000*$T$2)+SUM(('Worker Premium Calc'!J8*'Worker Premium Calc'!B8*'Worker Premium Calc'!P8*policy_term)/1000*$U$2))</f>
        <v>0</v>
      </c>
      <c r="U8" s="85">
        <f t="shared" si="13"/>
        <v>0</v>
      </c>
      <c r="V8" s="46">
        <f t="shared" si="3"/>
        <v>0</v>
      </c>
      <c r="W8" s="46">
        <f t="shared" si="4"/>
        <v>0</v>
      </c>
      <c r="X8" s="46">
        <f t="shared" si="5"/>
        <v>0</v>
      </c>
      <c r="Y8" s="46">
        <f t="shared" si="14"/>
        <v>0</v>
      </c>
    </row>
    <row r="9" spans="2:25" x14ac:dyDescent="0.3">
      <c r="B9" s="13" t="str">
        <f>'Worker Premium Calc'!C9</f>
        <v/>
      </c>
      <c r="C9" s="85">
        <f>SUM((('Worker Premium Calc'!I9*'Worker Premium Calc'!B9*'Worker Premium Calc'!K9*policy_term)/1000*$C$2)+SUM(('Worker Premium Calc'!I9*'Worker Premium Calc'!B9*'Worker Premium Calc'!L9*policy_term)/1000*$D$2)+SUM(('Worker Premium Calc'!I9*'Worker Premium Calc'!B9*'Worker Premium Calc'!M9*policy_term)/1000*$E$2))</f>
        <v>0</v>
      </c>
      <c r="D9" s="46">
        <f>SUM((('Worker Premium Calc'!J9*'Worker Premium Calc'!B9*'Worker Premium Calc'!N9*policy_term)/1000*$C$2)+SUM(('Worker Premium Calc'!J9*'Worker Premium Calc'!B9*'Worker Premium Calc'!O9*policy_term)/1000*$D$2)+SUM(('Worker Premium Calc'!J9*'Worker Premium Calc'!B9*'Worker Premium Calc'!P9*policy_term)/1000*$E$2))</f>
        <v>0</v>
      </c>
      <c r="E9" s="85">
        <f t="shared" si="6"/>
        <v>0</v>
      </c>
      <c r="F9" s="46">
        <f t="shared" si="7"/>
        <v>0</v>
      </c>
      <c r="G9" s="46">
        <f t="shared" si="8"/>
        <v>0</v>
      </c>
      <c r="H9" s="85">
        <f t="shared" si="9"/>
        <v>0</v>
      </c>
      <c r="I9" s="85">
        <f t="shared" si="10"/>
        <v>0</v>
      </c>
      <c r="K9" s="85">
        <f>SUM((('Worker Premium Calc'!I9*'Worker Premium Calc'!B9*'Worker Premium Calc'!K9*policy_term)/1000*$K$2)+SUM(('Worker Premium Calc'!I9*'Worker Premium Calc'!B9*'Worker Premium Calc'!L9*policy_term)/1000*$L$2)+SUM(('Worker Premium Calc'!I9*'Worker Premium Calc'!B9*'Worker Premium Calc'!M9*policy_term)/1000*$M$2))</f>
        <v>0</v>
      </c>
      <c r="L9" s="85">
        <f>SUM((('Worker Premium Calc'!J9*'Worker Premium Calc'!B9*'Worker Premium Calc'!N9*policy_term)/1000*$K$2)+SUM(('Worker Premium Calc'!J9*'Worker Premium Calc'!B9*'Worker Premium Calc'!O9*policy_term)/1000*$L$2)+SUM(('Worker Premium Calc'!J9*'Worker Premium Calc'!B9*'Worker Premium Calc'!P9*policy_term)/1000*$M$2))</f>
        <v>0</v>
      </c>
      <c r="M9" s="85">
        <f t="shared" si="11"/>
        <v>0</v>
      </c>
      <c r="N9" s="46">
        <f t="shared" si="0"/>
        <v>0</v>
      </c>
      <c r="O9" s="46">
        <f t="shared" si="1"/>
        <v>0</v>
      </c>
      <c r="P9" s="46">
        <f t="shared" si="2"/>
        <v>0</v>
      </c>
      <c r="Q9" s="46">
        <f t="shared" si="12"/>
        <v>0</v>
      </c>
      <c r="S9" s="85">
        <f>SUM((('Worker Premium Calc'!I9*'Worker Premium Calc'!B9*'Worker Premium Calc'!K9*policy_term)/1000*$S$2)+SUM(('Worker Premium Calc'!I9*'Worker Premium Calc'!B9*'Worker Premium Calc'!L9*policy_term)/1000*$T$2)+SUM(('Worker Premium Calc'!I9*'Worker Premium Calc'!B9*'Worker Premium Calc'!M9*policy_term)/1000*$U$2))</f>
        <v>0</v>
      </c>
      <c r="T9" s="85">
        <f>SUM((('Worker Premium Calc'!J9*'Worker Premium Calc'!B9*'Worker Premium Calc'!N9*policy_term)/1000*$S$2)+SUM(('Worker Premium Calc'!J9*'Worker Premium Calc'!B9*'Worker Premium Calc'!O9*policy_term)/1000*$T$2)+SUM(('Worker Premium Calc'!J9*'Worker Premium Calc'!B9*'Worker Premium Calc'!P9*policy_term)/1000*$U$2))</f>
        <v>0</v>
      </c>
      <c r="U9" s="85">
        <f t="shared" si="13"/>
        <v>0</v>
      </c>
      <c r="V9" s="46">
        <f t="shared" si="3"/>
        <v>0</v>
      </c>
      <c r="W9" s="46">
        <f t="shared" si="4"/>
        <v>0</v>
      </c>
      <c r="X9" s="46">
        <f t="shared" si="5"/>
        <v>0</v>
      </c>
      <c r="Y9" s="46">
        <f t="shared" si="14"/>
        <v>0</v>
      </c>
    </row>
    <row r="10" spans="2:25" x14ac:dyDescent="0.3">
      <c r="B10" s="13" t="str">
        <f>'Worker Premium Calc'!C10</f>
        <v/>
      </c>
      <c r="C10" s="85">
        <f>SUM((('Worker Premium Calc'!I10*'Worker Premium Calc'!B10*'Worker Premium Calc'!K10*policy_term)/1000*$C$2)+SUM(('Worker Premium Calc'!I10*'Worker Premium Calc'!B10*'Worker Premium Calc'!L10*policy_term)/1000*$D$2)+SUM(('Worker Premium Calc'!I10*'Worker Premium Calc'!B10*'Worker Premium Calc'!M10*policy_term)/1000*$E$2))</f>
        <v>0</v>
      </c>
      <c r="D10" s="46">
        <f>SUM((('Worker Premium Calc'!J10*'Worker Premium Calc'!B10*'Worker Premium Calc'!N10*policy_term)/1000*$C$2)+SUM(('Worker Premium Calc'!J10*'Worker Premium Calc'!B10*'Worker Premium Calc'!O10*policy_term)/1000*$D$2)+SUM(('Worker Premium Calc'!J10*'Worker Premium Calc'!B10*'Worker Premium Calc'!P10*policy_term)/1000*$E$2))</f>
        <v>0</v>
      </c>
      <c r="E10" s="85">
        <f t="shared" si="6"/>
        <v>0</v>
      </c>
      <c r="F10" s="46">
        <f t="shared" si="7"/>
        <v>0</v>
      </c>
      <c r="G10" s="46">
        <f t="shared" si="8"/>
        <v>0</v>
      </c>
      <c r="H10" s="85">
        <f t="shared" si="9"/>
        <v>0</v>
      </c>
      <c r="I10" s="85">
        <f t="shared" si="10"/>
        <v>0</v>
      </c>
      <c r="K10" s="85">
        <f>SUM((('Worker Premium Calc'!I10*'Worker Premium Calc'!B10*'Worker Premium Calc'!K10*policy_term)/1000*$K$2)+SUM(('Worker Premium Calc'!I10*'Worker Premium Calc'!B10*'Worker Premium Calc'!L10*policy_term)/1000*$L$2)+SUM(('Worker Premium Calc'!I10*'Worker Premium Calc'!B10*'Worker Premium Calc'!M10*policy_term)/1000*$M$2))</f>
        <v>0</v>
      </c>
      <c r="L10" s="85">
        <f>SUM((('Worker Premium Calc'!J10*'Worker Premium Calc'!B10*'Worker Premium Calc'!N10*policy_term)/1000*$K$2)+SUM(('Worker Premium Calc'!J10*'Worker Premium Calc'!B10*'Worker Premium Calc'!O10*policy_term)/1000*$L$2)+SUM(('Worker Premium Calc'!J10*'Worker Premium Calc'!B10*'Worker Premium Calc'!P10*policy_term)/1000*$M$2))</f>
        <v>0</v>
      </c>
      <c r="M10" s="85">
        <f t="shared" si="11"/>
        <v>0</v>
      </c>
      <c r="N10" s="46">
        <f t="shared" si="0"/>
        <v>0</v>
      </c>
      <c r="O10" s="46">
        <f t="shared" si="1"/>
        <v>0</v>
      </c>
      <c r="P10" s="46">
        <f t="shared" si="2"/>
        <v>0</v>
      </c>
      <c r="Q10" s="46">
        <f t="shared" si="12"/>
        <v>0</v>
      </c>
      <c r="S10" s="85">
        <f>SUM((('Worker Premium Calc'!I10*'Worker Premium Calc'!B10*'Worker Premium Calc'!K10*policy_term)/1000*$S$2)+SUM(('Worker Premium Calc'!I10*'Worker Premium Calc'!B10*'Worker Premium Calc'!L10*policy_term)/1000*$T$2)+SUM(('Worker Premium Calc'!I10*'Worker Premium Calc'!B10*'Worker Premium Calc'!M10*policy_term)/1000*$U$2))</f>
        <v>0</v>
      </c>
      <c r="T10" s="85">
        <f>SUM((('Worker Premium Calc'!J10*'Worker Premium Calc'!B10*'Worker Premium Calc'!N10*policy_term)/1000*$S$2)+SUM(('Worker Premium Calc'!J10*'Worker Premium Calc'!B10*'Worker Premium Calc'!O10*policy_term)/1000*$T$2)+SUM(('Worker Premium Calc'!J10*'Worker Premium Calc'!B10*'Worker Premium Calc'!P10*policy_term)/1000*$U$2))</f>
        <v>0</v>
      </c>
      <c r="U10" s="85">
        <f t="shared" si="13"/>
        <v>0</v>
      </c>
      <c r="V10" s="46">
        <f t="shared" si="3"/>
        <v>0</v>
      </c>
      <c r="W10" s="46">
        <f t="shared" si="4"/>
        <v>0</v>
      </c>
      <c r="X10" s="46">
        <f t="shared" si="5"/>
        <v>0</v>
      </c>
      <c r="Y10" s="46">
        <f t="shared" si="14"/>
        <v>0</v>
      </c>
    </row>
    <row r="11" spans="2:25" x14ac:dyDescent="0.3">
      <c r="B11" s="13" t="str">
        <f>'Worker Premium Calc'!C11</f>
        <v/>
      </c>
      <c r="C11" s="85">
        <f>SUM((('Worker Premium Calc'!I11*'Worker Premium Calc'!B11*'Worker Premium Calc'!K11*policy_term)/1000*$C$2)+SUM(('Worker Premium Calc'!I11*'Worker Premium Calc'!B11*'Worker Premium Calc'!L11*policy_term)/1000*$D$2)+SUM(('Worker Premium Calc'!I11*'Worker Premium Calc'!B11*'Worker Premium Calc'!M11*policy_term)/1000*$E$2))</f>
        <v>0</v>
      </c>
      <c r="D11" s="46">
        <f>SUM((('Worker Premium Calc'!J11*'Worker Premium Calc'!B11*'Worker Premium Calc'!N11*policy_term)/1000*$C$2)+SUM(('Worker Premium Calc'!J11*'Worker Premium Calc'!B11*'Worker Premium Calc'!O11*policy_term)/1000*$D$2)+SUM(('Worker Premium Calc'!J11*'Worker Premium Calc'!B11*'Worker Premium Calc'!P11*policy_term)/1000*$E$2))</f>
        <v>0</v>
      </c>
      <c r="E11" s="85">
        <f t="shared" si="6"/>
        <v>0</v>
      </c>
      <c r="F11" s="46">
        <f t="shared" si="7"/>
        <v>0</v>
      </c>
      <c r="G11" s="46">
        <f t="shared" si="8"/>
        <v>0</v>
      </c>
      <c r="H11" s="85">
        <f t="shared" si="9"/>
        <v>0</v>
      </c>
      <c r="I11" s="85">
        <f t="shared" si="10"/>
        <v>0</v>
      </c>
      <c r="K11" s="85">
        <f>SUM((('Worker Premium Calc'!I11*'Worker Premium Calc'!B11*'Worker Premium Calc'!K11*policy_term)/1000*$K$2)+SUM(('Worker Premium Calc'!I11*'Worker Premium Calc'!B11*'Worker Premium Calc'!L11*policy_term)/1000*$L$2)+SUM(('Worker Premium Calc'!I11*'Worker Premium Calc'!B11*'Worker Premium Calc'!M11*policy_term)/1000*$M$2))</f>
        <v>0</v>
      </c>
      <c r="L11" s="85">
        <f>SUM((('Worker Premium Calc'!J11*'Worker Premium Calc'!B11*'Worker Premium Calc'!N11*policy_term)/1000*$K$2)+SUM(('Worker Premium Calc'!J11*'Worker Premium Calc'!B11*'Worker Premium Calc'!O11*policy_term)/1000*$L$2)+SUM(('Worker Premium Calc'!J11*'Worker Premium Calc'!B11*'Worker Premium Calc'!P11*policy_term)/1000*$M$2))</f>
        <v>0</v>
      </c>
      <c r="M11" s="85">
        <f t="shared" si="11"/>
        <v>0</v>
      </c>
      <c r="N11" s="46">
        <f t="shared" si="0"/>
        <v>0</v>
      </c>
      <c r="O11" s="46">
        <f t="shared" si="1"/>
        <v>0</v>
      </c>
      <c r="P11" s="46">
        <f t="shared" si="2"/>
        <v>0</v>
      </c>
      <c r="Q11" s="46">
        <f t="shared" si="12"/>
        <v>0</v>
      </c>
      <c r="S11" s="85">
        <f>SUM((('Worker Premium Calc'!I11*'Worker Premium Calc'!B11*'Worker Premium Calc'!K11*policy_term)/1000*$S$2)+SUM(('Worker Premium Calc'!I11*'Worker Premium Calc'!B11*'Worker Premium Calc'!L11*policy_term)/1000*$T$2)+SUM(('Worker Premium Calc'!I11*'Worker Premium Calc'!B11*'Worker Premium Calc'!M11*policy_term)/1000*$U$2))</f>
        <v>0</v>
      </c>
      <c r="T11" s="85">
        <f>SUM((('Worker Premium Calc'!J11*'Worker Premium Calc'!B11*'Worker Premium Calc'!N11*policy_term)/1000*$S$2)+SUM(('Worker Premium Calc'!J11*'Worker Premium Calc'!B11*'Worker Premium Calc'!O11*policy_term)/1000*$T$2)+SUM(('Worker Premium Calc'!J11*'Worker Premium Calc'!B11*'Worker Premium Calc'!P11*policy_term)/1000*$U$2))</f>
        <v>0</v>
      </c>
      <c r="U11" s="85">
        <f t="shared" si="13"/>
        <v>0</v>
      </c>
      <c r="V11" s="46">
        <f t="shared" si="3"/>
        <v>0</v>
      </c>
      <c r="W11" s="46">
        <f t="shared" si="4"/>
        <v>0</v>
      </c>
      <c r="X11" s="46">
        <f t="shared" si="5"/>
        <v>0</v>
      </c>
      <c r="Y11" s="46">
        <f t="shared" si="14"/>
        <v>0</v>
      </c>
    </row>
    <row r="12" spans="2:25" x14ac:dyDescent="0.3">
      <c r="B12" s="13" t="str">
        <f>'Worker Premium Calc'!C12</f>
        <v/>
      </c>
      <c r="C12" s="85">
        <f>SUM((('Worker Premium Calc'!I12*'Worker Premium Calc'!B12*'Worker Premium Calc'!K12*policy_term)/1000*$C$2)+SUM(('Worker Premium Calc'!I12*'Worker Premium Calc'!B12*'Worker Premium Calc'!L12*policy_term)/1000*$D$2)+SUM(('Worker Premium Calc'!I12*'Worker Premium Calc'!B12*'Worker Premium Calc'!M12*policy_term)/1000*$E$2))</f>
        <v>0</v>
      </c>
      <c r="D12" s="46">
        <f>SUM((('Worker Premium Calc'!J12*'Worker Premium Calc'!B12*'Worker Premium Calc'!N12*policy_term)/1000*$C$2)+SUM(('Worker Premium Calc'!J12*'Worker Premium Calc'!B12*'Worker Premium Calc'!O12*policy_term)/1000*$D$2)+SUM(('Worker Premium Calc'!J12*'Worker Premium Calc'!B12*'Worker Premium Calc'!P12*policy_term)/1000*$E$2))</f>
        <v>0</v>
      </c>
      <c r="E12" s="85">
        <f t="shared" si="6"/>
        <v>0</v>
      </c>
      <c r="F12" s="46">
        <f t="shared" si="7"/>
        <v>0</v>
      </c>
      <c r="G12" s="46">
        <f t="shared" si="8"/>
        <v>0</v>
      </c>
      <c r="H12" s="85">
        <f t="shared" si="9"/>
        <v>0</v>
      </c>
      <c r="I12" s="85">
        <f t="shared" si="10"/>
        <v>0</v>
      </c>
      <c r="K12" s="85">
        <f>SUM((('Worker Premium Calc'!I12*'Worker Premium Calc'!B12*'Worker Premium Calc'!K12*policy_term)/1000*$K$2)+SUM(('Worker Premium Calc'!I12*'Worker Premium Calc'!B12*'Worker Premium Calc'!L12*policy_term)/1000*$L$2)+SUM(('Worker Premium Calc'!I12*'Worker Premium Calc'!B12*'Worker Premium Calc'!M12*policy_term)/1000*$M$2))</f>
        <v>0</v>
      </c>
      <c r="L12" s="85">
        <f>SUM((('Worker Premium Calc'!J12*'Worker Premium Calc'!B12*'Worker Premium Calc'!N12*policy_term)/1000*$K$2)+SUM(('Worker Premium Calc'!J12*'Worker Premium Calc'!B12*'Worker Premium Calc'!O12*policy_term)/1000*$L$2)+SUM(('Worker Premium Calc'!J12*'Worker Premium Calc'!B12*'Worker Premium Calc'!P12*policy_term)/1000*$M$2))</f>
        <v>0</v>
      </c>
      <c r="M12" s="85">
        <f t="shared" si="11"/>
        <v>0</v>
      </c>
      <c r="N12" s="46">
        <f t="shared" si="0"/>
        <v>0</v>
      </c>
      <c r="O12" s="46">
        <f t="shared" si="1"/>
        <v>0</v>
      </c>
      <c r="P12" s="46">
        <f t="shared" si="2"/>
        <v>0</v>
      </c>
      <c r="Q12" s="46">
        <f t="shared" si="12"/>
        <v>0</v>
      </c>
      <c r="S12" s="85">
        <f>SUM((('Worker Premium Calc'!I12*'Worker Premium Calc'!B12*'Worker Premium Calc'!K12*policy_term)/1000*$S$2)+SUM(('Worker Premium Calc'!I12*'Worker Premium Calc'!B12*'Worker Premium Calc'!L12*policy_term)/1000*$T$2)+SUM(('Worker Premium Calc'!I12*'Worker Premium Calc'!B12*'Worker Premium Calc'!M12*policy_term)/1000*$U$2))</f>
        <v>0</v>
      </c>
      <c r="T12" s="85">
        <f>SUM((('Worker Premium Calc'!J12*'Worker Premium Calc'!B12*'Worker Premium Calc'!N12*policy_term)/1000*$S$2)+SUM(('Worker Premium Calc'!J12*'Worker Premium Calc'!B12*'Worker Premium Calc'!O12*policy_term)/1000*$T$2)+SUM(('Worker Premium Calc'!J12*'Worker Premium Calc'!B12*'Worker Premium Calc'!P12*policy_term)/1000*$U$2))</f>
        <v>0</v>
      </c>
      <c r="U12" s="85">
        <f t="shared" si="13"/>
        <v>0</v>
      </c>
      <c r="V12" s="46">
        <f t="shared" si="3"/>
        <v>0</v>
      </c>
      <c r="W12" s="46">
        <f t="shared" si="4"/>
        <v>0</v>
      </c>
      <c r="X12" s="46">
        <f t="shared" si="5"/>
        <v>0</v>
      </c>
      <c r="Y12" s="46">
        <f t="shared" si="14"/>
        <v>0</v>
      </c>
    </row>
    <row r="13" spans="2:25" x14ac:dyDescent="0.3">
      <c r="B13" s="13" t="str">
        <f>'Worker Premium Calc'!C13</f>
        <v/>
      </c>
      <c r="C13" s="85">
        <f>SUM((('Worker Premium Calc'!I13*'Worker Premium Calc'!B13*'Worker Premium Calc'!K13*policy_term)/1000*$C$2)+SUM(('Worker Premium Calc'!I13*'Worker Premium Calc'!B13*'Worker Premium Calc'!L13*policy_term)/1000*$D$2)+SUM(('Worker Premium Calc'!I13*'Worker Premium Calc'!B13*'Worker Premium Calc'!M13*policy_term)/1000*$E$2))</f>
        <v>0</v>
      </c>
      <c r="D13" s="46">
        <f>SUM((('Worker Premium Calc'!J13*'Worker Premium Calc'!B13*'Worker Premium Calc'!N13*policy_term)/1000*$C$2)+SUM(('Worker Premium Calc'!J13*'Worker Premium Calc'!B13*'Worker Premium Calc'!O13*policy_term)/1000*$D$2)+SUM(('Worker Premium Calc'!J13*'Worker Premium Calc'!B13*'Worker Premium Calc'!P13*policy_term)/1000*$E$2))</f>
        <v>0</v>
      </c>
      <c r="E13" s="85">
        <f t="shared" si="6"/>
        <v>0</v>
      </c>
      <c r="F13" s="46">
        <f t="shared" si="7"/>
        <v>0</v>
      </c>
      <c r="G13" s="46">
        <f t="shared" si="8"/>
        <v>0</v>
      </c>
      <c r="H13" s="85">
        <f t="shared" si="9"/>
        <v>0</v>
      </c>
      <c r="I13" s="85">
        <f t="shared" si="10"/>
        <v>0</v>
      </c>
      <c r="K13" s="85">
        <f>SUM((('Worker Premium Calc'!I13*'Worker Premium Calc'!B13*'Worker Premium Calc'!K13*policy_term)/1000*$K$2)+SUM(('Worker Premium Calc'!I13*'Worker Premium Calc'!B13*'Worker Premium Calc'!L13*policy_term)/1000*$L$2)+SUM(('Worker Premium Calc'!I13*'Worker Premium Calc'!B13*'Worker Premium Calc'!M13*policy_term)/1000*$M$2))</f>
        <v>0</v>
      </c>
      <c r="L13" s="85">
        <f>SUM((('Worker Premium Calc'!J13*'Worker Premium Calc'!B13*'Worker Premium Calc'!N13*policy_term)/1000*$K$2)+SUM(('Worker Premium Calc'!J13*'Worker Premium Calc'!B13*'Worker Premium Calc'!O13*policy_term)/1000*$L$2)+SUM(('Worker Premium Calc'!J13*'Worker Premium Calc'!B13*'Worker Premium Calc'!P13*policy_term)/1000*$M$2))</f>
        <v>0</v>
      </c>
      <c r="M13" s="85">
        <f t="shared" si="11"/>
        <v>0</v>
      </c>
      <c r="N13" s="46">
        <f t="shared" si="0"/>
        <v>0</v>
      </c>
      <c r="O13" s="46">
        <f t="shared" si="1"/>
        <v>0</v>
      </c>
      <c r="P13" s="46">
        <f t="shared" si="2"/>
        <v>0</v>
      </c>
      <c r="Q13" s="46">
        <f t="shared" si="12"/>
        <v>0</v>
      </c>
      <c r="S13" s="85">
        <f>SUM((('Worker Premium Calc'!I13*'Worker Premium Calc'!B13*'Worker Premium Calc'!K13*policy_term)/1000*$S$2)+SUM(('Worker Premium Calc'!I13*'Worker Premium Calc'!B13*'Worker Premium Calc'!L13*policy_term)/1000*$T$2)+SUM(('Worker Premium Calc'!I13*'Worker Premium Calc'!B13*'Worker Premium Calc'!M13*policy_term)/1000*$U$2))</f>
        <v>0</v>
      </c>
      <c r="T13" s="85">
        <f>SUM((('Worker Premium Calc'!J13*'Worker Premium Calc'!B13*'Worker Premium Calc'!N13*policy_term)/1000*$S$2)+SUM(('Worker Premium Calc'!J13*'Worker Premium Calc'!B13*'Worker Premium Calc'!O13*policy_term)/1000*$T$2)+SUM(('Worker Premium Calc'!J13*'Worker Premium Calc'!B13*'Worker Premium Calc'!P13*policy_term)/1000*$U$2))</f>
        <v>0</v>
      </c>
      <c r="U13" s="85">
        <f t="shared" si="13"/>
        <v>0</v>
      </c>
      <c r="V13" s="46">
        <f t="shared" si="3"/>
        <v>0</v>
      </c>
      <c r="W13" s="46">
        <f t="shared" si="4"/>
        <v>0</v>
      </c>
      <c r="X13" s="46">
        <f t="shared" si="5"/>
        <v>0</v>
      </c>
      <c r="Y13" s="46">
        <f t="shared" si="14"/>
        <v>0</v>
      </c>
    </row>
    <row r="14" spans="2:25" x14ac:dyDescent="0.3">
      <c r="B14" s="13" t="str">
        <f>'Worker Premium Calc'!C14</f>
        <v/>
      </c>
      <c r="C14" s="85">
        <f>SUM((('Worker Premium Calc'!I14*'Worker Premium Calc'!B14*'Worker Premium Calc'!K14*policy_term)/1000*$C$2)+SUM(('Worker Premium Calc'!I14*'Worker Premium Calc'!B14*'Worker Premium Calc'!L14*policy_term)/1000*$D$2)+SUM(('Worker Premium Calc'!I14*'Worker Premium Calc'!B14*'Worker Premium Calc'!M14*policy_term)/1000*$E$2))</f>
        <v>0</v>
      </c>
      <c r="D14" s="46">
        <f>SUM((('Worker Premium Calc'!J14*'Worker Premium Calc'!B14*'Worker Premium Calc'!N14*policy_term)/1000*$C$2)+SUM(('Worker Premium Calc'!J14*'Worker Premium Calc'!B14*'Worker Premium Calc'!O14*policy_term)/1000*$D$2)+SUM(('Worker Premium Calc'!J14*'Worker Premium Calc'!B14*'Worker Premium Calc'!P14*policy_term)/1000*$E$2))</f>
        <v>0</v>
      </c>
      <c r="E14" s="85">
        <f t="shared" si="6"/>
        <v>0</v>
      </c>
      <c r="F14" s="46">
        <f t="shared" si="7"/>
        <v>0</v>
      </c>
      <c r="G14" s="46">
        <f t="shared" si="8"/>
        <v>0</v>
      </c>
      <c r="H14" s="85">
        <f t="shared" si="9"/>
        <v>0</v>
      </c>
      <c r="I14" s="85">
        <f t="shared" si="10"/>
        <v>0</v>
      </c>
      <c r="K14" s="85">
        <f>SUM((('Worker Premium Calc'!I14*'Worker Premium Calc'!B14*'Worker Premium Calc'!K14*policy_term)/1000*$K$2)+SUM(('Worker Premium Calc'!I14*'Worker Premium Calc'!B14*'Worker Premium Calc'!L14*policy_term)/1000*$L$2)+SUM(('Worker Premium Calc'!I14*'Worker Premium Calc'!B14*'Worker Premium Calc'!M14*policy_term)/1000*$M$2))</f>
        <v>0</v>
      </c>
      <c r="L14" s="85">
        <f>SUM((('Worker Premium Calc'!J14*'Worker Premium Calc'!B14*'Worker Premium Calc'!N14*policy_term)/1000*$K$2)+SUM(('Worker Premium Calc'!J14*'Worker Premium Calc'!B14*'Worker Premium Calc'!O14*policy_term)/1000*$L$2)+SUM(('Worker Premium Calc'!J14*'Worker Premium Calc'!B14*'Worker Premium Calc'!P14*policy_term)/1000*$M$2))</f>
        <v>0</v>
      </c>
      <c r="M14" s="85">
        <f t="shared" si="11"/>
        <v>0</v>
      </c>
      <c r="N14" s="46">
        <f t="shared" si="0"/>
        <v>0</v>
      </c>
      <c r="O14" s="46">
        <f t="shared" si="1"/>
        <v>0</v>
      </c>
      <c r="P14" s="46">
        <f t="shared" si="2"/>
        <v>0</v>
      </c>
      <c r="Q14" s="46">
        <f t="shared" si="12"/>
        <v>0</v>
      </c>
      <c r="S14" s="85">
        <f>SUM((('Worker Premium Calc'!I14*'Worker Premium Calc'!B14*'Worker Premium Calc'!K14*policy_term)/1000*$S$2)+SUM(('Worker Premium Calc'!I14*'Worker Premium Calc'!B14*'Worker Premium Calc'!L14*policy_term)/1000*$T$2)+SUM(('Worker Premium Calc'!I14*'Worker Premium Calc'!B14*'Worker Premium Calc'!M14*policy_term)/1000*$U$2))</f>
        <v>0</v>
      </c>
      <c r="T14" s="85">
        <f>SUM((('Worker Premium Calc'!J14*'Worker Premium Calc'!B14*'Worker Premium Calc'!N14*policy_term)/1000*$S$2)+SUM(('Worker Premium Calc'!J14*'Worker Premium Calc'!B14*'Worker Premium Calc'!O14*policy_term)/1000*$T$2)+SUM(('Worker Premium Calc'!J14*'Worker Premium Calc'!B14*'Worker Premium Calc'!P14*policy_term)/1000*$U$2))</f>
        <v>0</v>
      </c>
      <c r="U14" s="85">
        <f t="shared" si="13"/>
        <v>0</v>
      </c>
      <c r="V14" s="46">
        <f t="shared" si="3"/>
        <v>0</v>
      </c>
      <c r="W14" s="46">
        <f t="shared" si="4"/>
        <v>0</v>
      </c>
      <c r="X14" s="46">
        <f t="shared" si="5"/>
        <v>0</v>
      </c>
      <c r="Y14" s="46">
        <f t="shared" si="14"/>
        <v>0</v>
      </c>
    </row>
    <row r="15" spans="2:25" x14ac:dyDescent="0.3">
      <c r="B15" s="13" t="str">
        <f>'Worker Premium Calc'!C15</f>
        <v/>
      </c>
      <c r="C15" s="85">
        <f>SUM((('Worker Premium Calc'!I15*'Worker Premium Calc'!B15*'Worker Premium Calc'!K15*policy_term)/1000*$C$2)+SUM(('Worker Premium Calc'!I15*'Worker Premium Calc'!B15*'Worker Premium Calc'!L15*policy_term)/1000*$D$2)+SUM(('Worker Premium Calc'!I15*'Worker Premium Calc'!B15*'Worker Premium Calc'!M15*policy_term)/1000*$E$2))</f>
        <v>0</v>
      </c>
      <c r="D15" s="46">
        <f>SUM((('Worker Premium Calc'!J15*'Worker Premium Calc'!B15*'Worker Premium Calc'!N15*policy_term)/1000*$C$2)+SUM(('Worker Premium Calc'!J15*'Worker Premium Calc'!B15*'Worker Premium Calc'!O15*policy_term)/1000*$D$2)+SUM(('Worker Premium Calc'!J15*'Worker Premium Calc'!B15*'Worker Premium Calc'!P15*policy_term)/1000*$E$2))</f>
        <v>0</v>
      </c>
      <c r="E15" s="85">
        <f t="shared" si="6"/>
        <v>0</v>
      </c>
      <c r="F15" s="46">
        <f t="shared" si="7"/>
        <v>0</v>
      </c>
      <c r="G15" s="46">
        <f t="shared" si="8"/>
        <v>0</v>
      </c>
      <c r="H15" s="85">
        <f t="shared" si="9"/>
        <v>0</v>
      </c>
      <c r="I15" s="85">
        <f t="shared" si="10"/>
        <v>0</v>
      </c>
      <c r="K15" s="85">
        <f>SUM((('Worker Premium Calc'!I15*'Worker Premium Calc'!B15*'Worker Premium Calc'!K15*policy_term)/1000*$K$2)+SUM(('Worker Premium Calc'!I15*'Worker Premium Calc'!B15*'Worker Premium Calc'!L15*policy_term)/1000*$L$2)+SUM(('Worker Premium Calc'!I15*'Worker Premium Calc'!B15*'Worker Premium Calc'!M15*policy_term)/1000*$M$2))</f>
        <v>0</v>
      </c>
      <c r="L15" s="85">
        <f>SUM((('Worker Premium Calc'!J15*'Worker Premium Calc'!B15*'Worker Premium Calc'!N15*policy_term)/1000*$K$2)+SUM(('Worker Premium Calc'!J15*'Worker Premium Calc'!B15*'Worker Premium Calc'!O15*policy_term)/1000*$L$2)+SUM(('Worker Premium Calc'!J15*'Worker Premium Calc'!B15*'Worker Premium Calc'!P15*policy_term)/1000*$M$2))</f>
        <v>0</v>
      </c>
      <c r="M15" s="85">
        <f t="shared" si="11"/>
        <v>0</v>
      </c>
      <c r="N15" s="46">
        <f t="shared" si="0"/>
        <v>0</v>
      </c>
      <c r="O15" s="46">
        <f t="shared" si="1"/>
        <v>0</v>
      </c>
      <c r="P15" s="46">
        <f t="shared" si="2"/>
        <v>0</v>
      </c>
      <c r="Q15" s="46">
        <f t="shared" si="12"/>
        <v>0</v>
      </c>
      <c r="S15" s="85">
        <f>SUM((('Worker Premium Calc'!I15*'Worker Premium Calc'!B15*'Worker Premium Calc'!K15*policy_term)/1000*$S$2)+SUM(('Worker Premium Calc'!I15*'Worker Premium Calc'!B15*'Worker Premium Calc'!L15*policy_term)/1000*$T$2)+SUM(('Worker Premium Calc'!I15*'Worker Premium Calc'!B15*'Worker Premium Calc'!M15*policy_term)/1000*$U$2))</f>
        <v>0</v>
      </c>
      <c r="T15" s="85">
        <f>SUM((('Worker Premium Calc'!J15*'Worker Premium Calc'!B15*'Worker Premium Calc'!N15*policy_term)/1000*$S$2)+SUM(('Worker Premium Calc'!J15*'Worker Premium Calc'!B15*'Worker Premium Calc'!O15*policy_term)/1000*$T$2)+SUM(('Worker Premium Calc'!J15*'Worker Premium Calc'!B15*'Worker Premium Calc'!P15*policy_term)/1000*$U$2))</f>
        <v>0</v>
      </c>
      <c r="U15" s="85">
        <f t="shared" si="13"/>
        <v>0</v>
      </c>
      <c r="V15" s="46">
        <f t="shared" si="3"/>
        <v>0</v>
      </c>
      <c r="W15" s="46">
        <f t="shared" si="4"/>
        <v>0</v>
      </c>
      <c r="X15" s="46">
        <f t="shared" si="5"/>
        <v>0</v>
      </c>
      <c r="Y15" s="46">
        <f t="shared" si="14"/>
        <v>0</v>
      </c>
    </row>
    <row r="16" spans="2:25" x14ac:dyDescent="0.3">
      <c r="B16" s="13" t="str">
        <f>'Worker Premium Calc'!C16</f>
        <v/>
      </c>
      <c r="C16" s="85">
        <f>SUM((('Worker Premium Calc'!I16*'Worker Premium Calc'!B16*'Worker Premium Calc'!K16*policy_term)/1000*$C$2)+SUM(('Worker Premium Calc'!I16*'Worker Premium Calc'!B16*'Worker Premium Calc'!L16*policy_term)/1000*$D$2)+SUM(('Worker Premium Calc'!I16*'Worker Premium Calc'!B16*'Worker Premium Calc'!M16*policy_term)/1000*$E$2))</f>
        <v>0</v>
      </c>
      <c r="D16" s="46">
        <f>SUM((('Worker Premium Calc'!J16*'Worker Premium Calc'!B16*'Worker Premium Calc'!N16*policy_term)/1000*$C$2)+SUM(('Worker Premium Calc'!J16*'Worker Premium Calc'!B16*'Worker Premium Calc'!O16*policy_term)/1000*$D$2)+SUM(('Worker Premium Calc'!J16*'Worker Premium Calc'!B16*'Worker Premium Calc'!P16*policy_term)/1000*$E$2))</f>
        <v>0</v>
      </c>
      <c r="E16" s="85">
        <f t="shared" si="6"/>
        <v>0</v>
      </c>
      <c r="F16" s="46">
        <f t="shared" si="7"/>
        <v>0</v>
      </c>
      <c r="G16" s="46">
        <f t="shared" si="8"/>
        <v>0</v>
      </c>
      <c r="H16" s="85">
        <f t="shared" si="9"/>
        <v>0</v>
      </c>
      <c r="I16" s="85">
        <f t="shared" si="10"/>
        <v>0</v>
      </c>
      <c r="K16" s="85">
        <f>SUM((('Worker Premium Calc'!I16*'Worker Premium Calc'!B16*'Worker Premium Calc'!K16*policy_term)/1000*$K$2)+SUM(('Worker Premium Calc'!I16*'Worker Premium Calc'!B16*'Worker Premium Calc'!L16*policy_term)/1000*$L$2)+SUM(('Worker Premium Calc'!I16*'Worker Premium Calc'!B16*'Worker Premium Calc'!M16*policy_term)/1000*$M$2))</f>
        <v>0</v>
      </c>
      <c r="L16" s="85">
        <f>SUM((('Worker Premium Calc'!J16*'Worker Premium Calc'!B16*'Worker Premium Calc'!N16*policy_term)/1000*$K$2)+SUM(('Worker Premium Calc'!J16*'Worker Premium Calc'!B16*'Worker Premium Calc'!O16*policy_term)/1000*$L$2)+SUM(('Worker Premium Calc'!J16*'Worker Premium Calc'!B16*'Worker Premium Calc'!P16*policy_term)/1000*$M$2))</f>
        <v>0</v>
      </c>
      <c r="M16" s="85">
        <f t="shared" si="11"/>
        <v>0</v>
      </c>
      <c r="N16" s="46">
        <f t="shared" si="0"/>
        <v>0</v>
      </c>
      <c r="O16" s="46">
        <f t="shared" si="1"/>
        <v>0</v>
      </c>
      <c r="P16" s="46">
        <f t="shared" si="2"/>
        <v>0</v>
      </c>
      <c r="Q16" s="46">
        <f t="shared" si="12"/>
        <v>0</v>
      </c>
      <c r="S16" s="85">
        <f>SUM((('Worker Premium Calc'!I16*'Worker Premium Calc'!B16*'Worker Premium Calc'!K16*policy_term)/1000*$S$2)+SUM(('Worker Premium Calc'!I16*'Worker Premium Calc'!B16*'Worker Premium Calc'!L16*policy_term)/1000*$T$2)+SUM(('Worker Premium Calc'!I16*'Worker Premium Calc'!B16*'Worker Premium Calc'!M16*policy_term)/1000*$U$2))</f>
        <v>0</v>
      </c>
      <c r="T16" s="85">
        <f>SUM((('Worker Premium Calc'!J16*'Worker Premium Calc'!B16*'Worker Premium Calc'!N16*policy_term)/1000*$S$2)+SUM(('Worker Premium Calc'!J16*'Worker Premium Calc'!B16*'Worker Premium Calc'!O16*policy_term)/1000*$T$2)+SUM(('Worker Premium Calc'!J16*'Worker Premium Calc'!B16*'Worker Premium Calc'!P16*policy_term)/1000*$U$2))</f>
        <v>0</v>
      </c>
      <c r="U16" s="85">
        <f t="shared" si="13"/>
        <v>0</v>
      </c>
      <c r="V16" s="46">
        <f t="shared" si="3"/>
        <v>0</v>
      </c>
      <c r="W16" s="46">
        <f t="shared" si="4"/>
        <v>0</v>
      </c>
      <c r="X16" s="46">
        <f t="shared" si="5"/>
        <v>0</v>
      </c>
      <c r="Y16" s="46">
        <f t="shared" si="14"/>
        <v>0</v>
      </c>
    </row>
    <row r="17" spans="2:25" x14ac:dyDescent="0.3">
      <c r="B17" s="13" t="str">
        <f>'Worker Premium Calc'!C17</f>
        <v/>
      </c>
      <c r="C17" s="85">
        <f>SUM((('Worker Premium Calc'!I17*'Worker Premium Calc'!B17*'Worker Premium Calc'!K17*policy_term)/1000*$C$2)+SUM(('Worker Premium Calc'!I17*'Worker Premium Calc'!B17*'Worker Premium Calc'!L17*policy_term)/1000*$D$2)+SUM(('Worker Premium Calc'!I17*'Worker Premium Calc'!B17*'Worker Premium Calc'!M17*policy_term)/1000*$E$2))</f>
        <v>0</v>
      </c>
      <c r="D17" s="46">
        <f>SUM((('Worker Premium Calc'!J17*'Worker Premium Calc'!B17*'Worker Premium Calc'!N17*policy_term)/1000*$C$2)+SUM(('Worker Premium Calc'!J17*'Worker Premium Calc'!B17*'Worker Premium Calc'!O17*policy_term)/1000*$D$2)+SUM(('Worker Premium Calc'!J17*'Worker Premium Calc'!B17*'Worker Premium Calc'!P17*policy_term)/1000*$E$2))</f>
        <v>0</v>
      </c>
      <c r="E17" s="85">
        <f t="shared" si="6"/>
        <v>0</v>
      </c>
      <c r="F17" s="46">
        <f t="shared" si="7"/>
        <v>0</v>
      </c>
      <c r="G17" s="46">
        <f t="shared" si="8"/>
        <v>0</v>
      </c>
      <c r="H17" s="85">
        <f t="shared" si="9"/>
        <v>0</v>
      </c>
      <c r="I17" s="85">
        <f t="shared" si="10"/>
        <v>0</v>
      </c>
      <c r="K17" s="85">
        <f>SUM((('Worker Premium Calc'!I17*'Worker Premium Calc'!B17*'Worker Premium Calc'!K17*policy_term)/1000*$K$2)+SUM(('Worker Premium Calc'!I17*'Worker Premium Calc'!B17*'Worker Premium Calc'!L17*policy_term)/1000*$L$2)+SUM(('Worker Premium Calc'!I17*'Worker Premium Calc'!B17*'Worker Premium Calc'!M17*policy_term)/1000*$M$2))</f>
        <v>0</v>
      </c>
      <c r="L17" s="85">
        <f>SUM((('Worker Premium Calc'!J17*'Worker Premium Calc'!B17*'Worker Premium Calc'!N17*policy_term)/1000*$K$2)+SUM(('Worker Premium Calc'!J17*'Worker Premium Calc'!B17*'Worker Premium Calc'!O17*policy_term)/1000*$L$2)+SUM(('Worker Premium Calc'!J17*'Worker Premium Calc'!B17*'Worker Premium Calc'!P17*policy_term)/1000*$M$2))</f>
        <v>0</v>
      </c>
      <c r="M17" s="85">
        <f t="shared" si="11"/>
        <v>0</v>
      </c>
      <c r="N17" s="46">
        <f t="shared" si="0"/>
        <v>0</v>
      </c>
      <c r="O17" s="46">
        <f t="shared" si="1"/>
        <v>0</v>
      </c>
      <c r="P17" s="46">
        <f t="shared" si="2"/>
        <v>0</v>
      </c>
      <c r="Q17" s="46">
        <f t="shared" si="12"/>
        <v>0</v>
      </c>
      <c r="S17" s="85">
        <f>SUM((('Worker Premium Calc'!I17*'Worker Premium Calc'!B17*'Worker Premium Calc'!K17*policy_term)/1000*$S$2)+SUM(('Worker Premium Calc'!I17*'Worker Premium Calc'!B17*'Worker Premium Calc'!L17*policy_term)/1000*$T$2)+SUM(('Worker Premium Calc'!I17*'Worker Premium Calc'!B17*'Worker Premium Calc'!M17*policy_term)/1000*$U$2))</f>
        <v>0</v>
      </c>
      <c r="T17" s="85">
        <f>SUM((('Worker Premium Calc'!J17*'Worker Premium Calc'!B17*'Worker Premium Calc'!N17*policy_term)/1000*$S$2)+SUM(('Worker Premium Calc'!J17*'Worker Premium Calc'!B17*'Worker Premium Calc'!O17*policy_term)/1000*$T$2)+SUM(('Worker Premium Calc'!J17*'Worker Premium Calc'!B17*'Worker Premium Calc'!P17*policy_term)/1000*$U$2))</f>
        <v>0</v>
      </c>
      <c r="U17" s="85">
        <f t="shared" si="13"/>
        <v>0</v>
      </c>
      <c r="V17" s="46">
        <f t="shared" si="3"/>
        <v>0</v>
      </c>
      <c r="W17" s="46">
        <f t="shared" si="4"/>
        <v>0</v>
      </c>
      <c r="X17" s="46">
        <f t="shared" si="5"/>
        <v>0</v>
      </c>
      <c r="Y17" s="46">
        <f t="shared" si="14"/>
        <v>0</v>
      </c>
    </row>
    <row r="18" spans="2:25" x14ac:dyDescent="0.3">
      <c r="B18" s="13" t="str">
        <f>'Worker Premium Calc'!C18</f>
        <v/>
      </c>
      <c r="C18" s="85">
        <f>SUM((('Worker Premium Calc'!I18*'Worker Premium Calc'!B18*'Worker Premium Calc'!K18*policy_term)/1000*$C$2)+SUM(('Worker Premium Calc'!I18*'Worker Premium Calc'!B18*'Worker Premium Calc'!L18*policy_term)/1000*$D$2)+SUM(('Worker Premium Calc'!I18*'Worker Premium Calc'!B18*'Worker Premium Calc'!M18*policy_term)/1000*$E$2))</f>
        <v>0</v>
      </c>
      <c r="D18" s="46">
        <f>SUM((('Worker Premium Calc'!J18*'Worker Premium Calc'!B18*'Worker Premium Calc'!N18*policy_term)/1000*$C$2)+SUM(('Worker Premium Calc'!J18*'Worker Premium Calc'!B18*'Worker Premium Calc'!O18*policy_term)/1000*$D$2)+SUM(('Worker Premium Calc'!J18*'Worker Premium Calc'!B18*'Worker Premium Calc'!P18*policy_term)/1000*$E$2))</f>
        <v>0</v>
      </c>
      <c r="E18" s="85">
        <f t="shared" si="6"/>
        <v>0</v>
      </c>
      <c r="F18" s="46">
        <f t="shared" si="7"/>
        <v>0</v>
      </c>
      <c r="G18" s="46">
        <f t="shared" si="8"/>
        <v>0</v>
      </c>
      <c r="H18" s="85">
        <f t="shared" si="9"/>
        <v>0</v>
      </c>
      <c r="I18" s="85">
        <f t="shared" si="10"/>
        <v>0</v>
      </c>
      <c r="K18" s="85">
        <f>SUM((('Worker Premium Calc'!I18*'Worker Premium Calc'!B18*'Worker Premium Calc'!K18*policy_term)/1000*$K$2)+SUM(('Worker Premium Calc'!I18*'Worker Premium Calc'!B18*'Worker Premium Calc'!L18*policy_term)/1000*$L$2)+SUM(('Worker Premium Calc'!I18*'Worker Premium Calc'!B18*'Worker Premium Calc'!M18*policy_term)/1000*$M$2))</f>
        <v>0</v>
      </c>
      <c r="L18" s="85">
        <f>SUM((('Worker Premium Calc'!J18*'Worker Premium Calc'!B18*'Worker Premium Calc'!N18*policy_term)/1000*$K$2)+SUM(('Worker Premium Calc'!J18*'Worker Premium Calc'!B18*'Worker Premium Calc'!O18*policy_term)/1000*$L$2)+SUM(('Worker Premium Calc'!J18*'Worker Premium Calc'!B18*'Worker Premium Calc'!P18*policy_term)/1000*$M$2))</f>
        <v>0</v>
      </c>
      <c r="M18" s="85">
        <f t="shared" si="11"/>
        <v>0</v>
      </c>
      <c r="N18" s="46">
        <f t="shared" si="0"/>
        <v>0</v>
      </c>
      <c r="O18" s="46">
        <f t="shared" si="1"/>
        <v>0</v>
      </c>
      <c r="P18" s="46">
        <f t="shared" si="2"/>
        <v>0</v>
      </c>
      <c r="Q18" s="46">
        <f t="shared" si="12"/>
        <v>0</v>
      </c>
      <c r="S18" s="85">
        <f>SUM((('Worker Premium Calc'!I18*'Worker Premium Calc'!B18*'Worker Premium Calc'!K18*policy_term)/1000*$S$2)+SUM(('Worker Premium Calc'!I18*'Worker Premium Calc'!B18*'Worker Premium Calc'!L18*policy_term)/1000*$T$2)+SUM(('Worker Premium Calc'!I18*'Worker Premium Calc'!B18*'Worker Premium Calc'!M18*policy_term)/1000*$U$2))</f>
        <v>0</v>
      </c>
      <c r="T18" s="85">
        <f>SUM((('Worker Premium Calc'!J18*'Worker Premium Calc'!B18*'Worker Premium Calc'!N18*policy_term)/1000*$S$2)+SUM(('Worker Premium Calc'!J18*'Worker Premium Calc'!B18*'Worker Premium Calc'!O18*policy_term)/1000*$T$2)+SUM(('Worker Premium Calc'!J18*'Worker Premium Calc'!B18*'Worker Premium Calc'!P18*policy_term)/1000*$U$2))</f>
        <v>0</v>
      </c>
      <c r="U18" s="85">
        <f t="shared" si="13"/>
        <v>0</v>
      </c>
      <c r="V18" s="46">
        <f t="shared" si="3"/>
        <v>0</v>
      </c>
      <c r="W18" s="46">
        <f t="shared" si="4"/>
        <v>0</v>
      </c>
      <c r="X18" s="46">
        <f t="shared" si="5"/>
        <v>0</v>
      </c>
      <c r="Y18" s="46">
        <f t="shared" si="14"/>
        <v>0</v>
      </c>
    </row>
    <row r="19" spans="2:25" x14ac:dyDescent="0.3">
      <c r="B19" s="13" t="str">
        <f>'Worker Premium Calc'!C19</f>
        <v/>
      </c>
      <c r="C19" s="85">
        <f>SUM((('Worker Premium Calc'!I19*'Worker Premium Calc'!B19*'Worker Premium Calc'!K19*policy_term)/1000*$C$2)+SUM(('Worker Premium Calc'!I19*'Worker Premium Calc'!B19*'Worker Premium Calc'!L19*policy_term)/1000*$D$2)+SUM(('Worker Premium Calc'!I19*'Worker Premium Calc'!B19*'Worker Premium Calc'!M19*policy_term)/1000*$E$2))</f>
        <v>0</v>
      </c>
      <c r="D19" s="46">
        <f>SUM((('Worker Premium Calc'!J19*'Worker Premium Calc'!B19*'Worker Premium Calc'!N19*policy_term)/1000*$C$2)+SUM(('Worker Premium Calc'!J19*'Worker Premium Calc'!B19*'Worker Premium Calc'!O19*policy_term)/1000*$D$2)+SUM(('Worker Premium Calc'!J19*'Worker Premium Calc'!B19*'Worker Premium Calc'!P19*policy_term)/1000*$E$2))</f>
        <v>0</v>
      </c>
      <c r="E19" s="85">
        <f t="shared" si="6"/>
        <v>0</v>
      </c>
      <c r="F19" s="46">
        <f t="shared" si="7"/>
        <v>0</v>
      </c>
      <c r="G19" s="46">
        <f t="shared" si="8"/>
        <v>0</v>
      </c>
      <c r="H19" s="85">
        <f t="shared" si="9"/>
        <v>0</v>
      </c>
      <c r="I19" s="85">
        <f t="shared" si="10"/>
        <v>0</v>
      </c>
      <c r="K19" s="85">
        <f>SUM((('Worker Premium Calc'!I19*'Worker Premium Calc'!B19*'Worker Premium Calc'!K19*policy_term)/1000*$K$2)+SUM(('Worker Premium Calc'!I19*'Worker Premium Calc'!B19*'Worker Premium Calc'!L19*policy_term)/1000*$L$2)+SUM(('Worker Premium Calc'!I19*'Worker Premium Calc'!B19*'Worker Premium Calc'!M19*policy_term)/1000*$M$2))</f>
        <v>0</v>
      </c>
      <c r="L19" s="85">
        <f>SUM((('Worker Premium Calc'!J19*'Worker Premium Calc'!B19*'Worker Premium Calc'!N19*policy_term)/1000*$K$2)+SUM(('Worker Premium Calc'!J19*'Worker Premium Calc'!B19*'Worker Premium Calc'!O19*policy_term)/1000*$L$2)+SUM(('Worker Premium Calc'!J19*'Worker Premium Calc'!B19*'Worker Premium Calc'!P19*policy_term)/1000*$M$2))</f>
        <v>0</v>
      </c>
      <c r="M19" s="85">
        <f t="shared" si="11"/>
        <v>0</v>
      </c>
      <c r="N19" s="46">
        <f t="shared" si="0"/>
        <v>0</v>
      </c>
      <c r="O19" s="46">
        <f t="shared" si="1"/>
        <v>0</v>
      </c>
      <c r="P19" s="46">
        <f t="shared" si="2"/>
        <v>0</v>
      </c>
      <c r="Q19" s="46">
        <f t="shared" si="12"/>
        <v>0</v>
      </c>
      <c r="S19" s="85">
        <f>SUM((('Worker Premium Calc'!I19*'Worker Premium Calc'!B19*'Worker Premium Calc'!K19*policy_term)/1000*$S$2)+SUM(('Worker Premium Calc'!I19*'Worker Premium Calc'!B19*'Worker Premium Calc'!L19*policy_term)/1000*$T$2)+SUM(('Worker Premium Calc'!I19*'Worker Premium Calc'!B19*'Worker Premium Calc'!M19*policy_term)/1000*$U$2))</f>
        <v>0</v>
      </c>
      <c r="T19" s="85">
        <f>SUM((('Worker Premium Calc'!J19*'Worker Premium Calc'!B19*'Worker Premium Calc'!N19*policy_term)/1000*$S$2)+SUM(('Worker Premium Calc'!J19*'Worker Premium Calc'!B19*'Worker Premium Calc'!O19*policy_term)/1000*$T$2)+SUM(('Worker Premium Calc'!J19*'Worker Premium Calc'!B19*'Worker Premium Calc'!P19*policy_term)/1000*$U$2))</f>
        <v>0</v>
      </c>
      <c r="U19" s="85">
        <f t="shared" si="13"/>
        <v>0</v>
      </c>
      <c r="V19" s="46">
        <f t="shared" si="3"/>
        <v>0</v>
      </c>
      <c r="W19" s="46">
        <f t="shared" si="4"/>
        <v>0</v>
      </c>
      <c r="X19" s="46">
        <f t="shared" si="5"/>
        <v>0</v>
      </c>
      <c r="Y19" s="46">
        <f t="shared" si="14"/>
        <v>0</v>
      </c>
    </row>
    <row r="20" spans="2:25" x14ac:dyDescent="0.3">
      <c r="B20" s="13" t="str">
        <f>'Worker Premium Calc'!C20</f>
        <v/>
      </c>
      <c r="C20" s="85">
        <f>SUM((('Worker Premium Calc'!I20*'Worker Premium Calc'!B20*'Worker Premium Calc'!K20*policy_term)/1000*$C$2)+SUM(('Worker Premium Calc'!I20*'Worker Premium Calc'!B20*'Worker Premium Calc'!L20*policy_term)/1000*$D$2)+SUM(('Worker Premium Calc'!I20*'Worker Premium Calc'!B20*'Worker Premium Calc'!M20*policy_term)/1000*$E$2))</f>
        <v>0</v>
      </c>
      <c r="D20" s="46">
        <f>SUM((('Worker Premium Calc'!J20*'Worker Premium Calc'!B20*'Worker Premium Calc'!N20*policy_term)/1000*$C$2)+SUM(('Worker Premium Calc'!J20*'Worker Premium Calc'!B20*'Worker Premium Calc'!O20*policy_term)/1000*$D$2)+SUM(('Worker Premium Calc'!J20*'Worker Premium Calc'!B20*'Worker Premium Calc'!P20*policy_term)/1000*$E$2))</f>
        <v>0</v>
      </c>
      <c r="E20" s="85">
        <f t="shared" si="6"/>
        <v>0</v>
      </c>
      <c r="F20" s="46">
        <f t="shared" si="7"/>
        <v>0</v>
      </c>
      <c r="G20" s="46">
        <f t="shared" si="8"/>
        <v>0</v>
      </c>
      <c r="H20" s="85">
        <f t="shared" si="9"/>
        <v>0</v>
      </c>
      <c r="I20" s="85">
        <f t="shared" si="10"/>
        <v>0</v>
      </c>
      <c r="K20" s="85">
        <f>SUM((('Worker Premium Calc'!I20*'Worker Premium Calc'!B20*'Worker Premium Calc'!K20*policy_term)/1000*$K$2)+SUM(('Worker Premium Calc'!I20*'Worker Premium Calc'!B20*'Worker Premium Calc'!L20*policy_term)/1000*$L$2)+SUM(('Worker Premium Calc'!I20*'Worker Premium Calc'!B20*'Worker Premium Calc'!M20*policy_term)/1000*$M$2))</f>
        <v>0</v>
      </c>
      <c r="L20" s="85">
        <f>SUM((('Worker Premium Calc'!J20*'Worker Premium Calc'!B20*'Worker Premium Calc'!N20*policy_term)/1000*$K$2)+SUM(('Worker Premium Calc'!J20*'Worker Premium Calc'!B20*'Worker Premium Calc'!O20*policy_term)/1000*$L$2)+SUM(('Worker Premium Calc'!J20*'Worker Premium Calc'!B20*'Worker Premium Calc'!P20*policy_term)/1000*$M$2))</f>
        <v>0</v>
      </c>
      <c r="M20" s="85">
        <f t="shared" si="11"/>
        <v>0</v>
      </c>
      <c r="N20" s="46">
        <f t="shared" si="0"/>
        <v>0</v>
      </c>
      <c r="O20" s="46">
        <f t="shared" si="1"/>
        <v>0</v>
      </c>
      <c r="P20" s="46">
        <f t="shared" si="2"/>
        <v>0</v>
      </c>
      <c r="Q20" s="46">
        <f t="shared" si="12"/>
        <v>0</v>
      </c>
      <c r="S20" s="85">
        <f>SUM((('Worker Premium Calc'!I20*'Worker Premium Calc'!B20*'Worker Premium Calc'!K20*policy_term)/1000*$S$2)+SUM(('Worker Premium Calc'!I20*'Worker Premium Calc'!B20*'Worker Premium Calc'!L20*policy_term)/1000*$T$2)+SUM(('Worker Premium Calc'!I20*'Worker Premium Calc'!B20*'Worker Premium Calc'!M20*policy_term)/1000*$U$2))</f>
        <v>0</v>
      </c>
      <c r="T20" s="85">
        <f>SUM((('Worker Premium Calc'!J20*'Worker Premium Calc'!B20*'Worker Premium Calc'!N20*policy_term)/1000*$S$2)+SUM(('Worker Premium Calc'!J20*'Worker Premium Calc'!B20*'Worker Premium Calc'!O20*policy_term)/1000*$T$2)+SUM(('Worker Premium Calc'!J20*'Worker Premium Calc'!B20*'Worker Premium Calc'!P20*policy_term)/1000*$U$2))</f>
        <v>0</v>
      </c>
      <c r="U20" s="85">
        <f t="shared" si="13"/>
        <v>0</v>
      </c>
      <c r="V20" s="46">
        <f t="shared" si="3"/>
        <v>0</v>
      </c>
      <c r="W20" s="46">
        <f t="shared" si="4"/>
        <v>0</v>
      </c>
      <c r="X20" s="46">
        <f t="shared" si="5"/>
        <v>0</v>
      </c>
      <c r="Y20" s="46">
        <f t="shared" si="14"/>
        <v>0</v>
      </c>
    </row>
    <row r="21" spans="2:25" x14ac:dyDescent="0.3">
      <c r="B21" s="13" t="str">
        <f>'Worker Premium Calc'!C21</f>
        <v/>
      </c>
      <c r="C21" s="85">
        <f>SUM((('Worker Premium Calc'!I21*'Worker Premium Calc'!B21*'Worker Premium Calc'!K21*policy_term)/1000*$C$2)+SUM(('Worker Premium Calc'!I21*'Worker Premium Calc'!B21*'Worker Premium Calc'!L21*policy_term)/1000*$D$2)+SUM(('Worker Premium Calc'!I21*'Worker Premium Calc'!B21*'Worker Premium Calc'!M21*policy_term)/1000*$E$2))</f>
        <v>0</v>
      </c>
      <c r="D21" s="46">
        <f>SUM((('Worker Premium Calc'!J21*'Worker Premium Calc'!B21*'Worker Premium Calc'!N21*policy_term)/1000*$C$2)+SUM(('Worker Premium Calc'!J21*'Worker Premium Calc'!B21*'Worker Premium Calc'!O21*policy_term)/1000*$D$2)+SUM(('Worker Premium Calc'!J21*'Worker Premium Calc'!B21*'Worker Premium Calc'!P21*policy_term)/1000*$E$2))</f>
        <v>0</v>
      </c>
      <c r="E21" s="85">
        <f t="shared" si="6"/>
        <v>0</v>
      </c>
      <c r="F21" s="46">
        <f t="shared" si="7"/>
        <v>0</v>
      </c>
      <c r="G21" s="46">
        <f t="shared" si="8"/>
        <v>0</v>
      </c>
      <c r="H21" s="85">
        <f t="shared" si="9"/>
        <v>0</v>
      </c>
      <c r="I21" s="85">
        <f t="shared" si="10"/>
        <v>0</v>
      </c>
      <c r="K21" s="85">
        <f>SUM((('Worker Premium Calc'!I21*'Worker Premium Calc'!B21*'Worker Premium Calc'!K21*policy_term)/1000*$K$2)+SUM(('Worker Premium Calc'!I21*'Worker Premium Calc'!B21*'Worker Premium Calc'!L21*policy_term)/1000*$L$2)+SUM(('Worker Premium Calc'!I21*'Worker Premium Calc'!B21*'Worker Premium Calc'!M21*policy_term)/1000*$M$2))</f>
        <v>0</v>
      </c>
      <c r="L21" s="85">
        <f>SUM((('Worker Premium Calc'!J21*'Worker Premium Calc'!B21*'Worker Premium Calc'!N21*policy_term)/1000*$K$2)+SUM(('Worker Premium Calc'!J21*'Worker Premium Calc'!B21*'Worker Premium Calc'!O21*policy_term)/1000*$L$2)+SUM(('Worker Premium Calc'!J21*'Worker Premium Calc'!B21*'Worker Premium Calc'!P21*policy_term)/1000*$M$2))</f>
        <v>0</v>
      </c>
      <c r="M21" s="85">
        <f t="shared" si="11"/>
        <v>0</v>
      </c>
      <c r="N21" s="46">
        <f t="shared" si="0"/>
        <v>0</v>
      </c>
      <c r="O21" s="46">
        <f t="shared" si="1"/>
        <v>0</v>
      </c>
      <c r="P21" s="46">
        <f t="shared" si="2"/>
        <v>0</v>
      </c>
      <c r="Q21" s="46">
        <f t="shared" si="12"/>
        <v>0</v>
      </c>
      <c r="S21" s="85">
        <f>SUM((('Worker Premium Calc'!I21*'Worker Premium Calc'!B21*'Worker Premium Calc'!K21*policy_term)/1000*$S$2)+SUM(('Worker Premium Calc'!I21*'Worker Premium Calc'!B21*'Worker Premium Calc'!L21*policy_term)/1000*$T$2)+SUM(('Worker Premium Calc'!I21*'Worker Premium Calc'!B21*'Worker Premium Calc'!M21*policy_term)/1000*$U$2))</f>
        <v>0</v>
      </c>
      <c r="T21" s="85">
        <f>SUM((('Worker Premium Calc'!J21*'Worker Premium Calc'!B21*'Worker Premium Calc'!N21*policy_term)/1000*$S$2)+SUM(('Worker Premium Calc'!J21*'Worker Premium Calc'!B21*'Worker Premium Calc'!O21*policy_term)/1000*$T$2)+SUM(('Worker Premium Calc'!J21*'Worker Premium Calc'!B21*'Worker Premium Calc'!P21*policy_term)/1000*$U$2))</f>
        <v>0</v>
      </c>
      <c r="U21" s="85">
        <f t="shared" si="13"/>
        <v>0</v>
      </c>
      <c r="V21" s="46">
        <f t="shared" si="3"/>
        <v>0</v>
      </c>
      <c r="W21" s="46">
        <f t="shared" si="4"/>
        <v>0</v>
      </c>
      <c r="X21" s="46">
        <f t="shared" si="5"/>
        <v>0</v>
      </c>
      <c r="Y21" s="46">
        <f t="shared" si="14"/>
        <v>0</v>
      </c>
    </row>
    <row r="22" spans="2:25" x14ac:dyDescent="0.3">
      <c r="B22" s="13" t="str">
        <f>'Worker Premium Calc'!C22</f>
        <v/>
      </c>
      <c r="C22" s="85">
        <f>SUM((('Worker Premium Calc'!I22*'Worker Premium Calc'!B22*'Worker Premium Calc'!K22*policy_term)/1000*$C$2)+SUM(('Worker Premium Calc'!I22*'Worker Premium Calc'!B22*'Worker Premium Calc'!L22*policy_term)/1000*$D$2)+SUM(('Worker Premium Calc'!I22*'Worker Premium Calc'!B22*'Worker Premium Calc'!M22*policy_term)/1000*$E$2))</f>
        <v>0</v>
      </c>
      <c r="D22" s="46">
        <f>SUM((('Worker Premium Calc'!J22*'Worker Premium Calc'!B22*'Worker Premium Calc'!N22*policy_term)/1000*$C$2)+SUM(('Worker Premium Calc'!J22*'Worker Premium Calc'!B22*'Worker Premium Calc'!O22*policy_term)/1000*$D$2)+SUM(('Worker Premium Calc'!J22*'Worker Premium Calc'!B22*'Worker Premium Calc'!P22*policy_term)/1000*$E$2))</f>
        <v>0</v>
      </c>
      <c r="E22" s="85">
        <f t="shared" si="6"/>
        <v>0</v>
      </c>
      <c r="F22" s="46">
        <f t="shared" si="7"/>
        <v>0</v>
      </c>
      <c r="G22" s="46">
        <f t="shared" si="8"/>
        <v>0</v>
      </c>
      <c r="H22" s="85">
        <f t="shared" si="9"/>
        <v>0</v>
      </c>
      <c r="I22" s="85">
        <f t="shared" si="10"/>
        <v>0</v>
      </c>
      <c r="K22" s="85">
        <f>SUM((('Worker Premium Calc'!I22*'Worker Premium Calc'!B22*'Worker Premium Calc'!K22*policy_term)/1000*$K$2)+SUM(('Worker Premium Calc'!I22*'Worker Premium Calc'!B22*'Worker Premium Calc'!L22*policy_term)/1000*$L$2)+SUM(('Worker Premium Calc'!I22*'Worker Premium Calc'!B22*'Worker Premium Calc'!M22*policy_term)/1000*$M$2))</f>
        <v>0</v>
      </c>
      <c r="L22" s="85">
        <f>SUM((('Worker Premium Calc'!J22*'Worker Premium Calc'!B22*'Worker Premium Calc'!N22*policy_term)/1000*$K$2)+SUM(('Worker Premium Calc'!J22*'Worker Premium Calc'!B22*'Worker Premium Calc'!O22*policy_term)/1000*$L$2)+SUM(('Worker Premium Calc'!J22*'Worker Premium Calc'!B22*'Worker Premium Calc'!P22*policy_term)/1000*$M$2))</f>
        <v>0</v>
      </c>
      <c r="M22" s="85">
        <f t="shared" si="11"/>
        <v>0</v>
      </c>
      <c r="N22" s="46">
        <f t="shared" si="0"/>
        <v>0</v>
      </c>
      <c r="O22" s="46">
        <f t="shared" si="1"/>
        <v>0</v>
      </c>
      <c r="P22" s="46">
        <f t="shared" si="2"/>
        <v>0</v>
      </c>
      <c r="Q22" s="46">
        <f t="shared" si="12"/>
        <v>0</v>
      </c>
      <c r="S22" s="85">
        <f>SUM((('Worker Premium Calc'!I22*'Worker Premium Calc'!B22*'Worker Premium Calc'!K22*policy_term)/1000*$S$2)+SUM(('Worker Premium Calc'!I22*'Worker Premium Calc'!B22*'Worker Premium Calc'!L22*policy_term)/1000*$T$2)+SUM(('Worker Premium Calc'!I22*'Worker Premium Calc'!B22*'Worker Premium Calc'!M22*policy_term)/1000*$U$2))</f>
        <v>0</v>
      </c>
      <c r="T22" s="85">
        <f>SUM((('Worker Premium Calc'!J22*'Worker Premium Calc'!B22*'Worker Premium Calc'!N22*policy_term)/1000*$S$2)+SUM(('Worker Premium Calc'!J22*'Worker Premium Calc'!B22*'Worker Premium Calc'!O22*policy_term)/1000*$T$2)+SUM(('Worker Premium Calc'!J22*'Worker Premium Calc'!B22*'Worker Premium Calc'!P22*policy_term)/1000*$U$2))</f>
        <v>0</v>
      </c>
      <c r="U22" s="85">
        <f t="shared" si="13"/>
        <v>0</v>
      </c>
      <c r="V22" s="46">
        <f t="shared" si="3"/>
        <v>0</v>
      </c>
      <c r="W22" s="46">
        <f t="shared" si="4"/>
        <v>0</v>
      </c>
      <c r="X22" s="46">
        <f t="shared" si="5"/>
        <v>0</v>
      </c>
      <c r="Y22" s="46">
        <f t="shared" si="14"/>
        <v>0</v>
      </c>
    </row>
    <row r="23" spans="2:25" x14ac:dyDescent="0.3">
      <c r="B23" s="13" t="str">
        <f>'Worker Premium Calc'!C23</f>
        <v/>
      </c>
      <c r="C23" s="85">
        <f>SUM((('Worker Premium Calc'!I23*'Worker Premium Calc'!B23*'Worker Premium Calc'!K23*policy_term)/1000*$C$2)+SUM(('Worker Premium Calc'!I23*'Worker Premium Calc'!B23*'Worker Premium Calc'!L23*policy_term)/1000*$D$2)+SUM(('Worker Premium Calc'!I23*'Worker Premium Calc'!B23*'Worker Premium Calc'!M23*policy_term)/1000*$E$2))</f>
        <v>0</v>
      </c>
      <c r="D23" s="46">
        <f>SUM((('Worker Premium Calc'!J23*'Worker Premium Calc'!B23*'Worker Premium Calc'!N23*policy_term)/1000*$C$2)+SUM(('Worker Premium Calc'!J23*'Worker Premium Calc'!B23*'Worker Premium Calc'!O23*policy_term)/1000*$D$2)+SUM(('Worker Premium Calc'!J23*'Worker Premium Calc'!B23*'Worker Premium Calc'!P23*policy_term)/1000*$E$2))</f>
        <v>0</v>
      </c>
      <c r="E23" s="85">
        <f t="shared" si="6"/>
        <v>0</v>
      </c>
      <c r="F23" s="46">
        <f t="shared" si="7"/>
        <v>0</v>
      </c>
      <c r="G23" s="46">
        <f t="shared" si="8"/>
        <v>0</v>
      </c>
      <c r="H23" s="85">
        <f t="shared" si="9"/>
        <v>0</v>
      </c>
      <c r="I23" s="85">
        <f t="shared" si="10"/>
        <v>0</v>
      </c>
      <c r="K23" s="85">
        <f>SUM((('Worker Premium Calc'!I23*'Worker Premium Calc'!B23*'Worker Premium Calc'!K23*policy_term)/1000*$K$2)+SUM(('Worker Premium Calc'!I23*'Worker Premium Calc'!B23*'Worker Premium Calc'!L23*policy_term)/1000*$L$2)+SUM(('Worker Premium Calc'!I23*'Worker Premium Calc'!B23*'Worker Premium Calc'!M23*policy_term)/1000*$M$2))</f>
        <v>0</v>
      </c>
      <c r="L23" s="85">
        <f>SUM((('Worker Premium Calc'!J23*'Worker Premium Calc'!B23*'Worker Premium Calc'!N23*policy_term)/1000*$K$2)+SUM(('Worker Premium Calc'!J23*'Worker Premium Calc'!B23*'Worker Premium Calc'!O23*policy_term)/1000*$L$2)+SUM(('Worker Premium Calc'!J23*'Worker Premium Calc'!B23*'Worker Premium Calc'!P23*policy_term)/1000*$M$2))</f>
        <v>0</v>
      </c>
      <c r="M23" s="85">
        <f t="shared" si="11"/>
        <v>0</v>
      </c>
      <c r="N23" s="46">
        <f t="shared" si="0"/>
        <v>0</v>
      </c>
      <c r="O23" s="46">
        <f t="shared" si="1"/>
        <v>0</v>
      </c>
      <c r="P23" s="46">
        <f t="shared" si="2"/>
        <v>0</v>
      </c>
      <c r="Q23" s="46">
        <f t="shared" si="12"/>
        <v>0</v>
      </c>
      <c r="S23" s="85">
        <f>SUM((('Worker Premium Calc'!I23*'Worker Premium Calc'!B23*'Worker Premium Calc'!K23*policy_term)/1000*$S$2)+SUM(('Worker Premium Calc'!I23*'Worker Premium Calc'!B23*'Worker Premium Calc'!L23*policy_term)/1000*$T$2)+SUM(('Worker Premium Calc'!I23*'Worker Premium Calc'!B23*'Worker Premium Calc'!M23*policy_term)/1000*$U$2))</f>
        <v>0</v>
      </c>
      <c r="T23" s="85">
        <f>SUM((('Worker Premium Calc'!J23*'Worker Premium Calc'!B23*'Worker Premium Calc'!N23*policy_term)/1000*$S$2)+SUM(('Worker Premium Calc'!J23*'Worker Premium Calc'!B23*'Worker Premium Calc'!O23*policy_term)/1000*$T$2)+SUM(('Worker Premium Calc'!J23*'Worker Premium Calc'!B23*'Worker Premium Calc'!P23*policy_term)/1000*$U$2))</f>
        <v>0</v>
      </c>
      <c r="U23" s="85">
        <f t="shared" si="13"/>
        <v>0</v>
      </c>
      <c r="V23" s="46">
        <f t="shared" si="3"/>
        <v>0</v>
      </c>
      <c r="W23" s="46">
        <f t="shared" si="4"/>
        <v>0</v>
      </c>
      <c r="X23" s="46">
        <f t="shared" si="5"/>
        <v>0</v>
      </c>
      <c r="Y23" s="46">
        <f t="shared" si="14"/>
        <v>0</v>
      </c>
    </row>
    <row r="24" spans="2:25" x14ac:dyDescent="0.3">
      <c r="B24" s="13" t="str">
        <f>'Worker Premium Calc'!C24</f>
        <v/>
      </c>
      <c r="C24" s="85">
        <f>SUM((('Worker Premium Calc'!I24*'Worker Premium Calc'!B24*'Worker Premium Calc'!K24*policy_term)/1000*$C$2)+SUM(('Worker Premium Calc'!I24*'Worker Premium Calc'!B24*'Worker Premium Calc'!L24*policy_term)/1000*$D$2)+SUM(('Worker Premium Calc'!I24*'Worker Premium Calc'!B24*'Worker Premium Calc'!M24*policy_term)/1000*$E$2))</f>
        <v>0</v>
      </c>
      <c r="D24" s="46">
        <f>SUM((('Worker Premium Calc'!J24*'Worker Premium Calc'!B24*'Worker Premium Calc'!N24*policy_term)/1000*$C$2)+SUM(('Worker Premium Calc'!J24*'Worker Premium Calc'!B24*'Worker Premium Calc'!O24*policy_term)/1000*$D$2)+SUM(('Worker Premium Calc'!J24*'Worker Premium Calc'!B24*'Worker Premium Calc'!P24*policy_term)/1000*$E$2))</f>
        <v>0</v>
      </c>
      <c r="E24" s="85">
        <f t="shared" si="6"/>
        <v>0</v>
      </c>
      <c r="F24" s="46">
        <f t="shared" si="7"/>
        <v>0</v>
      </c>
      <c r="G24" s="46">
        <f t="shared" si="8"/>
        <v>0</v>
      </c>
      <c r="H24" s="85">
        <f t="shared" si="9"/>
        <v>0</v>
      </c>
      <c r="I24" s="85">
        <f t="shared" si="10"/>
        <v>0</v>
      </c>
      <c r="K24" s="85">
        <f>SUM((('Worker Premium Calc'!I24*'Worker Premium Calc'!B24*'Worker Premium Calc'!K24*policy_term)/1000*$K$2)+SUM(('Worker Premium Calc'!I24*'Worker Premium Calc'!B24*'Worker Premium Calc'!L24*policy_term)/1000*$L$2)+SUM(('Worker Premium Calc'!I24*'Worker Premium Calc'!B24*'Worker Premium Calc'!M24*policy_term)/1000*$M$2))</f>
        <v>0</v>
      </c>
      <c r="L24" s="85">
        <f>SUM((('Worker Premium Calc'!J24*'Worker Premium Calc'!B24*'Worker Premium Calc'!N24*policy_term)/1000*$K$2)+SUM(('Worker Premium Calc'!J24*'Worker Premium Calc'!B24*'Worker Premium Calc'!O24*policy_term)/1000*$L$2)+SUM(('Worker Premium Calc'!J24*'Worker Premium Calc'!B24*'Worker Premium Calc'!P24*policy_term)/1000*$M$2))</f>
        <v>0</v>
      </c>
      <c r="M24" s="85">
        <f t="shared" si="11"/>
        <v>0</v>
      </c>
      <c r="N24" s="46">
        <f t="shared" si="0"/>
        <v>0</v>
      </c>
      <c r="O24" s="46">
        <f t="shared" si="1"/>
        <v>0</v>
      </c>
      <c r="P24" s="46">
        <f t="shared" si="2"/>
        <v>0</v>
      </c>
      <c r="Q24" s="46">
        <f t="shared" si="12"/>
        <v>0</v>
      </c>
      <c r="S24" s="85">
        <f>SUM((('Worker Premium Calc'!I24*'Worker Premium Calc'!B24*'Worker Premium Calc'!K24*policy_term)/1000*$S$2)+SUM(('Worker Premium Calc'!I24*'Worker Premium Calc'!B24*'Worker Premium Calc'!L24*policy_term)/1000*$T$2)+SUM(('Worker Premium Calc'!I24*'Worker Premium Calc'!B24*'Worker Premium Calc'!M24*policy_term)/1000*$U$2))</f>
        <v>0</v>
      </c>
      <c r="T24" s="85">
        <f>SUM((('Worker Premium Calc'!J24*'Worker Premium Calc'!B24*'Worker Premium Calc'!N24*policy_term)/1000*$S$2)+SUM(('Worker Premium Calc'!J24*'Worker Premium Calc'!B24*'Worker Premium Calc'!O24*policy_term)/1000*$T$2)+SUM(('Worker Premium Calc'!J24*'Worker Premium Calc'!B24*'Worker Premium Calc'!P24*policy_term)/1000*$U$2))</f>
        <v>0</v>
      </c>
      <c r="U24" s="85">
        <f t="shared" si="13"/>
        <v>0</v>
      </c>
      <c r="V24" s="46">
        <f t="shared" si="3"/>
        <v>0</v>
      </c>
      <c r="W24" s="46">
        <f t="shared" si="4"/>
        <v>0</v>
      </c>
      <c r="X24" s="46">
        <f t="shared" si="5"/>
        <v>0</v>
      </c>
      <c r="Y24" s="46">
        <f t="shared" si="14"/>
        <v>0</v>
      </c>
    </row>
    <row r="25" spans="2:25" x14ac:dyDescent="0.3">
      <c r="B25" s="13" t="str">
        <f>'Worker Premium Calc'!C25</f>
        <v/>
      </c>
      <c r="C25" s="85">
        <f>SUM((('Worker Premium Calc'!I25*'Worker Premium Calc'!B25*'Worker Premium Calc'!K25*policy_term)/1000*$C$2)+SUM(('Worker Premium Calc'!I25*'Worker Premium Calc'!B25*'Worker Premium Calc'!L25*policy_term)/1000*$D$2)+SUM(('Worker Premium Calc'!I25*'Worker Premium Calc'!B25*'Worker Premium Calc'!M25*policy_term)/1000*$E$2))</f>
        <v>0</v>
      </c>
      <c r="D25" s="46">
        <f>SUM((('Worker Premium Calc'!J25*'Worker Premium Calc'!B25*'Worker Premium Calc'!N25*policy_term)/1000*$C$2)+SUM(('Worker Premium Calc'!J25*'Worker Premium Calc'!B25*'Worker Premium Calc'!O25*policy_term)/1000*$D$2)+SUM(('Worker Premium Calc'!J25*'Worker Premium Calc'!B25*'Worker Premium Calc'!P25*policy_term)/1000*$E$2))</f>
        <v>0</v>
      </c>
      <c r="E25" s="85">
        <f t="shared" si="6"/>
        <v>0</v>
      </c>
      <c r="F25" s="46">
        <f t="shared" si="7"/>
        <v>0</v>
      </c>
      <c r="G25" s="46">
        <f t="shared" si="8"/>
        <v>0</v>
      </c>
      <c r="H25" s="85">
        <f t="shared" si="9"/>
        <v>0</v>
      </c>
      <c r="I25" s="85">
        <f t="shared" si="10"/>
        <v>0</v>
      </c>
      <c r="K25" s="85">
        <f>SUM((('Worker Premium Calc'!I25*'Worker Premium Calc'!B25*'Worker Premium Calc'!K25*policy_term)/1000*$K$2)+SUM(('Worker Premium Calc'!I25*'Worker Premium Calc'!B25*'Worker Premium Calc'!L25*policy_term)/1000*$L$2)+SUM(('Worker Premium Calc'!I25*'Worker Premium Calc'!B25*'Worker Premium Calc'!M25*policy_term)/1000*$M$2))</f>
        <v>0</v>
      </c>
      <c r="L25" s="85">
        <f>SUM((('Worker Premium Calc'!J25*'Worker Premium Calc'!B25*'Worker Premium Calc'!N25*policy_term)/1000*$K$2)+SUM(('Worker Premium Calc'!J25*'Worker Premium Calc'!B25*'Worker Premium Calc'!O25*policy_term)/1000*$L$2)+SUM(('Worker Premium Calc'!J25*'Worker Premium Calc'!B25*'Worker Premium Calc'!P25*policy_term)/1000*$M$2))</f>
        <v>0</v>
      </c>
      <c r="M25" s="85">
        <f t="shared" si="11"/>
        <v>0</v>
      </c>
      <c r="N25" s="46">
        <f t="shared" si="0"/>
        <v>0</v>
      </c>
      <c r="O25" s="46">
        <f t="shared" si="1"/>
        <v>0</v>
      </c>
      <c r="P25" s="46">
        <f t="shared" si="2"/>
        <v>0</v>
      </c>
      <c r="Q25" s="46">
        <f t="shared" si="12"/>
        <v>0</v>
      </c>
      <c r="S25" s="85">
        <f>SUM((('Worker Premium Calc'!I25*'Worker Premium Calc'!B25*'Worker Premium Calc'!K25*policy_term)/1000*$S$2)+SUM(('Worker Premium Calc'!I25*'Worker Premium Calc'!B25*'Worker Premium Calc'!L25*policy_term)/1000*$T$2)+SUM(('Worker Premium Calc'!I25*'Worker Premium Calc'!B25*'Worker Premium Calc'!M25*policy_term)/1000*$U$2))</f>
        <v>0</v>
      </c>
      <c r="T25" s="85">
        <f>SUM((('Worker Premium Calc'!J25*'Worker Premium Calc'!B25*'Worker Premium Calc'!N25*policy_term)/1000*$S$2)+SUM(('Worker Premium Calc'!J25*'Worker Premium Calc'!B25*'Worker Premium Calc'!O25*policy_term)/1000*$T$2)+SUM(('Worker Premium Calc'!J25*'Worker Premium Calc'!B25*'Worker Premium Calc'!P25*policy_term)/1000*$U$2))</f>
        <v>0</v>
      </c>
      <c r="U25" s="85">
        <f t="shared" si="13"/>
        <v>0</v>
      </c>
      <c r="V25" s="46">
        <f t="shared" si="3"/>
        <v>0</v>
      </c>
      <c r="W25" s="46">
        <f t="shared" si="4"/>
        <v>0</v>
      </c>
      <c r="X25" s="46">
        <f t="shared" si="5"/>
        <v>0</v>
      </c>
      <c r="Y25" s="46">
        <f t="shared" si="14"/>
        <v>0</v>
      </c>
    </row>
    <row r="26" spans="2:25" x14ac:dyDescent="0.3">
      <c r="B26" s="13" t="str">
        <f>'Worker Premium Calc'!C26</f>
        <v/>
      </c>
      <c r="C26" s="85">
        <f>SUM((('Worker Premium Calc'!I26*'Worker Premium Calc'!B26*'Worker Premium Calc'!K26*policy_term)/1000*$C$2)+SUM(('Worker Premium Calc'!I26*'Worker Premium Calc'!B26*'Worker Premium Calc'!L26*policy_term)/1000*$D$2)+SUM(('Worker Premium Calc'!I26*'Worker Premium Calc'!B26*'Worker Premium Calc'!M26*policy_term)/1000*$E$2))</f>
        <v>0</v>
      </c>
      <c r="D26" s="46">
        <f>SUM((('Worker Premium Calc'!J26*'Worker Premium Calc'!B26*'Worker Premium Calc'!N26*policy_term)/1000*$C$2)+SUM(('Worker Premium Calc'!J26*'Worker Premium Calc'!B26*'Worker Premium Calc'!O26*policy_term)/1000*$D$2)+SUM(('Worker Premium Calc'!J26*'Worker Premium Calc'!B26*'Worker Premium Calc'!P26*policy_term)/1000*$E$2))</f>
        <v>0</v>
      </c>
      <c r="E26" s="85">
        <f t="shared" si="6"/>
        <v>0</v>
      </c>
      <c r="F26" s="46">
        <f t="shared" si="7"/>
        <v>0</v>
      </c>
      <c r="G26" s="46">
        <f t="shared" si="8"/>
        <v>0</v>
      </c>
      <c r="H26" s="85">
        <f t="shared" si="9"/>
        <v>0</v>
      </c>
      <c r="I26" s="85">
        <f t="shared" si="10"/>
        <v>0</v>
      </c>
      <c r="K26" s="85">
        <f>SUM((('Worker Premium Calc'!I26*'Worker Premium Calc'!B26*'Worker Premium Calc'!K26*policy_term)/1000*$K$2)+SUM(('Worker Premium Calc'!I26*'Worker Premium Calc'!B26*'Worker Premium Calc'!L26*policy_term)/1000*$L$2)+SUM(('Worker Premium Calc'!I26*'Worker Premium Calc'!B26*'Worker Premium Calc'!M26*policy_term)/1000*$M$2))</f>
        <v>0</v>
      </c>
      <c r="L26" s="85">
        <f>SUM((('Worker Premium Calc'!J26*'Worker Premium Calc'!B26*'Worker Premium Calc'!N26*policy_term)/1000*$K$2)+SUM(('Worker Premium Calc'!J26*'Worker Premium Calc'!B26*'Worker Premium Calc'!O26*policy_term)/1000*$L$2)+SUM(('Worker Premium Calc'!J26*'Worker Premium Calc'!B26*'Worker Premium Calc'!P26*policy_term)/1000*$M$2))</f>
        <v>0</v>
      </c>
      <c r="M26" s="85">
        <f t="shared" si="11"/>
        <v>0</v>
      </c>
      <c r="N26" s="46">
        <f t="shared" si="0"/>
        <v>0</v>
      </c>
      <c r="O26" s="46">
        <f t="shared" si="1"/>
        <v>0</v>
      </c>
      <c r="P26" s="46">
        <f t="shared" si="2"/>
        <v>0</v>
      </c>
      <c r="Q26" s="46">
        <f t="shared" si="12"/>
        <v>0</v>
      </c>
      <c r="S26" s="85">
        <f>SUM((('Worker Premium Calc'!I26*'Worker Premium Calc'!B26*'Worker Premium Calc'!K26*policy_term)/1000*$S$2)+SUM(('Worker Premium Calc'!I26*'Worker Premium Calc'!B26*'Worker Premium Calc'!L26*policy_term)/1000*$T$2)+SUM(('Worker Premium Calc'!I26*'Worker Premium Calc'!B26*'Worker Premium Calc'!M26*policy_term)/1000*$U$2))</f>
        <v>0</v>
      </c>
      <c r="T26" s="85">
        <f>SUM((('Worker Premium Calc'!J26*'Worker Premium Calc'!B26*'Worker Premium Calc'!N26*policy_term)/1000*$S$2)+SUM(('Worker Premium Calc'!J26*'Worker Premium Calc'!B26*'Worker Premium Calc'!O26*policy_term)/1000*$T$2)+SUM(('Worker Premium Calc'!J26*'Worker Premium Calc'!B26*'Worker Premium Calc'!P26*policy_term)/1000*$U$2))</f>
        <v>0</v>
      </c>
      <c r="U26" s="85">
        <f t="shared" si="13"/>
        <v>0</v>
      </c>
      <c r="V26" s="46">
        <f t="shared" si="3"/>
        <v>0</v>
      </c>
      <c r="W26" s="46">
        <f t="shared" si="4"/>
        <v>0</v>
      </c>
      <c r="X26" s="46">
        <f t="shared" si="5"/>
        <v>0</v>
      </c>
      <c r="Y26" s="46">
        <f t="shared" si="14"/>
        <v>0</v>
      </c>
    </row>
    <row r="27" spans="2:25" x14ac:dyDescent="0.3">
      <c r="B27" s="13" t="str">
        <f>'Worker Premium Calc'!C27</f>
        <v/>
      </c>
      <c r="C27" s="85">
        <f>SUM((('Worker Premium Calc'!I27*'Worker Premium Calc'!B27*'Worker Premium Calc'!K27*policy_term)/1000*$C$2)+SUM(('Worker Premium Calc'!I27*'Worker Premium Calc'!B27*'Worker Premium Calc'!L27*policy_term)/1000*$D$2)+SUM(('Worker Premium Calc'!I27*'Worker Premium Calc'!B27*'Worker Premium Calc'!M27*policy_term)/1000*$E$2))</f>
        <v>0</v>
      </c>
      <c r="D27" s="46">
        <f>SUM((('Worker Premium Calc'!J27*'Worker Premium Calc'!B27*'Worker Premium Calc'!N27*policy_term)/1000*$C$2)+SUM(('Worker Premium Calc'!J27*'Worker Premium Calc'!B27*'Worker Premium Calc'!O27*policy_term)/1000*$D$2)+SUM(('Worker Premium Calc'!J27*'Worker Premium Calc'!B27*'Worker Premium Calc'!P27*policy_term)/1000*$E$2))</f>
        <v>0</v>
      </c>
      <c r="E27" s="85">
        <f t="shared" si="6"/>
        <v>0</v>
      </c>
      <c r="F27" s="46">
        <f t="shared" si="7"/>
        <v>0</v>
      </c>
      <c r="G27" s="46">
        <f t="shared" si="8"/>
        <v>0</v>
      </c>
      <c r="H27" s="85">
        <f t="shared" si="9"/>
        <v>0</v>
      </c>
      <c r="I27" s="85">
        <f t="shared" si="10"/>
        <v>0</v>
      </c>
      <c r="K27" s="85">
        <f>SUM((('Worker Premium Calc'!I27*'Worker Premium Calc'!B27*'Worker Premium Calc'!K27*policy_term)/1000*$K$2)+SUM(('Worker Premium Calc'!I27*'Worker Premium Calc'!B27*'Worker Premium Calc'!L27*policy_term)/1000*$L$2)+SUM(('Worker Premium Calc'!I27*'Worker Premium Calc'!B27*'Worker Premium Calc'!M27*policy_term)/1000*$M$2))</f>
        <v>0</v>
      </c>
      <c r="L27" s="85">
        <f>SUM((('Worker Premium Calc'!J27*'Worker Premium Calc'!B27*'Worker Premium Calc'!N27*policy_term)/1000*$K$2)+SUM(('Worker Premium Calc'!J27*'Worker Premium Calc'!B27*'Worker Premium Calc'!O27*policy_term)/1000*$L$2)+SUM(('Worker Premium Calc'!J27*'Worker Premium Calc'!B27*'Worker Premium Calc'!P27*policy_term)/1000*$M$2))</f>
        <v>0</v>
      </c>
      <c r="M27" s="85">
        <f t="shared" si="11"/>
        <v>0</v>
      </c>
      <c r="N27" s="46">
        <f t="shared" si="0"/>
        <v>0</v>
      </c>
      <c r="O27" s="46">
        <f t="shared" si="1"/>
        <v>0</v>
      </c>
      <c r="P27" s="46">
        <f t="shared" si="2"/>
        <v>0</v>
      </c>
      <c r="Q27" s="46">
        <f t="shared" si="12"/>
        <v>0</v>
      </c>
      <c r="S27" s="85">
        <f>SUM((('Worker Premium Calc'!I27*'Worker Premium Calc'!B27*'Worker Premium Calc'!K27*policy_term)/1000*$S$2)+SUM(('Worker Premium Calc'!I27*'Worker Premium Calc'!B27*'Worker Premium Calc'!L27*policy_term)/1000*$T$2)+SUM(('Worker Premium Calc'!I27*'Worker Premium Calc'!B27*'Worker Premium Calc'!M27*policy_term)/1000*$U$2))</f>
        <v>0</v>
      </c>
      <c r="T27" s="85">
        <f>SUM((('Worker Premium Calc'!J27*'Worker Premium Calc'!B27*'Worker Premium Calc'!N27*policy_term)/1000*$S$2)+SUM(('Worker Premium Calc'!J27*'Worker Premium Calc'!B27*'Worker Premium Calc'!O27*policy_term)/1000*$T$2)+SUM(('Worker Premium Calc'!J27*'Worker Premium Calc'!B27*'Worker Premium Calc'!P27*policy_term)/1000*$U$2))</f>
        <v>0</v>
      </c>
      <c r="U27" s="85">
        <f t="shared" si="13"/>
        <v>0</v>
      </c>
      <c r="V27" s="46">
        <f t="shared" si="3"/>
        <v>0</v>
      </c>
      <c r="W27" s="46">
        <f t="shared" si="4"/>
        <v>0</v>
      </c>
      <c r="X27" s="46">
        <f t="shared" si="5"/>
        <v>0</v>
      </c>
      <c r="Y27" s="46">
        <f t="shared" si="14"/>
        <v>0</v>
      </c>
    </row>
    <row r="28" spans="2:25" x14ac:dyDescent="0.3">
      <c r="B28" s="13" t="str">
        <f>'Worker Premium Calc'!C28</f>
        <v/>
      </c>
      <c r="C28" s="85">
        <f>SUM((('Worker Premium Calc'!I28*'Worker Premium Calc'!B28*'Worker Premium Calc'!K28*policy_term)/1000*$C$2)+SUM(('Worker Premium Calc'!I28*'Worker Premium Calc'!B28*'Worker Premium Calc'!L28*policy_term)/1000*$D$2)+SUM(('Worker Premium Calc'!I28*'Worker Premium Calc'!B28*'Worker Premium Calc'!M28*policy_term)/1000*$E$2))</f>
        <v>0</v>
      </c>
      <c r="D28" s="46">
        <f>SUM((('Worker Premium Calc'!J28*'Worker Premium Calc'!B28*'Worker Premium Calc'!N28*policy_term)/1000*$C$2)+SUM(('Worker Premium Calc'!J28*'Worker Premium Calc'!B28*'Worker Premium Calc'!O28*policy_term)/1000*$D$2)+SUM(('Worker Premium Calc'!J28*'Worker Premium Calc'!B28*'Worker Premium Calc'!P28*policy_term)/1000*$E$2))</f>
        <v>0</v>
      </c>
      <c r="E28" s="85">
        <f t="shared" si="6"/>
        <v>0</v>
      </c>
      <c r="F28" s="46">
        <f t="shared" si="7"/>
        <v>0</v>
      </c>
      <c r="G28" s="46">
        <f t="shared" si="8"/>
        <v>0</v>
      </c>
      <c r="H28" s="85">
        <f t="shared" si="9"/>
        <v>0</v>
      </c>
      <c r="I28" s="85">
        <f t="shared" si="10"/>
        <v>0</v>
      </c>
      <c r="K28" s="85">
        <f>SUM((('Worker Premium Calc'!I28*'Worker Premium Calc'!B28*'Worker Premium Calc'!K28*policy_term)/1000*$K$2)+SUM(('Worker Premium Calc'!I28*'Worker Premium Calc'!B28*'Worker Premium Calc'!L28*policy_term)/1000*$L$2)+SUM(('Worker Premium Calc'!I28*'Worker Premium Calc'!B28*'Worker Premium Calc'!M28*policy_term)/1000*$M$2))</f>
        <v>0</v>
      </c>
      <c r="L28" s="85">
        <f>SUM((('Worker Premium Calc'!J28*'Worker Premium Calc'!B28*'Worker Premium Calc'!N28*policy_term)/1000*$K$2)+SUM(('Worker Premium Calc'!J28*'Worker Premium Calc'!B28*'Worker Premium Calc'!O28*policy_term)/1000*$L$2)+SUM(('Worker Premium Calc'!J28*'Worker Premium Calc'!B28*'Worker Premium Calc'!P28*policy_term)/1000*$M$2))</f>
        <v>0</v>
      </c>
      <c r="M28" s="85">
        <f t="shared" si="11"/>
        <v>0</v>
      </c>
      <c r="N28" s="46">
        <f t="shared" si="0"/>
        <v>0</v>
      </c>
      <c r="O28" s="46">
        <f t="shared" si="1"/>
        <v>0</v>
      </c>
      <c r="P28" s="46">
        <f t="shared" si="2"/>
        <v>0</v>
      </c>
      <c r="Q28" s="46">
        <f t="shared" si="12"/>
        <v>0</v>
      </c>
      <c r="S28" s="85">
        <f>SUM((('Worker Premium Calc'!I28*'Worker Premium Calc'!B28*'Worker Premium Calc'!K28*policy_term)/1000*$S$2)+SUM(('Worker Premium Calc'!I28*'Worker Premium Calc'!B28*'Worker Premium Calc'!L28*policy_term)/1000*$T$2)+SUM(('Worker Premium Calc'!I28*'Worker Premium Calc'!B28*'Worker Premium Calc'!M28*policy_term)/1000*$U$2))</f>
        <v>0</v>
      </c>
      <c r="T28" s="85">
        <f>SUM((('Worker Premium Calc'!J28*'Worker Premium Calc'!B28*'Worker Premium Calc'!N28*policy_term)/1000*$S$2)+SUM(('Worker Premium Calc'!J28*'Worker Premium Calc'!B28*'Worker Premium Calc'!O28*policy_term)/1000*$T$2)+SUM(('Worker Premium Calc'!J28*'Worker Premium Calc'!B28*'Worker Premium Calc'!P28*policy_term)/1000*$U$2))</f>
        <v>0</v>
      </c>
      <c r="U28" s="85">
        <f t="shared" si="13"/>
        <v>0</v>
      </c>
      <c r="V28" s="46">
        <f t="shared" si="3"/>
        <v>0</v>
      </c>
      <c r="W28" s="46">
        <f t="shared" si="4"/>
        <v>0</v>
      </c>
      <c r="X28" s="46">
        <f t="shared" si="5"/>
        <v>0</v>
      </c>
      <c r="Y28" s="46">
        <f t="shared" si="14"/>
        <v>0</v>
      </c>
    </row>
    <row r="29" spans="2:25" x14ac:dyDescent="0.3">
      <c r="B29" s="13" t="str">
        <f>'Worker Premium Calc'!C29</f>
        <v/>
      </c>
      <c r="C29" s="85">
        <f>SUM((('Worker Premium Calc'!I29*'Worker Premium Calc'!B29*'Worker Premium Calc'!K29*policy_term)/1000*$C$2)+SUM(('Worker Premium Calc'!I29*'Worker Premium Calc'!B29*'Worker Premium Calc'!L29*policy_term)/1000*$D$2)+SUM(('Worker Premium Calc'!I29*'Worker Premium Calc'!B29*'Worker Premium Calc'!M29*policy_term)/1000*$E$2))</f>
        <v>0</v>
      </c>
      <c r="D29" s="46">
        <f>SUM((('Worker Premium Calc'!J29*'Worker Premium Calc'!B29*'Worker Premium Calc'!N29*policy_term)/1000*$C$2)+SUM(('Worker Premium Calc'!J29*'Worker Premium Calc'!B29*'Worker Premium Calc'!O29*policy_term)/1000*$D$2)+SUM(('Worker Premium Calc'!J29*'Worker Premium Calc'!B29*'Worker Premium Calc'!P29*policy_term)/1000*$E$2))</f>
        <v>0</v>
      </c>
      <c r="E29" s="85">
        <f t="shared" si="6"/>
        <v>0</v>
      </c>
      <c r="F29" s="46">
        <f t="shared" si="7"/>
        <v>0</v>
      </c>
      <c r="G29" s="46">
        <f t="shared" si="8"/>
        <v>0</v>
      </c>
      <c r="H29" s="85">
        <f t="shared" si="9"/>
        <v>0</v>
      </c>
      <c r="I29" s="85">
        <f t="shared" si="10"/>
        <v>0</v>
      </c>
      <c r="K29" s="85">
        <f>SUM((('Worker Premium Calc'!I29*'Worker Premium Calc'!B29*'Worker Premium Calc'!K29*policy_term)/1000*$K$2)+SUM(('Worker Premium Calc'!I29*'Worker Premium Calc'!B29*'Worker Premium Calc'!L29*policy_term)/1000*$L$2)+SUM(('Worker Premium Calc'!I29*'Worker Premium Calc'!B29*'Worker Premium Calc'!M29*policy_term)/1000*$M$2))</f>
        <v>0</v>
      </c>
      <c r="L29" s="85">
        <f>SUM((('Worker Premium Calc'!J29*'Worker Premium Calc'!B29*'Worker Premium Calc'!N29*policy_term)/1000*$K$2)+SUM(('Worker Premium Calc'!J29*'Worker Premium Calc'!B29*'Worker Premium Calc'!O29*policy_term)/1000*$L$2)+SUM(('Worker Premium Calc'!J29*'Worker Premium Calc'!B29*'Worker Premium Calc'!P29*policy_term)/1000*$M$2))</f>
        <v>0</v>
      </c>
      <c r="M29" s="85">
        <f t="shared" si="11"/>
        <v>0</v>
      </c>
      <c r="N29" s="46">
        <f t="shared" si="0"/>
        <v>0</v>
      </c>
      <c r="O29" s="46">
        <f t="shared" si="1"/>
        <v>0</v>
      </c>
      <c r="P29" s="46">
        <f t="shared" si="2"/>
        <v>0</v>
      </c>
      <c r="Q29" s="46">
        <f t="shared" si="12"/>
        <v>0</v>
      </c>
      <c r="S29" s="85">
        <f>SUM((('Worker Premium Calc'!I29*'Worker Premium Calc'!B29*'Worker Premium Calc'!K29*policy_term)/1000*$S$2)+SUM(('Worker Premium Calc'!I29*'Worker Premium Calc'!B29*'Worker Premium Calc'!L29*policy_term)/1000*$T$2)+SUM(('Worker Premium Calc'!I29*'Worker Premium Calc'!B29*'Worker Premium Calc'!M29*policy_term)/1000*$U$2))</f>
        <v>0</v>
      </c>
      <c r="T29" s="85">
        <f>SUM((('Worker Premium Calc'!J29*'Worker Premium Calc'!B29*'Worker Premium Calc'!N29*policy_term)/1000*$S$2)+SUM(('Worker Premium Calc'!J29*'Worker Premium Calc'!B29*'Worker Premium Calc'!O29*policy_term)/1000*$T$2)+SUM(('Worker Premium Calc'!J29*'Worker Premium Calc'!B29*'Worker Premium Calc'!P29*policy_term)/1000*$U$2))</f>
        <v>0</v>
      </c>
      <c r="U29" s="85">
        <f t="shared" si="13"/>
        <v>0</v>
      </c>
      <c r="V29" s="46">
        <f t="shared" si="3"/>
        <v>0</v>
      </c>
      <c r="W29" s="46">
        <f t="shared" si="4"/>
        <v>0</v>
      </c>
      <c r="X29" s="46">
        <f t="shared" si="5"/>
        <v>0</v>
      </c>
      <c r="Y29" s="46">
        <f t="shared" si="14"/>
        <v>0</v>
      </c>
    </row>
    <row r="30" spans="2:25" x14ac:dyDescent="0.3">
      <c r="B30" s="13" t="str">
        <f>'Worker Premium Calc'!C30</f>
        <v/>
      </c>
      <c r="C30" s="85">
        <f>SUM((('Worker Premium Calc'!I30*'Worker Premium Calc'!B30*'Worker Premium Calc'!K30*policy_term)/1000*$C$2)+SUM(('Worker Premium Calc'!I30*'Worker Premium Calc'!B30*'Worker Premium Calc'!L30*policy_term)/1000*$D$2)+SUM(('Worker Premium Calc'!I30*'Worker Premium Calc'!B30*'Worker Premium Calc'!M30*policy_term)/1000*$E$2))</f>
        <v>0</v>
      </c>
      <c r="D30" s="46">
        <f>SUM((('Worker Premium Calc'!J30*'Worker Premium Calc'!B30*'Worker Premium Calc'!N30*policy_term)/1000*$C$2)+SUM(('Worker Premium Calc'!J30*'Worker Premium Calc'!B30*'Worker Premium Calc'!O30*policy_term)/1000*$D$2)+SUM(('Worker Premium Calc'!J30*'Worker Premium Calc'!B30*'Worker Premium Calc'!P30*policy_term)/1000*$E$2))</f>
        <v>0</v>
      </c>
      <c r="E30" s="85">
        <f t="shared" si="6"/>
        <v>0</v>
      </c>
      <c r="F30" s="46">
        <f t="shared" si="7"/>
        <v>0</v>
      </c>
      <c r="G30" s="46">
        <f t="shared" si="8"/>
        <v>0</v>
      </c>
      <c r="H30" s="85">
        <f t="shared" si="9"/>
        <v>0</v>
      </c>
      <c r="I30" s="85">
        <f t="shared" si="10"/>
        <v>0</v>
      </c>
      <c r="K30" s="85">
        <f>SUM((('Worker Premium Calc'!I30*'Worker Premium Calc'!B30*'Worker Premium Calc'!K30*policy_term)/1000*$K$2)+SUM(('Worker Premium Calc'!I30*'Worker Premium Calc'!B30*'Worker Premium Calc'!L30*policy_term)/1000*$L$2)+SUM(('Worker Premium Calc'!I30*'Worker Premium Calc'!B30*'Worker Premium Calc'!M30*policy_term)/1000*$M$2))</f>
        <v>0</v>
      </c>
      <c r="L30" s="85">
        <f>SUM((('Worker Premium Calc'!J30*'Worker Premium Calc'!B30*'Worker Premium Calc'!N30*policy_term)/1000*$K$2)+SUM(('Worker Premium Calc'!J30*'Worker Premium Calc'!B30*'Worker Premium Calc'!O30*policy_term)/1000*$L$2)+SUM(('Worker Premium Calc'!J30*'Worker Premium Calc'!B30*'Worker Premium Calc'!P30*policy_term)/1000*$M$2))</f>
        <v>0</v>
      </c>
      <c r="M30" s="85">
        <f t="shared" si="11"/>
        <v>0</v>
      </c>
      <c r="N30" s="46">
        <f t="shared" si="0"/>
        <v>0</v>
      </c>
      <c r="O30" s="46">
        <f t="shared" si="1"/>
        <v>0</v>
      </c>
      <c r="P30" s="46">
        <f t="shared" si="2"/>
        <v>0</v>
      </c>
      <c r="Q30" s="46">
        <f t="shared" si="12"/>
        <v>0</v>
      </c>
      <c r="S30" s="85">
        <f>SUM((('Worker Premium Calc'!I30*'Worker Premium Calc'!B30*'Worker Premium Calc'!K30*policy_term)/1000*$S$2)+SUM(('Worker Premium Calc'!I30*'Worker Premium Calc'!B30*'Worker Premium Calc'!L30*policy_term)/1000*$T$2)+SUM(('Worker Premium Calc'!I30*'Worker Premium Calc'!B30*'Worker Premium Calc'!M30*policy_term)/1000*$U$2))</f>
        <v>0</v>
      </c>
      <c r="T30" s="85">
        <f>SUM((('Worker Premium Calc'!J30*'Worker Premium Calc'!B30*'Worker Premium Calc'!N30*policy_term)/1000*$S$2)+SUM(('Worker Premium Calc'!J30*'Worker Premium Calc'!B30*'Worker Premium Calc'!O30*policy_term)/1000*$T$2)+SUM(('Worker Premium Calc'!J30*'Worker Premium Calc'!B30*'Worker Premium Calc'!P30*policy_term)/1000*$U$2))</f>
        <v>0</v>
      </c>
      <c r="U30" s="85">
        <f t="shared" si="13"/>
        <v>0</v>
      </c>
      <c r="V30" s="46">
        <f t="shared" si="3"/>
        <v>0</v>
      </c>
      <c r="W30" s="46">
        <f t="shared" si="4"/>
        <v>0</v>
      </c>
      <c r="X30" s="46">
        <f t="shared" si="5"/>
        <v>0</v>
      </c>
      <c r="Y30" s="46">
        <f t="shared" si="14"/>
        <v>0</v>
      </c>
    </row>
    <row r="31" spans="2:25" x14ac:dyDescent="0.3">
      <c r="B31" s="13" t="str">
        <f>'Worker Premium Calc'!C31</f>
        <v/>
      </c>
      <c r="C31" s="85">
        <f>SUM((('Worker Premium Calc'!I31*'Worker Premium Calc'!B31*'Worker Premium Calc'!K31*policy_term)/1000*$C$2)+SUM(('Worker Premium Calc'!I31*'Worker Premium Calc'!B31*'Worker Premium Calc'!L31*policy_term)/1000*$D$2)+SUM(('Worker Premium Calc'!I31*'Worker Premium Calc'!B31*'Worker Premium Calc'!M31*policy_term)/1000*$E$2))</f>
        <v>0</v>
      </c>
      <c r="D31" s="46">
        <f>SUM((('Worker Premium Calc'!J31*'Worker Premium Calc'!B31*'Worker Premium Calc'!N31*policy_term)/1000*$C$2)+SUM(('Worker Premium Calc'!J31*'Worker Premium Calc'!B31*'Worker Premium Calc'!O31*policy_term)/1000*$D$2)+SUM(('Worker Premium Calc'!J31*'Worker Premium Calc'!B31*'Worker Premium Calc'!P31*policy_term)/1000*$E$2))</f>
        <v>0</v>
      </c>
      <c r="E31" s="85">
        <f t="shared" si="6"/>
        <v>0</v>
      </c>
      <c r="F31" s="46">
        <f t="shared" si="7"/>
        <v>0</v>
      </c>
      <c r="G31" s="46">
        <f t="shared" si="8"/>
        <v>0</v>
      </c>
      <c r="H31" s="85">
        <f t="shared" si="9"/>
        <v>0</v>
      </c>
      <c r="I31" s="85">
        <f t="shared" si="10"/>
        <v>0</v>
      </c>
      <c r="K31" s="85">
        <f>SUM((('Worker Premium Calc'!I31*'Worker Premium Calc'!B31*'Worker Premium Calc'!K31*policy_term)/1000*$K$2)+SUM(('Worker Premium Calc'!I31*'Worker Premium Calc'!B31*'Worker Premium Calc'!L31*policy_term)/1000*$L$2)+SUM(('Worker Premium Calc'!I31*'Worker Premium Calc'!B31*'Worker Premium Calc'!M31*policy_term)/1000*$M$2))</f>
        <v>0</v>
      </c>
      <c r="L31" s="85">
        <f>SUM((('Worker Premium Calc'!J31*'Worker Premium Calc'!B31*'Worker Premium Calc'!N31*policy_term)/1000*$K$2)+SUM(('Worker Premium Calc'!J31*'Worker Premium Calc'!B31*'Worker Premium Calc'!O31*policy_term)/1000*$L$2)+SUM(('Worker Premium Calc'!J31*'Worker Premium Calc'!B31*'Worker Premium Calc'!P31*policy_term)/1000*$M$2))</f>
        <v>0</v>
      </c>
      <c r="M31" s="85">
        <f t="shared" si="11"/>
        <v>0</v>
      </c>
      <c r="N31" s="46">
        <f t="shared" si="0"/>
        <v>0</v>
      </c>
      <c r="O31" s="46">
        <f t="shared" si="1"/>
        <v>0</v>
      </c>
      <c r="P31" s="46">
        <f t="shared" si="2"/>
        <v>0</v>
      </c>
      <c r="Q31" s="46">
        <f t="shared" si="12"/>
        <v>0</v>
      </c>
      <c r="S31" s="85">
        <f>SUM((('Worker Premium Calc'!I31*'Worker Premium Calc'!B31*'Worker Premium Calc'!K31*policy_term)/1000*$S$2)+SUM(('Worker Premium Calc'!I31*'Worker Premium Calc'!B31*'Worker Premium Calc'!L31*policy_term)/1000*$T$2)+SUM(('Worker Premium Calc'!I31*'Worker Premium Calc'!B31*'Worker Premium Calc'!M31*policy_term)/1000*$U$2))</f>
        <v>0</v>
      </c>
      <c r="T31" s="85">
        <f>SUM((('Worker Premium Calc'!J31*'Worker Premium Calc'!B31*'Worker Premium Calc'!N31*policy_term)/1000*$S$2)+SUM(('Worker Premium Calc'!J31*'Worker Premium Calc'!B31*'Worker Premium Calc'!O31*policy_term)/1000*$T$2)+SUM(('Worker Premium Calc'!J31*'Worker Premium Calc'!B31*'Worker Premium Calc'!P31*policy_term)/1000*$U$2))</f>
        <v>0</v>
      </c>
      <c r="U31" s="85">
        <f t="shared" si="13"/>
        <v>0</v>
      </c>
      <c r="V31" s="46">
        <f t="shared" si="3"/>
        <v>0</v>
      </c>
      <c r="W31" s="46">
        <f t="shared" si="4"/>
        <v>0</v>
      </c>
      <c r="X31" s="46">
        <f t="shared" si="5"/>
        <v>0</v>
      </c>
      <c r="Y31" s="46">
        <f t="shared" si="14"/>
        <v>0</v>
      </c>
    </row>
    <row r="32" spans="2:25" x14ac:dyDescent="0.3">
      <c r="B32" s="13" t="str">
        <f>'Worker Premium Calc'!C32</f>
        <v/>
      </c>
      <c r="C32" s="85">
        <f>SUM((('Worker Premium Calc'!I32*'Worker Premium Calc'!B32*'Worker Premium Calc'!K32*policy_term)/1000*$C$2)+SUM(('Worker Premium Calc'!I32*'Worker Premium Calc'!B32*'Worker Premium Calc'!L32*policy_term)/1000*$D$2)+SUM(('Worker Premium Calc'!I32*'Worker Premium Calc'!B32*'Worker Premium Calc'!M32*policy_term)/1000*$E$2))</f>
        <v>0</v>
      </c>
      <c r="D32" s="46">
        <f>SUM((('Worker Premium Calc'!J32*'Worker Premium Calc'!B32*'Worker Premium Calc'!N32*policy_term)/1000*$C$2)+SUM(('Worker Premium Calc'!J32*'Worker Premium Calc'!B32*'Worker Premium Calc'!O32*policy_term)/1000*$D$2)+SUM(('Worker Premium Calc'!J32*'Worker Premium Calc'!B32*'Worker Premium Calc'!P32*policy_term)/1000*$E$2))</f>
        <v>0</v>
      </c>
      <c r="E32" s="85">
        <f t="shared" si="6"/>
        <v>0</v>
      </c>
      <c r="F32" s="46">
        <f t="shared" si="7"/>
        <v>0</v>
      </c>
      <c r="G32" s="46">
        <f t="shared" si="8"/>
        <v>0</v>
      </c>
      <c r="H32" s="85">
        <f t="shared" si="9"/>
        <v>0</v>
      </c>
      <c r="I32" s="85">
        <f t="shared" si="10"/>
        <v>0</v>
      </c>
      <c r="K32" s="85">
        <f>SUM((('Worker Premium Calc'!I32*'Worker Premium Calc'!B32*'Worker Premium Calc'!K32*policy_term)/1000*$K$2)+SUM(('Worker Premium Calc'!I32*'Worker Premium Calc'!B32*'Worker Premium Calc'!L32*policy_term)/1000*$L$2)+SUM(('Worker Premium Calc'!I32*'Worker Premium Calc'!B32*'Worker Premium Calc'!M32*policy_term)/1000*$M$2))</f>
        <v>0</v>
      </c>
      <c r="L32" s="85">
        <f>SUM((('Worker Premium Calc'!J32*'Worker Premium Calc'!B32*'Worker Premium Calc'!N32*policy_term)/1000*$K$2)+SUM(('Worker Premium Calc'!J32*'Worker Premium Calc'!B32*'Worker Premium Calc'!O32*policy_term)/1000*$L$2)+SUM(('Worker Premium Calc'!J32*'Worker Premium Calc'!B32*'Worker Premium Calc'!P32*policy_term)/1000*$M$2))</f>
        <v>0</v>
      </c>
      <c r="M32" s="85">
        <f t="shared" si="11"/>
        <v>0</v>
      </c>
      <c r="N32" s="46">
        <f t="shared" si="0"/>
        <v>0</v>
      </c>
      <c r="O32" s="46">
        <f t="shared" si="1"/>
        <v>0</v>
      </c>
      <c r="P32" s="46">
        <f t="shared" si="2"/>
        <v>0</v>
      </c>
      <c r="Q32" s="46">
        <f t="shared" si="12"/>
        <v>0</v>
      </c>
      <c r="S32" s="85">
        <f>SUM((('Worker Premium Calc'!I32*'Worker Premium Calc'!B32*'Worker Premium Calc'!K32*policy_term)/1000*$S$2)+SUM(('Worker Premium Calc'!I32*'Worker Premium Calc'!B32*'Worker Premium Calc'!L32*policy_term)/1000*$T$2)+SUM(('Worker Premium Calc'!I32*'Worker Premium Calc'!B32*'Worker Premium Calc'!M32*policy_term)/1000*$U$2))</f>
        <v>0</v>
      </c>
      <c r="T32" s="85">
        <f>SUM((('Worker Premium Calc'!J32*'Worker Premium Calc'!B32*'Worker Premium Calc'!N32*policy_term)/1000*$S$2)+SUM(('Worker Premium Calc'!J32*'Worker Premium Calc'!B32*'Worker Premium Calc'!O32*policy_term)/1000*$T$2)+SUM(('Worker Premium Calc'!J32*'Worker Premium Calc'!B32*'Worker Premium Calc'!P32*policy_term)/1000*$U$2))</f>
        <v>0</v>
      </c>
      <c r="U32" s="85">
        <f t="shared" si="13"/>
        <v>0</v>
      </c>
      <c r="V32" s="46">
        <f t="shared" si="3"/>
        <v>0</v>
      </c>
      <c r="W32" s="46">
        <f t="shared" si="4"/>
        <v>0</v>
      </c>
      <c r="X32" s="46">
        <f t="shared" si="5"/>
        <v>0</v>
      </c>
      <c r="Y32" s="46">
        <f t="shared" si="14"/>
        <v>0</v>
      </c>
    </row>
    <row r="33" spans="2:25" x14ac:dyDescent="0.3">
      <c r="B33" s="13" t="str">
        <f>'Worker Premium Calc'!C33</f>
        <v/>
      </c>
      <c r="C33" s="85">
        <f>SUM((('Worker Premium Calc'!I33*'Worker Premium Calc'!B33*'Worker Premium Calc'!K33*policy_term)/1000*$C$2)+SUM(('Worker Premium Calc'!I33*'Worker Premium Calc'!B33*'Worker Premium Calc'!L33*policy_term)/1000*$D$2)+SUM(('Worker Premium Calc'!I33*'Worker Premium Calc'!B33*'Worker Premium Calc'!M33*policy_term)/1000*$E$2))</f>
        <v>0</v>
      </c>
      <c r="D33" s="46">
        <f>SUM((('Worker Premium Calc'!J33*'Worker Premium Calc'!B33*'Worker Premium Calc'!N33*policy_term)/1000*$C$2)+SUM(('Worker Premium Calc'!J33*'Worker Premium Calc'!B33*'Worker Premium Calc'!O33*policy_term)/1000*$D$2)+SUM(('Worker Premium Calc'!J33*'Worker Premium Calc'!B33*'Worker Premium Calc'!P33*policy_term)/1000*$E$2))</f>
        <v>0</v>
      </c>
      <c r="E33" s="85">
        <f t="shared" si="6"/>
        <v>0</v>
      </c>
      <c r="F33" s="46">
        <f t="shared" si="7"/>
        <v>0</v>
      </c>
      <c r="G33" s="46">
        <f t="shared" si="8"/>
        <v>0</v>
      </c>
      <c r="H33" s="85">
        <f t="shared" si="9"/>
        <v>0</v>
      </c>
      <c r="I33" s="85">
        <f t="shared" si="10"/>
        <v>0</v>
      </c>
      <c r="K33" s="85">
        <f>SUM((('Worker Premium Calc'!I33*'Worker Premium Calc'!B33*'Worker Premium Calc'!K33*policy_term)/1000*$K$2)+SUM(('Worker Premium Calc'!I33*'Worker Premium Calc'!B33*'Worker Premium Calc'!L33*policy_term)/1000*$L$2)+SUM(('Worker Premium Calc'!I33*'Worker Premium Calc'!B33*'Worker Premium Calc'!M33*policy_term)/1000*$M$2))</f>
        <v>0</v>
      </c>
      <c r="L33" s="85">
        <f>SUM((('Worker Premium Calc'!J33*'Worker Premium Calc'!B33*'Worker Premium Calc'!N33*policy_term)/1000*$K$2)+SUM(('Worker Premium Calc'!J33*'Worker Premium Calc'!B33*'Worker Premium Calc'!O33*policy_term)/1000*$L$2)+SUM(('Worker Premium Calc'!J33*'Worker Premium Calc'!B33*'Worker Premium Calc'!P33*policy_term)/1000*$M$2))</f>
        <v>0</v>
      </c>
      <c r="M33" s="85">
        <f t="shared" si="11"/>
        <v>0</v>
      </c>
      <c r="N33" s="46">
        <f t="shared" si="0"/>
        <v>0</v>
      </c>
      <c r="O33" s="46">
        <f t="shared" si="1"/>
        <v>0</v>
      </c>
      <c r="P33" s="46">
        <f t="shared" si="2"/>
        <v>0</v>
      </c>
      <c r="Q33" s="46">
        <f t="shared" si="12"/>
        <v>0</v>
      </c>
      <c r="S33" s="85">
        <f>SUM((('Worker Premium Calc'!I33*'Worker Premium Calc'!B33*'Worker Premium Calc'!K33*policy_term)/1000*$S$2)+SUM(('Worker Premium Calc'!I33*'Worker Premium Calc'!B33*'Worker Premium Calc'!L33*policy_term)/1000*$T$2)+SUM(('Worker Premium Calc'!I33*'Worker Premium Calc'!B33*'Worker Premium Calc'!M33*policy_term)/1000*$U$2))</f>
        <v>0</v>
      </c>
      <c r="T33" s="85">
        <f>SUM((('Worker Premium Calc'!J33*'Worker Premium Calc'!B33*'Worker Premium Calc'!N33*policy_term)/1000*$S$2)+SUM(('Worker Premium Calc'!J33*'Worker Premium Calc'!B33*'Worker Premium Calc'!O33*policy_term)/1000*$T$2)+SUM(('Worker Premium Calc'!J33*'Worker Premium Calc'!B33*'Worker Premium Calc'!P33*policy_term)/1000*$U$2))</f>
        <v>0</v>
      </c>
      <c r="U33" s="85">
        <f t="shared" si="13"/>
        <v>0</v>
      </c>
      <c r="V33" s="46">
        <f t="shared" si="3"/>
        <v>0</v>
      </c>
      <c r="W33" s="46">
        <f t="shared" si="4"/>
        <v>0</v>
      </c>
      <c r="X33" s="46">
        <f t="shared" si="5"/>
        <v>0</v>
      </c>
      <c r="Y33" s="46">
        <f t="shared" si="14"/>
        <v>0</v>
      </c>
    </row>
    <row r="34" spans="2:25" x14ac:dyDescent="0.3">
      <c r="B34" s="13" t="str">
        <f>'Worker Premium Calc'!C34</f>
        <v/>
      </c>
      <c r="C34" s="85">
        <f>SUM((('Worker Premium Calc'!I34*'Worker Premium Calc'!B34*'Worker Premium Calc'!K34*policy_term)/1000*$C$2)+SUM(('Worker Premium Calc'!I34*'Worker Premium Calc'!B34*'Worker Premium Calc'!L34*policy_term)/1000*$D$2)+SUM(('Worker Premium Calc'!I34*'Worker Premium Calc'!B34*'Worker Premium Calc'!M34*policy_term)/1000*$E$2))</f>
        <v>0</v>
      </c>
      <c r="D34" s="46">
        <f>SUM((('Worker Premium Calc'!J34*'Worker Premium Calc'!B34*'Worker Premium Calc'!N34*policy_term)/1000*$C$2)+SUM(('Worker Premium Calc'!J34*'Worker Premium Calc'!B34*'Worker Premium Calc'!O34*policy_term)/1000*$D$2)+SUM(('Worker Premium Calc'!J34*'Worker Premium Calc'!B34*'Worker Premium Calc'!P34*policy_term)/1000*$E$2))</f>
        <v>0</v>
      </c>
      <c r="E34" s="85">
        <f t="shared" si="6"/>
        <v>0</v>
      </c>
      <c r="F34" s="46">
        <f t="shared" si="7"/>
        <v>0</v>
      </c>
      <c r="G34" s="46">
        <f t="shared" si="8"/>
        <v>0</v>
      </c>
      <c r="H34" s="85">
        <f t="shared" si="9"/>
        <v>0</v>
      </c>
      <c r="I34" s="85">
        <f t="shared" si="10"/>
        <v>0</v>
      </c>
      <c r="K34" s="85">
        <f>SUM((('Worker Premium Calc'!I34*'Worker Premium Calc'!B34*'Worker Premium Calc'!K34*policy_term)/1000*$K$2)+SUM(('Worker Premium Calc'!I34*'Worker Premium Calc'!B34*'Worker Premium Calc'!L34*policy_term)/1000*$L$2)+SUM(('Worker Premium Calc'!I34*'Worker Premium Calc'!B34*'Worker Premium Calc'!M34*policy_term)/1000*$M$2))</f>
        <v>0</v>
      </c>
      <c r="L34" s="85">
        <f>SUM((('Worker Premium Calc'!J34*'Worker Premium Calc'!B34*'Worker Premium Calc'!N34*policy_term)/1000*$K$2)+SUM(('Worker Premium Calc'!J34*'Worker Premium Calc'!B34*'Worker Premium Calc'!O34*policy_term)/1000*$L$2)+SUM(('Worker Premium Calc'!J34*'Worker Premium Calc'!B34*'Worker Premium Calc'!P34*policy_term)/1000*$M$2))</f>
        <v>0</v>
      </c>
      <c r="M34" s="85">
        <f t="shared" si="11"/>
        <v>0</v>
      </c>
      <c r="N34" s="46">
        <f t="shared" si="0"/>
        <v>0</v>
      </c>
      <c r="O34" s="46">
        <f t="shared" si="1"/>
        <v>0</v>
      </c>
      <c r="P34" s="46">
        <f t="shared" si="2"/>
        <v>0</v>
      </c>
      <c r="Q34" s="46">
        <f t="shared" si="12"/>
        <v>0</v>
      </c>
      <c r="S34" s="85">
        <f>SUM((('Worker Premium Calc'!I34*'Worker Premium Calc'!B34*'Worker Premium Calc'!K34*policy_term)/1000*$S$2)+SUM(('Worker Premium Calc'!I34*'Worker Premium Calc'!B34*'Worker Premium Calc'!L34*policy_term)/1000*$T$2)+SUM(('Worker Premium Calc'!I34*'Worker Premium Calc'!B34*'Worker Premium Calc'!M34*policy_term)/1000*$U$2))</f>
        <v>0</v>
      </c>
      <c r="T34" s="85">
        <f>SUM((('Worker Premium Calc'!J34*'Worker Premium Calc'!B34*'Worker Premium Calc'!N34*policy_term)/1000*$S$2)+SUM(('Worker Premium Calc'!J34*'Worker Premium Calc'!B34*'Worker Premium Calc'!O34*policy_term)/1000*$T$2)+SUM(('Worker Premium Calc'!J34*'Worker Premium Calc'!B34*'Worker Premium Calc'!P34*policy_term)/1000*$U$2))</f>
        <v>0</v>
      </c>
      <c r="U34" s="85">
        <f t="shared" si="13"/>
        <v>0</v>
      </c>
      <c r="V34" s="46">
        <f t="shared" si="3"/>
        <v>0</v>
      </c>
      <c r="W34" s="46">
        <f t="shared" si="4"/>
        <v>0</v>
      </c>
      <c r="X34" s="46">
        <f t="shared" si="5"/>
        <v>0</v>
      </c>
      <c r="Y34" s="46">
        <f t="shared" si="14"/>
        <v>0</v>
      </c>
    </row>
    <row r="35" spans="2:25" x14ac:dyDescent="0.3">
      <c r="B35" s="13" t="str">
        <f>'Worker Premium Calc'!C35</f>
        <v/>
      </c>
      <c r="C35" s="85">
        <f>SUM((('Worker Premium Calc'!I35*'Worker Premium Calc'!B35*'Worker Premium Calc'!K35*policy_term)/1000*$C$2)+SUM(('Worker Premium Calc'!I35*'Worker Premium Calc'!B35*'Worker Premium Calc'!L35*policy_term)/1000*$D$2)+SUM(('Worker Premium Calc'!I35*'Worker Premium Calc'!B35*'Worker Premium Calc'!M35*policy_term)/1000*$E$2))</f>
        <v>0</v>
      </c>
      <c r="D35" s="46">
        <f>SUM((('Worker Premium Calc'!J35*'Worker Premium Calc'!B35*'Worker Premium Calc'!N35*policy_term)/1000*$C$2)+SUM(('Worker Premium Calc'!J35*'Worker Premium Calc'!B35*'Worker Premium Calc'!O35*policy_term)/1000*$D$2)+SUM(('Worker Premium Calc'!J35*'Worker Premium Calc'!B35*'Worker Premium Calc'!P35*policy_term)/1000*$E$2))</f>
        <v>0</v>
      </c>
      <c r="E35" s="85">
        <f t="shared" si="6"/>
        <v>0</v>
      </c>
      <c r="F35" s="46">
        <f t="shared" si="7"/>
        <v>0</v>
      </c>
      <c r="G35" s="46">
        <f t="shared" si="8"/>
        <v>0</v>
      </c>
      <c r="H35" s="85">
        <f t="shared" si="9"/>
        <v>0</v>
      </c>
      <c r="I35" s="85">
        <f t="shared" si="10"/>
        <v>0</v>
      </c>
      <c r="K35" s="85">
        <f>SUM((('Worker Premium Calc'!I35*'Worker Premium Calc'!B35*'Worker Premium Calc'!K35*policy_term)/1000*$K$2)+SUM(('Worker Premium Calc'!I35*'Worker Premium Calc'!B35*'Worker Premium Calc'!L35*policy_term)/1000*$L$2)+SUM(('Worker Premium Calc'!I35*'Worker Premium Calc'!B35*'Worker Premium Calc'!M35*policy_term)/1000*$M$2))</f>
        <v>0</v>
      </c>
      <c r="L35" s="85">
        <f>SUM((('Worker Premium Calc'!J35*'Worker Premium Calc'!B35*'Worker Premium Calc'!N35*policy_term)/1000*$K$2)+SUM(('Worker Premium Calc'!J35*'Worker Premium Calc'!B35*'Worker Premium Calc'!O35*policy_term)/1000*$L$2)+SUM(('Worker Premium Calc'!J35*'Worker Premium Calc'!B35*'Worker Premium Calc'!P35*policy_term)/1000*$M$2))</f>
        <v>0</v>
      </c>
      <c r="M35" s="85">
        <f t="shared" si="11"/>
        <v>0</v>
      </c>
      <c r="N35" s="46">
        <f t="shared" si="0"/>
        <v>0</v>
      </c>
      <c r="O35" s="46">
        <f t="shared" si="1"/>
        <v>0</v>
      </c>
      <c r="P35" s="46">
        <f t="shared" si="2"/>
        <v>0</v>
      </c>
      <c r="Q35" s="46">
        <f t="shared" si="12"/>
        <v>0</v>
      </c>
      <c r="S35" s="85">
        <f>SUM((('Worker Premium Calc'!I35*'Worker Premium Calc'!B35*'Worker Premium Calc'!K35*policy_term)/1000*$S$2)+SUM(('Worker Premium Calc'!I35*'Worker Premium Calc'!B35*'Worker Premium Calc'!L35*policy_term)/1000*$T$2)+SUM(('Worker Premium Calc'!I35*'Worker Premium Calc'!B35*'Worker Premium Calc'!M35*policy_term)/1000*$U$2))</f>
        <v>0</v>
      </c>
      <c r="T35" s="85">
        <f>SUM((('Worker Premium Calc'!J35*'Worker Premium Calc'!B35*'Worker Premium Calc'!N35*policy_term)/1000*$S$2)+SUM(('Worker Premium Calc'!J35*'Worker Premium Calc'!B35*'Worker Premium Calc'!O35*policy_term)/1000*$T$2)+SUM(('Worker Premium Calc'!J35*'Worker Premium Calc'!B35*'Worker Premium Calc'!P35*policy_term)/1000*$U$2))</f>
        <v>0</v>
      </c>
      <c r="U35" s="85">
        <f t="shared" si="13"/>
        <v>0</v>
      </c>
      <c r="V35" s="46">
        <f t="shared" si="3"/>
        <v>0</v>
      </c>
      <c r="W35" s="46">
        <f t="shared" si="4"/>
        <v>0</v>
      </c>
      <c r="X35" s="46">
        <f t="shared" si="5"/>
        <v>0</v>
      </c>
      <c r="Y35" s="46">
        <f t="shared" si="14"/>
        <v>0</v>
      </c>
    </row>
    <row r="36" spans="2:25" x14ac:dyDescent="0.3">
      <c r="B36" s="13" t="str">
        <f>'Worker Premium Calc'!C36</f>
        <v/>
      </c>
      <c r="C36" s="85">
        <f>SUM((('Worker Premium Calc'!I36*'Worker Premium Calc'!B36*'Worker Premium Calc'!K36*policy_term)/1000*$C$2)+SUM(('Worker Premium Calc'!I36*'Worker Premium Calc'!B36*'Worker Premium Calc'!L36*policy_term)/1000*$D$2)+SUM(('Worker Premium Calc'!I36*'Worker Premium Calc'!B36*'Worker Premium Calc'!M36*policy_term)/1000*$E$2))</f>
        <v>0</v>
      </c>
      <c r="D36" s="46">
        <f>SUM((('Worker Premium Calc'!J36*'Worker Premium Calc'!B36*'Worker Premium Calc'!N36*policy_term)/1000*$C$2)+SUM(('Worker Premium Calc'!J36*'Worker Premium Calc'!B36*'Worker Premium Calc'!O36*policy_term)/1000*$D$2)+SUM(('Worker Premium Calc'!J36*'Worker Premium Calc'!B36*'Worker Premium Calc'!P36*policy_term)/1000*$E$2))</f>
        <v>0</v>
      </c>
      <c r="E36" s="85">
        <f t="shared" si="6"/>
        <v>0</v>
      </c>
      <c r="F36" s="46">
        <f t="shared" si="7"/>
        <v>0</v>
      </c>
      <c r="G36" s="46">
        <f t="shared" si="8"/>
        <v>0</v>
      </c>
      <c r="H36" s="85">
        <f t="shared" si="9"/>
        <v>0</v>
      </c>
      <c r="I36" s="85">
        <f t="shared" si="10"/>
        <v>0</v>
      </c>
      <c r="K36" s="85">
        <f>SUM((('Worker Premium Calc'!I36*'Worker Premium Calc'!B36*'Worker Premium Calc'!K36*policy_term)/1000*$K$2)+SUM(('Worker Premium Calc'!I36*'Worker Premium Calc'!B36*'Worker Premium Calc'!L36*policy_term)/1000*$L$2)+SUM(('Worker Premium Calc'!I36*'Worker Premium Calc'!B36*'Worker Premium Calc'!M36*policy_term)/1000*$M$2))</f>
        <v>0</v>
      </c>
      <c r="L36" s="85">
        <f>SUM((('Worker Premium Calc'!J36*'Worker Premium Calc'!B36*'Worker Premium Calc'!N36*policy_term)/1000*$K$2)+SUM(('Worker Premium Calc'!J36*'Worker Premium Calc'!B36*'Worker Premium Calc'!O36*policy_term)/1000*$L$2)+SUM(('Worker Premium Calc'!J36*'Worker Premium Calc'!B36*'Worker Premium Calc'!P36*policy_term)/1000*$M$2))</f>
        <v>0</v>
      </c>
      <c r="M36" s="85">
        <f t="shared" si="11"/>
        <v>0</v>
      </c>
      <c r="N36" s="46">
        <f t="shared" si="0"/>
        <v>0</v>
      </c>
      <c r="O36" s="46">
        <f t="shared" si="1"/>
        <v>0</v>
      </c>
      <c r="P36" s="46">
        <f t="shared" si="2"/>
        <v>0</v>
      </c>
      <c r="Q36" s="46">
        <f t="shared" si="12"/>
        <v>0</v>
      </c>
      <c r="S36" s="85">
        <f>SUM((('Worker Premium Calc'!I36*'Worker Premium Calc'!B36*'Worker Premium Calc'!K36*policy_term)/1000*$S$2)+SUM(('Worker Premium Calc'!I36*'Worker Premium Calc'!B36*'Worker Premium Calc'!L36*policy_term)/1000*$T$2)+SUM(('Worker Premium Calc'!I36*'Worker Premium Calc'!B36*'Worker Premium Calc'!M36*policy_term)/1000*$U$2))</f>
        <v>0</v>
      </c>
      <c r="T36" s="85">
        <f>SUM((('Worker Premium Calc'!J36*'Worker Premium Calc'!B36*'Worker Premium Calc'!N36*policy_term)/1000*$S$2)+SUM(('Worker Premium Calc'!J36*'Worker Premium Calc'!B36*'Worker Premium Calc'!O36*policy_term)/1000*$T$2)+SUM(('Worker Premium Calc'!J36*'Worker Premium Calc'!B36*'Worker Premium Calc'!P36*policy_term)/1000*$U$2))</f>
        <v>0</v>
      </c>
      <c r="U36" s="85">
        <f t="shared" si="13"/>
        <v>0</v>
      </c>
      <c r="V36" s="46">
        <f t="shared" si="3"/>
        <v>0</v>
      </c>
      <c r="W36" s="46">
        <f t="shared" si="4"/>
        <v>0</v>
      </c>
      <c r="X36" s="46">
        <f t="shared" si="5"/>
        <v>0</v>
      </c>
      <c r="Y36" s="46">
        <f t="shared" si="14"/>
        <v>0</v>
      </c>
    </row>
    <row r="37" spans="2:25" x14ac:dyDescent="0.3">
      <c r="B37" s="13" t="str">
        <f>'Worker Premium Calc'!C37</f>
        <v/>
      </c>
      <c r="C37" s="85">
        <f>SUM((('Worker Premium Calc'!I37*'Worker Premium Calc'!B37*'Worker Premium Calc'!K37*policy_term)/1000*$C$2)+SUM(('Worker Premium Calc'!I37*'Worker Premium Calc'!B37*'Worker Premium Calc'!L37*policy_term)/1000*$D$2)+SUM(('Worker Premium Calc'!I37*'Worker Premium Calc'!B37*'Worker Premium Calc'!M37*policy_term)/1000*$E$2))</f>
        <v>0</v>
      </c>
      <c r="D37" s="46">
        <f>SUM((('Worker Premium Calc'!J37*'Worker Premium Calc'!B37*'Worker Premium Calc'!N37*policy_term)/1000*$C$2)+SUM(('Worker Premium Calc'!J37*'Worker Premium Calc'!B37*'Worker Premium Calc'!O37*policy_term)/1000*$D$2)+SUM(('Worker Premium Calc'!J37*'Worker Premium Calc'!B37*'Worker Premium Calc'!P37*policy_term)/1000*$E$2))</f>
        <v>0</v>
      </c>
      <c r="E37" s="85">
        <f t="shared" si="6"/>
        <v>0</v>
      </c>
      <c r="F37" s="46">
        <f t="shared" ref="F37:F54" si="15">IFERROR(ROUND((E37*(1+load_disc_perc)),5),0)</f>
        <v>0</v>
      </c>
      <c r="G37" s="46">
        <f t="shared" ref="G37:G54" si="16">ROUND((F37*medex_loading),3)</f>
        <v>0</v>
      </c>
      <c r="H37" s="85">
        <f t="shared" ref="H37:H54" si="17">ROUND((F37*od_loading),3)</f>
        <v>0</v>
      </c>
      <c r="I37" s="85">
        <f t="shared" si="10"/>
        <v>0</v>
      </c>
      <c r="K37" s="85">
        <f>SUM((('Worker Premium Calc'!I37*'Worker Premium Calc'!B37*'Worker Premium Calc'!K37*policy_term)/1000*$K$2)+SUM(('Worker Premium Calc'!I37*'Worker Premium Calc'!B37*'Worker Premium Calc'!L37*policy_term)/1000*$L$2)+SUM(('Worker Premium Calc'!I37*'Worker Premium Calc'!B37*'Worker Premium Calc'!M37*policy_term)/1000*$M$2))</f>
        <v>0</v>
      </c>
      <c r="L37" s="85">
        <f>SUM((('Worker Premium Calc'!J37*'Worker Premium Calc'!B37*'Worker Premium Calc'!N37*policy_term)/1000*$K$2)+SUM(('Worker Premium Calc'!J37*'Worker Premium Calc'!B37*'Worker Premium Calc'!O37*policy_term)/1000*$L$2)+SUM(('Worker Premium Calc'!J37*'Worker Premium Calc'!B37*'Worker Premium Calc'!P37*policy_term)/1000*$M$2))</f>
        <v>0</v>
      </c>
      <c r="M37" s="85">
        <f t="shared" si="11"/>
        <v>0</v>
      </c>
      <c r="N37" s="46">
        <f t="shared" ref="N37:N54" si="18">IFERROR(ROUND((M37*(1+load_disc_perc)),5),0)</f>
        <v>0</v>
      </c>
      <c r="O37" s="46">
        <f t="shared" ref="O37:O54" si="19">ROUND((N37*medex_loading),3)</f>
        <v>0</v>
      </c>
      <c r="P37" s="46">
        <f t="shared" ref="P37:P54" si="20">ROUND((N37*od_loading),3)</f>
        <v>0</v>
      </c>
      <c r="Q37" s="46">
        <f t="shared" si="12"/>
        <v>0</v>
      </c>
      <c r="S37" s="85">
        <f>SUM((('Worker Premium Calc'!I37*'Worker Premium Calc'!B37*'Worker Premium Calc'!K37*policy_term)/1000*$S$2)+SUM(('Worker Premium Calc'!I37*'Worker Premium Calc'!B37*'Worker Premium Calc'!L37*policy_term)/1000*$T$2)+SUM(('Worker Premium Calc'!I37*'Worker Premium Calc'!B37*'Worker Premium Calc'!M37*policy_term)/1000*$U$2))</f>
        <v>0</v>
      </c>
      <c r="T37" s="85">
        <f>SUM((('Worker Premium Calc'!J37*'Worker Premium Calc'!B37*'Worker Premium Calc'!N37*policy_term)/1000*$S$2)+SUM(('Worker Premium Calc'!J37*'Worker Premium Calc'!B37*'Worker Premium Calc'!O37*policy_term)/1000*$T$2)+SUM(('Worker Premium Calc'!J37*'Worker Premium Calc'!B37*'Worker Premium Calc'!P37*policy_term)/1000*$U$2))</f>
        <v>0</v>
      </c>
      <c r="U37" s="85">
        <f t="shared" si="13"/>
        <v>0</v>
      </c>
      <c r="V37" s="46">
        <f t="shared" ref="V37:V54" si="21">IFERROR(ROUND((U37*(1+load_disc_perc)),5),0)</f>
        <v>0</v>
      </c>
      <c r="W37" s="46">
        <f t="shared" ref="W37:W54" si="22">ROUND((V37*medex_loading),3)</f>
        <v>0</v>
      </c>
      <c r="X37" s="46">
        <f t="shared" ref="X37:X54" si="23">ROUND((V37*od_loading),3)</f>
        <v>0</v>
      </c>
      <c r="Y37" s="46">
        <f t="shared" si="14"/>
        <v>0</v>
      </c>
    </row>
    <row r="38" spans="2:25" x14ac:dyDescent="0.3">
      <c r="B38" s="13" t="str">
        <f>'Worker Premium Calc'!C38</f>
        <v/>
      </c>
      <c r="C38" s="85">
        <f>SUM((('Worker Premium Calc'!I38*'Worker Premium Calc'!B38*'Worker Premium Calc'!K38*policy_term)/1000*$C$2)+SUM(('Worker Premium Calc'!I38*'Worker Premium Calc'!B38*'Worker Premium Calc'!L38*policy_term)/1000*$D$2)+SUM(('Worker Premium Calc'!I38*'Worker Premium Calc'!B38*'Worker Premium Calc'!M38*policy_term)/1000*$E$2))</f>
        <v>0</v>
      </c>
      <c r="D38" s="46">
        <f>SUM((('Worker Premium Calc'!J38*'Worker Premium Calc'!B38*'Worker Premium Calc'!N38*policy_term)/1000*$C$2)+SUM(('Worker Premium Calc'!J38*'Worker Premium Calc'!B38*'Worker Premium Calc'!O38*policy_term)/1000*$D$2)+SUM(('Worker Premium Calc'!J38*'Worker Premium Calc'!B38*'Worker Premium Calc'!P38*policy_term)/1000*$E$2))</f>
        <v>0</v>
      </c>
      <c r="E38" s="85">
        <f t="shared" si="6"/>
        <v>0</v>
      </c>
      <c r="F38" s="46">
        <f t="shared" si="15"/>
        <v>0</v>
      </c>
      <c r="G38" s="46">
        <f t="shared" si="16"/>
        <v>0</v>
      </c>
      <c r="H38" s="85">
        <f t="shared" si="17"/>
        <v>0</v>
      </c>
      <c r="I38" s="85">
        <f t="shared" si="10"/>
        <v>0</v>
      </c>
      <c r="K38" s="85">
        <f>SUM((('Worker Premium Calc'!I38*'Worker Premium Calc'!B38*'Worker Premium Calc'!K38*policy_term)/1000*$K$2)+SUM(('Worker Premium Calc'!I38*'Worker Premium Calc'!B38*'Worker Premium Calc'!L38*policy_term)/1000*$L$2)+SUM(('Worker Premium Calc'!I38*'Worker Premium Calc'!B38*'Worker Premium Calc'!M38*policy_term)/1000*$M$2))</f>
        <v>0</v>
      </c>
      <c r="L38" s="85">
        <f>SUM((('Worker Premium Calc'!J38*'Worker Premium Calc'!B38*'Worker Premium Calc'!N38*policy_term)/1000*$K$2)+SUM(('Worker Premium Calc'!J38*'Worker Premium Calc'!B38*'Worker Premium Calc'!O38*policy_term)/1000*$L$2)+SUM(('Worker Premium Calc'!J38*'Worker Premium Calc'!B38*'Worker Premium Calc'!P38*policy_term)/1000*$M$2))</f>
        <v>0</v>
      </c>
      <c r="M38" s="85">
        <f t="shared" si="11"/>
        <v>0</v>
      </c>
      <c r="N38" s="46">
        <f t="shared" si="18"/>
        <v>0</v>
      </c>
      <c r="O38" s="46">
        <f t="shared" si="19"/>
        <v>0</v>
      </c>
      <c r="P38" s="46">
        <f t="shared" si="20"/>
        <v>0</v>
      </c>
      <c r="Q38" s="46">
        <f t="shared" si="12"/>
        <v>0</v>
      </c>
      <c r="S38" s="85">
        <f>SUM((('Worker Premium Calc'!I38*'Worker Premium Calc'!B38*'Worker Premium Calc'!K38*policy_term)/1000*$S$2)+SUM(('Worker Premium Calc'!I38*'Worker Premium Calc'!B38*'Worker Premium Calc'!L38*policy_term)/1000*$T$2)+SUM(('Worker Premium Calc'!I38*'Worker Premium Calc'!B38*'Worker Premium Calc'!M38*policy_term)/1000*$U$2))</f>
        <v>0</v>
      </c>
      <c r="T38" s="85">
        <f>SUM((('Worker Premium Calc'!J38*'Worker Premium Calc'!B38*'Worker Premium Calc'!N38*policy_term)/1000*$S$2)+SUM(('Worker Premium Calc'!J38*'Worker Premium Calc'!B38*'Worker Premium Calc'!O38*policy_term)/1000*$T$2)+SUM(('Worker Premium Calc'!J38*'Worker Premium Calc'!B38*'Worker Premium Calc'!P38*policy_term)/1000*$U$2))</f>
        <v>0</v>
      </c>
      <c r="U38" s="85">
        <f t="shared" si="13"/>
        <v>0</v>
      </c>
      <c r="V38" s="46">
        <f t="shared" si="21"/>
        <v>0</v>
      </c>
      <c r="W38" s="46">
        <f t="shared" si="22"/>
        <v>0</v>
      </c>
      <c r="X38" s="46">
        <f t="shared" si="23"/>
        <v>0</v>
      </c>
      <c r="Y38" s="46">
        <f t="shared" si="14"/>
        <v>0</v>
      </c>
    </row>
    <row r="39" spans="2:25" x14ac:dyDescent="0.3">
      <c r="B39" s="13" t="str">
        <f>'Worker Premium Calc'!C39</f>
        <v/>
      </c>
      <c r="C39" s="85">
        <f>SUM((('Worker Premium Calc'!I39*'Worker Premium Calc'!B39*'Worker Premium Calc'!K39*policy_term)/1000*$C$2)+SUM(('Worker Premium Calc'!I39*'Worker Premium Calc'!B39*'Worker Premium Calc'!L39*policy_term)/1000*$D$2)+SUM(('Worker Premium Calc'!I39*'Worker Premium Calc'!B39*'Worker Premium Calc'!M39*policy_term)/1000*$E$2))</f>
        <v>0</v>
      </c>
      <c r="D39" s="46">
        <f>SUM((('Worker Premium Calc'!J39*'Worker Premium Calc'!B39*'Worker Premium Calc'!N39*policy_term)/1000*$C$2)+SUM(('Worker Premium Calc'!J39*'Worker Premium Calc'!B39*'Worker Premium Calc'!O39*policy_term)/1000*$D$2)+SUM(('Worker Premium Calc'!J39*'Worker Premium Calc'!B39*'Worker Premium Calc'!P39*policy_term)/1000*$E$2))</f>
        <v>0</v>
      </c>
      <c r="E39" s="85">
        <f t="shared" si="6"/>
        <v>0</v>
      </c>
      <c r="F39" s="46">
        <f t="shared" si="15"/>
        <v>0</v>
      </c>
      <c r="G39" s="46">
        <f t="shared" si="16"/>
        <v>0</v>
      </c>
      <c r="H39" s="85">
        <f t="shared" si="17"/>
        <v>0</v>
      </c>
      <c r="I39" s="85">
        <f t="shared" si="10"/>
        <v>0</v>
      </c>
      <c r="K39" s="85">
        <f>SUM((('Worker Premium Calc'!I39*'Worker Premium Calc'!B39*'Worker Premium Calc'!K39*policy_term)/1000*$K$2)+SUM(('Worker Premium Calc'!I39*'Worker Premium Calc'!B39*'Worker Premium Calc'!L39*policy_term)/1000*$L$2)+SUM(('Worker Premium Calc'!I39*'Worker Premium Calc'!B39*'Worker Premium Calc'!M39*policy_term)/1000*$M$2))</f>
        <v>0</v>
      </c>
      <c r="L39" s="85">
        <f>SUM((('Worker Premium Calc'!J39*'Worker Premium Calc'!B39*'Worker Premium Calc'!N39*policy_term)/1000*$K$2)+SUM(('Worker Premium Calc'!J39*'Worker Premium Calc'!B39*'Worker Premium Calc'!O39*policy_term)/1000*$L$2)+SUM(('Worker Premium Calc'!J39*'Worker Premium Calc'!B39*'Worker Premium Calc'!P39*policy_term)/1000*$M$2))</f>
        <v>0</v>
      </c>
      <c r="M39" s="85">
        <f t="shared" si="11"/>
        <v>0</v>
      </c>
      <c r="N39" s="46">
        <f t="shared" si="18"/>
        <v>0</v>
      </c>
      <c r="O39" s="46">
        <f t="shared" si="19"/>
        <v>0</v>
      </c>
      <c r="P39" s="46">
        <f t="shared" si="20"/>
        <v>0</v>
      </c>
      <c r="Q39" s="46">
        <f t="shared" si="12"/>
        <v>0</v>
      </c>
      <c r="S39" s="85">
        <f>SUM((('Worker Premium Calc'!I39*'Worker Premium Calc'!B39*'Worker Premium Calc'!K39*policy_term)/1000*$S$2)+SUM(('Worker Premium Calc'!I39*'Worker Premium Calc'!B39*'Worker Premium Calc'!L39*policy_term)/1000*$T$2)+SUM(('Worker Premium Calc'!I39*'Worker Premium Calc'!B39*'Worker Premium Calc'!M39*policy_term)/1000*$U$2))</f>
        <v>0</v>
      </c>
      <c r="T39" s="85">
        <f>SUM((('Worker Premium Calc'!J39*'Worker Premium Calc'!B39*'Worker Premium Calc'!N39*policy_term)/1000*$S$2)+SUM(('Worker Premium Calc'!J39*'Worker Premium Calc'!B39*'Worker Premium Calc'!O39*policy_term)/1000*$T$2)+SUM(('Worker Premium Calc'!J39*'Worker Premium Calc'!B39*'Worker Premium Calc'!P39*policy_term)/1000*$U$2))</f>
        <v>0</v>
      </c>
      <c r="U39" s="85">
        <f t="shared" si="13"/>
        <v>0</v>
      </c>
      <c r="V39" s="46">
        <f t="shared" si="21"/>
        <v>0</v>
      </c>
      <c r="W39" s="46">
        <f t="shared" si="22"/>
        <v>0</v>
      </c>
      <c r="X39" s="46">
        <f t="shared" si="23"/>
        <v>0</v>
      </c>
      <c r="Y39" s="46">
        <f t="shared" si="14"/>
        <v>0</v>
      </c>
    </row>
    <row r="40" spans="2:25" x14ac:dyDescent="0.3">
      <c r="B40" s="13" t="str">
        <f>'Worker Premium Calc'!C40</f>
        <v/>
      </c>
      <c r="C40" s="85">
        <f>SUM((('Worker Premium Calc'!I40*'Worker Premium Calc'!B40*'Worker Premium Calc'!K40*policy_term)/1000*$C$2)+SUM(('Worker Premium Calc'!I40*'Worker Premium Calc'!B40*'Worker Premium Calc'!L40*policy_term)/1000*$D$2)+SUM(('Worker Premium Calc'!I40*'Worker Premium Calc'!B40*'Worker Premium Calc'!M40*policy_term)/1000*$E$2))</f>
        <v>0</v>
      </c>
      <c r="D40" s="46">
        <f>SUM((('Worker Premium Calc'!J40*'Worker Premium Calc'!B40*'Worker Premium Calc'!N40*policy_term)/1000*$C$2)+SUM(('Worker Premium Calc'!J40*'Worker Premium Calc'!B40*'Worker Premium Calc'!O40*policy_term)/1000*$D$2)+SUM(('Worker Premium Calc'!J40*'Worker Premium Calc'!B40*'Worker Premium Calc'!P40*policy_term)/1000*$E$2))</f>
        <v>0</v>
      </c>
      <c r="E40" s="85">
        <f t="shared" si="6"/>
        <v>0</v>
      </c>
      <c r="F40" s="46">
        <f t="shared" si="15"/>
        <v>0</v>
      </c>
      <c r="G40" s="46">
        <f t="shared" si="16"/>
        <v>0</v>
      </c>
      <c r="H40" s="85">
        <f t="shared" si="17"/>
        <v>0</v>
      </c>
      <c r="I40" s="85">
        <f t="shared" si="10"/>
        <v>0</v>
      </c>
      <c r="K40" s="85">
        <f>SUM((('Worker Premium Calc'!I40*'Worker Premium Calc'!B40*'Worker Premium Calc'!K40*policy_term)/1000*$K$2)+SUM(('Worker Premium Calc'!I40*'Worker Premium Calc'!B40*'Worker Premium Calc'!L40*policy_term)/1000*$L$2)+SUM(('Worker Premium Calc'!I40*'Worker Premium Calc'!B40*'Worker Premium Calc'!M40*policy_term)/1000*$M$2))</f>
        <v>0</v>
      </c>
      <c r="L40" s="85">
        <f>SUM((('Worker Premium Calc'!J40*'Worker Premium Calc'!B40*'Worker Premium Calc'!N40*policy_term)/1000*$K$2)+SUM(('Worker Premium Calc'!J40*'Worker Premium Calc'!B40*'Worker Premium Calc'!O40*policy_term)/1000*$L$2)+SUM(('Worker Premium Calc'!J40*'Worker Premium Calc'!B40*'Worker Premium Calc'!P40*policy_term)/1000*$M$2))</f>
        <v>0</v>
      </c>
      <c r="M40" s="85">
        <f t="shared" si="11"/>
        <v>0</v>
      </c>
      <c r="N40" s="46">
        <f t="shared" si="18"/>
        <v>0</v>
      </c>
      <c r="O40" s="46">
        <f t="shared" si="19"/>
        <v>0</v>
      </c>
      <c r="P40" s="46">
        <f t="shared" si="20"/>
        <v>0</v>
      </c>
      <c r="Q40" s="46">
        <f t="shared" si="12"/>
        <v>0</v>
      </c>
      <c r="S40" s="85">
        <f>SUM((('Worker Premium Calc'!I40*'Worker Premium Calc'!B40*'Worker Premium Calc'!K40*policy_term)/1000*$S$2)+SUM(('Worker Premium Calc'!I40*'Worker Premium Calc'!B40*'Worker Premium Calc'!L40*policy_term)/1000*$T$2)+SUM(('Worker Premium Calc'!I40*'Worker Premium Calc'!B40*'Worker Premium Calc'!M40*policy_term)/1000*$U$2))</f>
        <v>0</v>
      </c>
      <c r="T40" s="85">
        <f>SUM((('Worker Premium Calc'!J40*'Worker Premium Calc'!B40*'Worker Premium Calc'!N40*policy_term)/1000*$S$2)+SUM(('Worker Premium Calc'!J40*'Worker Premium Calc'!B40*'Worker Premium Calc'!O40*policy_term)/1000*$T$2)+SUM(('Worker Premium Calc'!J40*'Worker Premium Calc'!B40*'Worker Premium Calc'!P40*policy_term)/1000*$U$2))</f>
        <v>0</v>
      </c>
      <c r="U40" s="85">
        <f t="shared" si="13"/>
        <v>0</v>
      </c>
      <c r="V40" s="46">
        <f t="shared" si="21"/>
        <v>0</v>
      </c>
      <c r="W40" s="46">
        <f t="shared" si="22"/>
        <v>0</v>
      </c>
      <c r="X40" s="46">
        <f t="shared" si="23"/>
        <v>0</v>
      </c>
      <c r="Y40" s="46">
        <f t="shared" si="14"/>
        <v>0</v>
      </c>
    </row>
    <row r="41" spans="2:25" x14ac:dyDescent="0.3">
      <c r="B41" s="13" t="str">
        <f>'Worker Premium Calc'!C41</f>
        <v/>
      </c>
      <c r="C41" s="85">
        <f>SUM((('Worker Premium Calc'!I41*'Worker Premium Calc'!B41*'Worker Premium Calc'!K41*policy_term)/1000*$C$2)+SUM(('Worker Premium Calc'!I41*'Worker Premium Calc'!B41*'Worker Premium Calc'!L41*policy_term)/1000*$D$2)+SUM(('Worker Premium Calc'!I41*'Worker Premium Calc'!B41*'Worker Premium Calc'!M41*policy_term)/1000*$E$2))</f>
        <v>0</v>
      </c>
      <c r="D41" s="46">
        <f>SUM((('Worker Premium Calc'!J41*'Worker Premium Calc'!B41*'Worker Premium Calc'!N41*policy_term)/1000*$C$2)+SUM(('Worker Premium Calc'!J41*'Worker Premium Calc'!B41*'Worker Premium Calc'!O41*policy_term)/1000*$D$2)+SUM(('Worker Premium Calc'!J41*'Worker Premium Calc'!B41*'Worker Premium Calc'!P41*policy_term)/1000*$E$2))</f>
        <v>0</v>
      </c>
      <c r="E41" s="85">
        <f t="shared" si="6"/>
        <v>0</v>
      </c>
      <c r="F41" s="46">
        <f t="shared" si="15"/>
        <v>0</v>
      </c>
      <c r="G41" s="46">
        <f t="shared" si="16"/>
        <v>0</v>
      </c>
      <c r="H41" s="85">
        <f t="shared" si="17"/>
        <v>0</v>
      </c>
      <c r="I41" s="85">
        <f t="shared" si="10"/>
        <v>0</v>
      </c>
      <c r="K41" s="85">
        <f>SUM((('Worker Premium Calc'!I41*'Worker Premium Calc'!B41*'Worker Premium Calc'!K41*policy_term)/1000*$K$2)+SUM(('Worker Premium Calc'!I41*'Worker Premium Calc'!B41*'Worker Premium Calc'!L41*policy_term)/1000*$L$2)+SUM(('Worker Premium Calc'!I41*'Worker Premium Calc'!B41*'Worker Premium Calc'!M41*policy_term)/1000*$M$2))</f>
        <v>0</v>
      </c>
      <c r="L41" s="85">
        <f>SUM((('Worker Premium Calc'!J41*'Worker Premium Calc'!B41*'Worker Premium Calc'!N41*policy_term)/1000*$K$2)+SUM(('Worker Premium Calc'!J41*'Worker Premium Calc'!B41*'Worker Premium Calc'!O41*policy_term)/1000*$L$2)+SUM(('Worker Premium Calc'!J41*'Worker Premium Calc'!B41*'Worker Premium Calc'!P41*policy_term)/1000*$M$2))</f>
        <v>0</v>
      </c>
      <c r="M41" s="85">
        <f t="shared" si="11"/>
        <v>0</v>
      </c>
      <c r="N41" s="46">
        <f t="shared" si="18"/>
        <v>0</v>
      </c>
      <c r="O41" s="46">
        <f t="shared" si="19"/>
        <v>0</v>
      </c>
      <c r="P41" s="46">
        <f t="shared" si="20"/>
        <v>0</v>
      </c>
      <c r="Q41" s="46">
        <f t="shared" si="12"/>
        <v>0</v>
      </c>
      <c r="S41" s="85">
        <f>SUM((('Worker Premium Calc'!I41*'Worker Premium Calc'!B41*'Worker Premium Calc'!K41*policy_term)/1000*$S$2)+SUM(('Worker Premium Calc'!I41*'Worker Premium Calc'!B41*'Worker Premium Calc'!L41*policy_term)/1000*$T$2)+SUM(('Worker Premium Calc'!I41*'Worker Premium Calc'!B41*'Worker Premium Calc'!M41*policy_term)/1000*$U$2))</f>
        <v>0</v>
      </c>
      <c r="T41" s="85">
        <f>SUM((('Worker Premium Calc'!J41*'Worker Premium Calc'!B41*'Worker Premium Calc'!N41*policy_term)/1000*$S$2)+SUM(('Worker Premium Calc'!J41*'Worker Premium Calc'!B41*'Worker Premium Calc'!O41*policy_term)/1000*$T$2)+SUM(('Worker Premium Calc'!J41*'Worker Premium Calc'!B41*'Worker Premium Calc'!P41*policy_term)/1000*$U$2))</f>
        <v>0</v>
      </c>
      <c r="U41" s="85">
        <f t="shared" si="13"/>
        <v>0</v>
      </c>
      <c r="V41" s="46">
        <f t="shared" si="21"/>
        <v>0</v>
      </c>
      <c r="W41" s="46">
        <f t="shared" si="22"/>
        <v>0</v>
      </c>
      <c r="X41" s="46">
        <f t="shared" si="23"/>
        <v>0</v>
      </c>
      <c r="Y41" s="46">
        <f t="shared" si="14"/>
        <v>0</v>
      </c>
    </row>
    <row r="42" spans="2:25" x14ac:dyDescent="0.3">
      <c r="B42" s="13" t="str">
        <f>'Worker Premium Calc'!C42</f>
        <v/>
      </c>
      <c r="C42" s="85">
        <f>SUM((('Worker Premium Calc'!I42*'Worker Premium Calc'!B42*'Worker Premium Calc'!K42*policy_term)/1000*$C$2)+SUM(('Worker Premium Calc'!I42*'Worker Premium Calc'!B42*'Worker Premium Calc'!L42*policy_term)/1000*$D$2)+SUM(('Worker Premium Calc'!I42*'Worker Premium Calc'!B42*'Worker Premium Calc'!M42*policy_term)/1000*$E$2))</f>
        <v>0</v>
      </c>
      <c r="D42" s="46">
        <f>SUM((('Worker Premium Calc'!J42*'Worker Premium Calc'!B42*'Worker Premium Calc'!N42*policy_term)/1000*$C$2)+SUM(('Worker Premium Calc'!J42*'Worker Premium Calc'!B42*'Worker Premium Calc'!O42*policy_term)/1000*$D$2)+SUM(('Worker Premium Calc'!J42*'Worker Premium Calc'!B42*'Worker Premium Calc'!P42*policy_term)/1000*$E$2))</f>
        <v>0</v>
      </c>
      <c r="E42" s="85">
        <f t="shared" si="6"/>
        <v>0</v>
      </c>
      <c r="F42" s="46">
        <f t="shared" si="15"/>
        <v>0</v>
      </c>
      <c r="G42" s="46">
        <f t="shared" si="16"/>
        <v>0</v>
      </c>
      <c r="H42" s="85">
        <f t="shared" si="17"/>
        <v>0</v>
      </c>
      <c r="I42" s="85">
        <f t="shared" si="10"/>
        <v>0</v>
      </c>
      <c r="K42" s="85">
        <f>SUM((('Worker Premium Calc'!I42*'Worker Premium Calc'!B42*'Worker Premium Calc'!K42*policy_term)/1000*$K$2)+SUM(('Worker Premium Calc'!I42*'Worker Premium Calc'!B42*'Worker Premium Calc'!L42*policy_term)/1000*$L$2)+SUM(('Worker Premium Calc'!I42*'Worker Premium Calc'!B42*'Worker Premium Calc'!M42*policy_term)/1000*$M$2))</f>
        <v>0</v>
      </c>
      <c r="L42" s="85">
        <f>SUM((('Worker Premium Calc'!J42*'Worker Premium Calc'!B42*'Worker Premium Calc'!N42*policy_term)/1000*$K$2)+SUM(('Worker Premium Calc'!J42*'Worker Premium Calc'!B42*'Worker Premium Calc'!O42*policy_term)/1000*$L$2)+SUM(('Worker Premium Calc'!J42*'Worker Premium Calc'!B42*'Worker Premium Calc'!P42*policy_term)/1000*$M$2))</f>
        <v>0</v>
      </c>
      <c r="M42" s="85">
        <f t="shared" si="11"/>
        <v>0</v>
      </c>
      <c r="N42" s="46">
        <f t="shared" si="18"/>
        <v>0</v>
      </c>
      <c r="O42" s="46">
        <f t="shared" si="19"/>
        <v>0</v>
      </c>
      <c r="P42" s="46">
        <f t="shared" si="20"/>
        <v>0</v>
      </c>
      <c r="Q42" s="46">
        <f t="shared" si="12"/>
        <v>0</v>
      </c>
      <c r="S42" s="85">
        <f>SUM((('Worker Premium Calc'!I42*'Worker Premium Calc'!B42*'Worker Premium Calc'!K42*policy_term)/1000*$S$2)+SUM(('Worker Premium Calc'!I42*'Worker Premium Calc'!B42*'Worker Premium Calc'!L42*policy_term)/1000*$T$2)+SUM(('Worker Premium Calc'!I42*'Worker Premium Calc'!B42*'Worker Premium Calc'!M42*policy_term)/1000*$U$2))</f>
        <v>0</v>
      </c>
      <c r="T42" s="85">
        <f>SUM((('Worker Premium Calc'!J42*'Worker Premium Calc'!B42*'Worker Premium Calc'!N42*policy_term)/1000*$S$2)+SUM(('Worker Premium Calc'!J42*'Worker Premium Calc'!B42*'Worker Premium Calc'!O42*policy_term)/1000*$T$2)+SUM(('Worker Premium Calc'!J42*'Worker Premium Calc'!B42*'Worker Premium Calc'!P42*policy_term)/1000*$U$2))</f>
        <v>0</v>
      </c>
      <c r="U42" s="85">
        <f t="shared" si="13"/>
        <v>0</v>
      </c>
      <c r="V42" s="46">
        <f t="shared" si="21"/>
        <v>0</v>
      </c>
      <c r="W42" s="46">
        <f t="shared" si="22"/>
        <v>0</v>
      </c>
      <c r="X42" s="46">
        <f t="shared" si="23"/>
        <v>0</v>
      </c>
      <c r="Y42" s="46">
        <f t="shared" si="14"/>
        <v>0</v>
      </c>
    </row>
    <row r="43" spans="2:25" x14ac:dyDescent="0.3">
      <c r="B43" s="13" t="str">
        <f>'Worker Premium Calc'!C43</f>
        <v/>
      </c>
      <c r="C43" s="85">
        <f>SUM((('Worker Premium Calc'!I43*'Worker Premium Calc'!B43*'Worker Premium Calc'!K43*policy_term)/1000*$C$2)+SUM(('Worker Premium Calc'!I43*'Worker Premium Calc'!B43*'Worker Premium Calc'!L43*policy_term)/1000*$D$2)+SUM(('Worker Premium Calc'!I43*'Worker Premium Calc'!B43*'Worker Premium Calc'!M43*policy_term)/1000*$E$2))</f>
        <v>0</v>
      </c>
      <c r="D43" s="46">
        <f>SUM((('Worker Premium Calc'!J43*'Worker Premium Calc'!B43*'Worker Premium Calc'!N43*policy_term)/1000*$C$2)+SUM(('Worker Premium Calc'!J43*'Worker Premium Calc'!B43*'Worker Premium Calc'!O43*policy_term)/1000*$D$2)+SUM(('Worker Premium Calc'!J43*'Worker Premium Calc'!B43*'Worker Premium Calc'!P43*policy_term)/1000*$E$2))</f>
        <v>0</v>
      </c>
      <c r="E43" s="85">
        <f t="shared" si="6"/>
        <v>0</v>
      </c>
      <c r="F43" s="46">
        <f t="shared" si="15"/>
        <v>0</v>
      </c>
      <c r="G43" s="46">
        <f t="shared" si="16"/>
        <v>0</v>
      </c>
      <c r="H43" s="85">
        <f t="shared" si="17"/>
        <v>0</v>
      </c>
      <c r="I43" s="85">
        <f t="shared" si="10"/>
        <v>0</v>
      </c>
      <c r="K43" s="85">
        <f>SUM((('Worker Premium Calc'!I43*'Worker Premium Calc'!B43*'Worker Premium Calc'!K43*policy_term)/1000*$K$2)+SUM(('Worker Premium Calc'!I43*'Worker Premium Calc'!B43*'Worker Premium Calc'!L43*policy_term)/1000*$L$2)+SUM(('Worker Premium Calc'!I43*'Worker Premium Calc'!B43*'Worker Premium Calc'!M43*policy_term)/1000*$M$2))</f>
        <v>0</v>
      </c>
      <c r="L43" s="85">
        <f>SUM((('Worker Premium Calc'!J43*'Worker Premium Calc'!B43*'Worker Premium Calc'!N43*policy_term)/1000*$K$2)+SUM(('Worker Premium Calc'!J43*'Worker Premium Calc'!B43*'Worker Premium Calc'!O43*policy_term)/1000*$L$2)+SUM(('Worker Premium Calc'!J43*'Worker Premium Calc'!B43*'Worker Premium Calc'!P43*policy_term)/1000*$M$2))</f>
        <v>0</v>
      </c>
      <c r="M43" s="85">
        <f t="shared" si="11"/>
        <v>0</v>
      </c>
      <c r="N43" s="46">
        <f t="shared" si="18"/>
        <v>0</v>
      </c>
      <c r="O43" s="46">
        <f t="shared" si="19"/>
        <v>0</v>
      </c>
      <c r="P43" s="46">
        <f t="shared" si="20"/>
        <v>0</v>
      </c>
      <c r="Q43" s="46">
        <f t="shared" si="12"/>
        <v>0</v>
      </c>
      <c r="S43" s="85">
        <f>SUM((('Worker Premium Calc'!I43*'Worker Premium Calc'!B43*'Worker Premium Calc'!K43*policy_term)/1000*$S$2)+SUM(('Worker Premium Calc'!I43*'Worker Premium Calc'!B43*'Worker Premium Calc'!L43*policy_term)/1000*$T$2)+SUM(('Worker Premium Calc'!I43*'Worker Premium Calc'!B43*'Worker Premium Calc'!M43*policy_term)/1000*$U$2))</f>
        <v>0</v>
      </c>
      <c r="T43" s="85">
        <f>SUM((('Worker Premium Calc'!J43*'Worker Premium Calc'!B43*'Worker Premium Calc'!N43*policy_term)/1000*$S$2)+SUM(('Worker Premium Calc'!J43*'Worker Premium Calc'!B43*'Worker Premium Calc'!O43*policy_term)/1000*$T$2)+SUM(('Worker Premium Calc'!J43*'Worker Premium Calc'!B43*'Worker Premium Calc'!P43*policy_term)/1000*$U$2))</f>
        <v>0</v>
      </c>
      <c r="U43" s="85">
        <f t="shared" si="13"/>
        <v>0</v>
      </c>
      <c r="V43" s="46">
        <f t="shared" si="21"/>
        <v>0</v>
      </c>
      <c r="W43" s="46">
        <f t="shared" si="22"/>
        <v>0</v>
      </c>
      <c r="X43" s="46">
        <f t="shared" si="23"/>
        <v>0</v>
      </c>
      <c r="Y43" s="46">
        <f t="shared" si="14"/>
        <v>0</v>
      </c>
    </row>
    <row r="44" spans="2:25" x14ac:dyDescent="0.3">
      <c r="B44" s="13" t="str">
        <f>'Worker Premium Calc'!C44</f>
        <v/>
      </c>
      <c r="C44" s="85">
        <f>SUM((('Worker Premium Calc'!I44*'Worker Premium Calc'!B44*'Worker Premium Calc'!K44*policy_term)/1000*$C$2)+SUM(('Worker Premium Calc'!I44*'Worker Premium Calc'!B44*'Worker Premium Calc'!L44*policy_term)/1000*$D$2)+SUM(('Worker Premium Calc'!I44*'Worker Premium Calc'!B44*'Worker Premium Calc'!M44*policy_term)/1000*$E$2))</f>
        <v>0</v>
      </c>
      <c r="D44" s="46">
        <f>SUM((('Worker Premium Calc'!J44*'Worker Premium Calc'!B44*'Worker Premium Calc'!N44*policy_term)/1000*$C$2)+SUM(('Worker Premium Calc'!J44*'Worker Premium Calc'!B44*'Worker Premium Calc'!O44*policy_term)/1000*$D$2)+SUM(('Worker Premium Calc'!J44*'Worker Premium Calc'!B44*'Worker Premium Calc'!P44*policy_term)/1000*$E$2))</f>
        <v>0</v>
      </c>
      <c r="E44" s="85">
        <f t="shared" si="6"/>
        <v>0</v>
      </c>
      <c r="F44" s="46">
        <f t="shared" si="15"/>
        <v>0</v>
      </c>
      <c r="G44" s="46">
        <f t="shared" si="16"/>
        <v>0</v>
      </c>
      <c r="H44" s="85">
        <f t="shared" si="17"/>
        <v>0</v>
      </c>
      <c r="I44" s="85">
        <f t="shared" si="10"/>
        <v>0</v>
      </c>
      <c r="K44" s="85">
        <f>SUM((('Worker Premium Calc'!I44*'Worker Premium Calc'!B44*'Worker Premium Calc'!K44*policy_term)/1000*$K$2)+SUM(('Worker Premium Calc'!I44*'Worker Premium Calc'!B44*'Worker Premium Calc'!L44*policy_term)/1000*$L$2)+SUM(('Worker Premium Calc'!I44*'Worker Premium Calc'!B44*'Worker Premium Calc'!M44*policy_term)/1000*$M$2))</f>
        <v>0</v>
      </c>
      <c r="L44" s="85">
        <f>SUM((('Worker Premium Calc'!J44*'Worker Premium Calc'!B44*'Worker Premium Calc'!N44*policy_term)/1000*$K$2)+SUM(('Worker Premium Calc'!J44*'Worker Premium Calc'!B44*'Worker Premium Calc'!O44*policy_term)/1000*$L$2)+SUM(('Worker Premium Calc'!J44*'Worker Premium Calc'!B44*'Worker Premium Calc'!P44*policy_term)/1000*$M$2))</f>
        <v>0</v>
      </c>
      <c r="M44" s="85">
        <f t="shared" si="11"/>
        <v>0</v>
      </c>
      <c r="N44" s="46">
        <f t="shared" si="18"/>
        <v>0</v>
      </c>
      <c r="O44" s="46">
        <f t="shared" si="19"/>
        <v>0</v>
      </c>
      <c r="P44" s="46">
        <f t="shared" si="20"/>
        <v>0</v>
      </c>
      <c r="Q44" s="46">
        <f t="shared" si="12"/>
        <v>0</v>
      </c>
      <c r="S44" s="85">
        <f>SUM((('Worker Premium Calc'!I44*'Worker Premium Calc'!B44*'Worker Premium Calc'!K44*policy_term)/1000*$S$2)+SUM(('Worker Premium Calc'!I44*'Worker Premium Calc'!B44*'Worker Premium Calc'!L44*policy_term)/1000*$T$2)+SUM(('Worker Premium Calc'!I44*'Worker Premium Calc'!B44*'Worker Premium Calc'!M44*policy_term)/1000*$U$2))</f>
        <v>0</v>
      </c>
      <c r="T44" s="85">
        <f>SUM((('Worker Premium Calc'!J44*'Worker Premium Calc'!B44*'Worker Premium Calc'!N44*policy_term)/1000*$S$2)+SUM(('Worker Premium Calc'!J44*'Worker Premium Calc'!B44*'Worker Premium Calc'!O44*policy_term)/1000*$T$2)+SUM(('Worker Premium Calc'!J44*'Worker Premium Calc'!B44*'Worker Premium Calc'!P44*policy_term)/1000*$U$2))</f>
        <v>0</v>
      </c>
      <c r="U44" s="85">
        <f t="shared" si="13"/>
        <v>0</v>
      </c>
      <c r="V44" s="46">
        <f t="shared" si="21"/>
        <v>0</v>
      </c>
      <c r="W44" s="46">
        <f t="shared" si="22"/>
        <v>0</v>
      </c>
      <c r="X44" s="46">
        <f t="shared" si="23"/>
        <v>0</v>
      </c>
      <c r="Y44" s="46">
        <f t="shared" si="14"/>
        <v>0</v>
      </c>
    </row>
    <row r="45" spans="2:25" x14ac:dyDescent="0.3">
      <c r="B45" s="13" t="str">
        <f>'Worker Premium Calc'!C45</f>
        <v/>
      </c>
      <c r="C45" s="85">
        <f>SUM((('Worker Premium Calc'!I45*'Worker Premium Calc'!B45*'Worker Premium Calc'!K45*policy_term)/1000*$C$2)+SUM(('Worker Premium Calc'!I45*'Worker Premium Calc'!B45*'Worker Premium Calc'!L45*policy_term)/1000*$D$2)+SUM(('Worker Premium Calc'!I45*'Worker Premium Calc'!B45*'Worker Premium Calc'!M45*policy_term)/1000*$E$2))</f>
        <v>0</v>
      </c>
      <c r="D45" s="46">
        <f>SUM((('Worker Premium Calc'!J45*'Worker Premium Calc'!B45*'Worker Premium Calc'!N45*policy_term)/1000*$C$2)+SUM(('Worker Premium Calc'!J45*'Worker Premium Calc'!B45*'Worker Premium Calc'!O45*policy_term)/1000*$D$2)+SUM(('Worker Premium Calc'!J45*'Worker Premium Calc'!B45*'Worker Premium Calc'!P45*policy_term)/1000*$E$2))</f>
        <v>0</v>
      </c>
      <c r="E45" s="85">
        <f t="shared" si="6"/>
        <v>0</v>
      </c>
      <c r="F45" s="46">
        <f t="shared" si="15"/>
        <v>0</v>
      </c>
      <c r="G45" s="46">
        <f t="shared" si="16"/>
        <v>0</v>
      </c>
      <c r="H45" s="85">
        <f t="shared" si="17"/>
        <v>0</v>
      </c>
      <c r="I45" s="85">
        <f t="shared" si="10"/>
        <v>0</v>
      </c>
      <c r="K45" s="85">
        <f>SUM((('Worker Premium Calc'!I45*'Worker Premium Calc'!B45*'Worker Premium Calc'!K45*policy_term)/1000*$K$2)+SUM(('Worker Premium Calc'!I45*'Worker Premium Calc'!B45*'Worker Premium Calc'!L45*policy_term)/1000*$L$2)+SUM(('Worker Premium Calc'!I45*'Worker Premium Calc'!B45*'Worker Premium Calc'!M45*policy_term)/1000*$M$2))</f>
        <v>0</v>
      </c>
      <c r="L45" s="85">
        <f>SUM((('Worker Premium Calc'!J45*'Worker Premium Calc'!B45*'Worker Premium Calc'!N45*policy_term)/1000*$K$2)+SUM(('Worker Premium Calc'!J45*'Worker Premium Calc'!B45*'Worker Premium Calc'!O45*policy_term)/1000*$L$2)+SUM(('Worker Premium Calc'!J45*'Worker Premium Calc'!B45*'Worker Premium Calc'!P45*policy_term)/1000*$M$2))</f>
        <v>0</v>
      </c>
      <c r="M45" s="85">
        <f t="shared" si="11"/>
        <v>0</v>
      </c>
      <c r="N45" s="46">
        <f t="shared" si="18"/>
        <v>0</v>
      </c>
      <c r="O45" s="46">
        <f t="shared" si="19"/>
        <v>0</v>
      </c>
      <c r="P45" s="46">
        <f t="shared" si="20"/>
        <v>0</v>
      </c>
      <c r="Q45" s="46">
        <f t="shared" si="12"/>
        <v>0</v>
      </c>
      <c r="S45" s="85">
        <f>SUM((('Worker Premium Calc'!I45*'Worker Premium Calc'!B45*'Worker Premium Calc'!K45*policy_term)/1000*$S$2)+SUM(('Worker Premium Calc'!I45*'Worker Premium Calc'!B45*'Worker Premium Calc'!L45*policy_term)/1000*$T$2)+SUM(('Worker Premium Calc'!I45*'Worker Premium Calc'!B45*'Worker Premium Calc'!M45*policy_term)/1000*$U$2))</f>
        <v>0</v>
      </c>
      <c r="T45" s="85">
        <f>SUM((('Worker Premium Calc'!J45*'Worker Premium Calc'!B45*'Worker Premium Calc'!N45*policy_term)/1000*$S$2)+SUM(('Worker Premium Calc'!J45*'Worker Premium Calc'!B45*'Worker Premium Calc'!O45*policy_term)/1000*$T$2)+SUM(('Worker Premium Calc'!J45*'Worker Premium Calc'!B45*'Worker Premium Calc'!P45*policy_term)/1000*$U$2))</f>
        <v>0</v>
      </c>
      <c r="U45" s="85">
        <f t="shared" si="13"/>
        <v>0</v>
      </c>
      <c r="V45" s="46">
        <f t="shared" si="21"/>
        <v>0</v>
      </c>
      <c r="W45" s="46">
        <f t="shared" si="22"/>
        <v>0</v>
      </c>
      <c r="X45" s="46">
        <f t="shared" si="23"/>
        <v>0</v>
      </c>
      <c r="Y45" s="46">
        <f t="shared" si="14"/>
        <v>0</v>
      </c>
    </row>
    <row r="46" spans="2:25" x14ac:dyDescent="0.3">
      <c r="B46" s="13" t="str">
        <f>'Worker Premium Calc'!C46</f>
        <v/>
      </c>
      <c r="C46" s="85">
        <f>SUM((('Worker Premium Calc'!I46*'Worker Premium Calc'!B46*'Worker Premium Calc'!K46*policy_term)/1000*$C$2)+SUM(('Worker Premium Calc'!I46*'Worker Premium Calc'!B46*'Worker Premium Calc'!L46*policy_term)/1000*$D$2)+SUM(('Worker Premium Calc'!I46*'Worker Premium Calc'!B46*'Worker Premium Calc'!M46*policy_term)/1000*$E$2))</f>
        <v>0</v>
      </c>
      <c r="D46" s="46">
        <f>SUM((('Worker Premium Calc'!J46*'Worker Premium Calc'!B46*'Worker Premium Calc'!N46*policy_term)/1000*$C$2)+SUM(('Worker Premium Calc'!J46*'Worker Premium Calc'!B46*'Worker Premium Calc'!O46*policy_term)/1000*$D$2)+SUM(('Worker Premium Calc'!J46*'Worker Premium Calc'!B46*'Worker Premium Calc'!P46*policy_term)/1000*$E$2))</f>
        <v>0</v>
      </c>
      <c r="E46" s="85">
        <f t="shared" si="6"/>
        <v>0</v>
      </c>
      <c r="F46" s="46">
        <f t="shared" si="15"/>
        <v>0</v>
      </c>
      <c r="G46" s="46">
        <f t="shared" si="16"/>
        <v>0</v>
      </c>
      <c r="H46" s="85">
        <f t="shared" si="17"/>
        <v>0</v>
      </c>
      <c r="I46" s="85">
        <f t="shared" si="10"/>
        <v>0</v>
      </c>
      <c r="K46" s="85">
        <f>SUM((('Worker Premium Calc'!I46*'Worker Premium Calc'!B46*'Worker Premium Calc'!K46*policy_term)/1000*$K$2)+SUM(('Worker Premium Calc'!I46*'Worker Premium Calc'!B46*'Worker Premium Calc'!L46*policy_term)/1000*$L$2)+SUM(('Worker Premium Calc'!I46*'Worker Premium Calc'!B46*'Worker Premium Calc'!M46*policy_term)/1000*$M$2))</f>
        <v>0</v>
      </c>
      <c r="L46" s="85">
        <f>SUM((('Worker Premium Calc'!J46*'Worker Premium Calc'!B46*'Worker Premium Calc'!N46*policy_term)/1000*$K$2)+SUM(('Worker Premium Calc'!J46*'Worker Premium Calc'!B46*'Worker Premium Calc'!O46*policy_term)/1000*$L$2)+SUM(('Worker Premium Calc'!J46*'Worker Premium Calc'!B46*'Worker Premium Calc'!P46*policy_term)/1000*$M$2))</f>
        <v>0</v>
      </c>
      <c r="M46" s="85">
        <f t="shared" si="11"/>
        <v>0</v>
      </c>
      <c r="N46" s="46">
        <f t="shared" si="18"/>
        <v>0</v>
      </c>
      <c r="O46" s="46">
        <f t="shared" si="19"/>
        <v>0</v>
      </c>
      <c r="P46" s="46">
        <f t="shared" si="20"/>
        <v>0</v>
      </c>
      <c r="Q46" s="46">
        <f t="shared" si="12"/>
        <v>0</v>
      </c>
      <c r="S46" s="85">
        <f>SUM((('Worker Premium Calc'!I46*'Worker Premium Calc'!B46*'Worker Premium Calc'!K46*policy_term)/1000*$S$2)+SUM(('Worker Premium Calc'!I46*'Worker Premium Calc'!B46*'Worker Premium Calc'!L46*policy_term)/1000*$T$2)+SUM(('Worker Premium Calc'!I46*'Worker Premium Calc'!B46*'Worker Premium Calc'!M46*policy_term)/1000*$U$2))</f>
        <v>0</v>
      </c>
      <c r="T46" s="85">
        <f>SUM((('Worker Premium Calc'!J46*'Worker Premium Calc'!B46*'Worker Premium Calc'!N46*policy_term)/1000*$S$2)+SUM(('Worker Premium Calc'!J46*'Worker Premium Calc'!B46*'Worker Premium Calc'!O46*policy_term)/1000*$T$2)+SUM(('Worker Premium Calc'!J46*'Worker Premium Calc'!B46*'Worker Premium Calc'!P46*policy_term)/1000*$U$2))</f>
        <v>0</v>
      </c>
      <c r="U46" s="85">
        <f t="shared" si="13"/>
        <v>0</v>
      </c>
      <c r="V46" s="46">
        <f t="shared" si="21"/>
        <v>0</v>
      </c>
      <c r="W46" s="46">
        <f t="shared" si="22"/>
        <v>0</v>
      </c>
      <c r="X46" s="46">
        <f t="shared" si="23"/>
        <v>0</v>
      </c>
      <c r="Y46" s="46">
        <f t="shared" si="14"/>
        <v>0</v>
      </c>
    </row>
    <row r="47" spans="2:25" x14ac:dyDescent="0.3">
      <c r="B47" s="13" t="str">
        <f>'Worker Premium Calc'!C47</f>
        <v/>
      </c>
      <c r="C47" s="85">
        <f>SUM((('Worker Premium Calc'!I47*'Worker Premium Calc'!B47*'Worker Premium Calc'!K47*policy_term)/1000*$C$2)+SUM(('Worker Premium Calc'!I47*'Worker Premium Calc'!B47*'Worker Premium Calc'!L47*policy_term)/1000*$D$2)+SUM(('Worker Premium Calc'!I47*'Worker Premium Calc'!B47*'Worker Premium Calc'!M47*policy_term)/1000*$E$2))</f>
        <v>0</v>
      </c>
      <c r="D47" s="46">
        <f>SUM((('Worker Premium Calc'!J47*'Worker Premium Calc'!B47*'Worker Premium Calc'!N47*policy_term)/1000*$C$2)+SUM(('Worker Premium Calc'!J47*'Worker Premium Calc'!B47*'Worker Premium Calc'!O47*policy_term)/1000*$D$2)+SUM(('Worker Premium Calc'!J47*'Worker Premium Calc'!B47*'Worker Premium Calc'!P47*policy_term)/1000*$E$2))</f>
        <v>0</v>
      </c>
      <c r="E47" s="85">
        <f t="shared" si="6"/>
        <v>0</v>
      </c>
      <c r="F47" s="46">
        <f t="shared" si="15"/>
        <v>0</v>
      </c>
      <c r="G47" s="46">
        <f t="shared" si="16"/>
        <v>0</v>
      </c>
      <c r="H47" s="85">
        <f t="shared" si="17"/>
        <v>0</v>
      </c>
      <c r="I47" s="85">
        <f t="shared" si="10"/>
        <v>0</v>
      </c>
      <c r="K47" s="85">
        <f>SUM((('Worker Premium Calc'!I47*'Worker Premium Calc'!B47*'Worker Premium Calc'!K47*policy_term)/1000*$K$2)+SUM(('Worker Premium Calc'!I47*'Worker Premium Calc'!B47*'Worker Premium Calc'!L47*policy_term)/1000*$L$2)+SUM(('Worker Premium Calc'!I47*'Worker Premium Calc'!B47*'Worker Premium Calc'!M47*policy_term)/1000*$M$2))</f>
        <v>0</v>
      </c>
      <c r="L47" s="85">
        <f>SUM((('Worker Premium Calc'!J47*'Worker Premium Calc'!B47*'Worker Premium Calc'!N47*policy_term)/1000*$K$2)+SUM(('Worker Premium Calc'!J47*'Worker Premium Calc'!B47*'Worker Premium Calc'!O47*policy_term)/1000*$L$2)+SUM(('Worker Premium Calc'!J47*'Worker Premium Calc'!B47*'Worker Premium Calc'!P47*policy_term)/1000*$M$2))</f>
        <v>0</v>
      </c>
      <c r="M47" s="85">
        <f t="shared" si="11"/>
        <v>0</v>
      </c>
      <c r="N47" s="46">
        <f t="shared" si="18"/>
        <v>0</v>
      </c>
      <c r="O47" s="46">
        <f t="shared" si="19"/>
        <v>0</v>
      </c>
      <c r="P47" s="46">
        <f t="shared" si="20"/>
        <v>0</v>
      </c>
      <c r="Q47" s="46">
        <f t="shared" si="12"/>
        <v>0</v>
      </c>
      <c r="S47" s="85">
        <f>SUM((('Worker Premium Calc'!I47*'Worker Premium Calc'!B47*'Worker Premium Calc'!K47*policy_term)/1000*$S$2)+SUM(('Worker Premium Calc'!I47*'Worker Premium Calc'!B47*'Worker Premium Calc'!L47*policy_term)/1000*$T$2)+SUM(('Worker Premium Calc'!I47*'Worker Premium Calc'!B47*'Worker Premium Calc'!M47*policy_term)/1000*$U$2))</f>
        <v>0</v>
      </c>
      <c r="T47" s="85">
        <f>SUM((('Worker Premium Calc'!J47*'Worker Premium Calc'!B47*'Worker Premium Calc'!N47*policy_term)/1000*$S$2)+SUM(('Worker Premium Calc'!J47*'Worker Premium Calc'!B47*'Worker Premium Calc'!O47*policy_term)/1000*$T$2)+SUM(('Worker Premium Calc'!J47*'Worker Premium Calc'!B47*'Worker Premium Calc'!P47*policy_term)/1000*$U$2))</f>
        <v>0</v>
      </c>
      <c r="U47" s="85">
        <f t="shared" si="13"/>
        <v>0</v>
      </c>
      <c r="V47" s="46">
        <f t="shared" si="21"/>
        <v>0</v>
      </c>
      <c r="W47" s="46">
        <f t="shared" si="22"/>
        <v>0</v>
      </c>
      <c r="X47" s="46">
        <f t="shared" si="23"/>
        <v>0</v>
      </c>
      <c r="Y47" s="46">
        <f t="shared" si="14"/>
        <v>0</v>
      </c>
    </row>
    <row r="48" spans="2:25" x14ac:dyDescent="0.3">
      <c r="B48" s="13" t="str">
        <f>'Worker Premium Calc'!C48</f>
        <v/>
      </c>
      <c r="C48" s="85">
        <f>SUM((('Worker Premium Calc'!I48*'Worker Premium Calc'!B48*'Worker Premium Calc'!K48*policy_term)/1000*$C$2)+SUM(('Worker Premium Calc'!I48*'Worker Premium Calc'!B48*'Worker Premium Calc'!L48*policy_term)/1000*$D$2)+SUM(('Worker Premium Calc'!I48*'Worker Premium Calc'!B48*'Worker Premium Calc'!M48*policy_term)/1000*$E$2))</f>
        <v>0</v>
      </c>
      <c r="D48" s="46">
        <f>SUM((('Worker Premium Calc'!J48*'Worker Premium Calc'!B48*'Worker Premium Calc'!N48*policy_term)/1000*$C$2)+SUM(('Worker Premium Calc'!J48*'Worker Premium Calc'!B48*'Worker Premium Calc'!O48*policy_term)/1000*$D$2)+SUM(('Worker Premium Calc'!J48*'Worker Premium Calc'!B48*'Worker Premium Calc'!P48*policy_term)/1000*$E$2))</f>
        <v>0</v>
      </c>
      <c r="E48" s="85">
        <f t="shared" si="6"/>
        <v>0</v>
      </c>
      <c r="F48" s="46">
        <f t="shared" si="15"/>
        <v>0</v>
      </c>
      <c r="G48" s="46">
        <f t="shared" si="16"/>
        <v>0</v>
      </c>
      <c r="H48" s="85">
        <f t="shared" si="17"/>
        <v>0</v>
      </c>
      <c r="I48" s="85">
        <f t="shared" si="10"/>
        <v>0</v>
      </c>
      <c r="K48" s="85">
        <f>SUM((('Worker Premium Calc'!I48*'Worker Premium Calc'!B48*'Worker Premium Calc'!K48*policy_term)/1000*$K$2)+SUM(('Worker Premium Calc'!I48*'Worker Premium Calc'!B48*'Worker Premium Calc'!L48*policy_term)/1000*$L$2)+SUM(('Worker Premium Calc'!I48*'Worker Premium Calc'!B48*'Worker Premium Calc'!M48*policy_term)/1000*$M$2))</f>
        <v>0</v>
      </c>
      <c r="L48" s="85">
        <f>SUM((('Worker Premium Calc'!J48*'Worker Premium Calc'!B48*'Worker Premium Calc'!N48*policy_term)/1000*$K$2)+SUM(('Worker Premium Calc'!J48*'Worker Premium Calc'!B48*'Worker Premium Calc'!O48*policy_term)/1000*$L$2)+SUM(('Worker Premium Calc'!J48*'Worker Premium Calc'!B48*'Worker Premium Calc'!P48*policy_term)/1000*$M$2))</f>
        <v>0</v>
      </c>
      <c r="M48" s="85">
        <f t="shared" si="11"/>
        <v>0</v>
      </c>
      <c r="N48" s="46">
        <f t="shared" si="18"/>
        <v>0</v>
      </c>
      <c r="O48" s="46">
        <f t="shared" si="19"/>
        <v>0</v>
      </c>
      <c r="P48" s="46">
        <f t="shared" si="20"/>
        <v>0</v>
      </c>
      <c r="Q48" s="46">
        <f t="shared" si="12"/>
        <v>0</v>
      </c>
      <c r="S48" s="85">
        <f>SUM((('Worker Premium Calc'!I48*'Worker Premium Calc'!B48*'Worker Premium Calc'!K48*policy_term)/1000*$S$2)+SUM(('Worker Premium Calc'!I48*'Worker Premium Calc'!B48*'Worker Premium Calc'!L48*policy_term)/1000*$T$2)+SUM(('Worker Premium Calc'!I48*'Worker Premium Calc'!B48*'Worker Premium Calc'!M48*policy_term)/1000*$U$2))</f>
        <v>0</v>
      </c>
      <c r="T48" s="85">
        <f>SUM((('Worker Premium Calc'!J48*'Worker Premium Calc'!B48*'Worker Premium Calc'!N48*policy_term)/1000*$S$2)+SUM(('Worker Premium Calc'!J48*'Worker Premium Calc'!B48*'Worker Premium Calc'!O48*policy_term)/1000*$T$2)+SUM(('Worker Premium Calc'!J48*'Worker Premium Calc'!B48*'Worker Premium Calc'!P48*policy_term)/1000*$U$2))</f>
        <v>0</v>
      </c>
      <c r="U48" s="85">
        <f t="shared" si="13"/>
        <v>0</v>
      </c>
      <c r="V48" s="46">
        <f t="shared" si="21"/>
        <v>0</v>
      </c>
      <c r="W48" s="46">
        <f t="shared" si="22"/>
        <v>0</v>
      </c>
      <c r="X48" s="46">
        <f t="shared" si="23"/>
        <v>0</v>
      </c>
      <c r="Y48" s="46">
        <f t="shared" si="14"/>
        <v>0</v>
      </c>
    </row>
    <row r="49" spans="2:25" x14ac:dyDescent="0.3">
      <c r="B49" s="13" t="str">
        <f>'Worker Premium Calc'!C49</f>
        <v/>
      </c>
      <c r="C49" s="85">
        <f>SUM((('Worker Premium Calc'!I49*'Worker Premium Calc'!B49*'Worker Premium Calc'!K49*policy_term)/1000*$C$2)+SUM(('Worker Premium Calc'!I49*'Worker Premium Calc'!B49*'Worker Premium Calc'!L49*policy_term)/1000*$D$2)+SUM(('Worker Premium Calc'!I49*'Worker Premium Calc'!B49*'Worker Premium Calc'!M49*policy_term)/1000*$E$2))</f>
        <v>0</v>
      </c>
      <c r="D49" s="46">
        <f>SUM((('Worker Premium Calc'!J49*'Worker Premium Calc'!B49*'Worker Premium Calc'!N49*policy_term)/1000*$C$2)+SUM(('Worker Premium Calc'!J49*'Worker Premium Calc'!B49*'Worker Premium Calc'!O49*policy_term)/1000*$D$2)+SUM(('Worker Premium Calc'!J49*'Worker Premium Calc'!B49*'Worker Premium Calc'!P49*policy_term)/1000*$E$2))</f>
        <v>0</v>
      </c>
      <c r="E49" s="85">
        <f t="shared" si="6"/>
        <v>0</v>
      </c>
      <c r="F49" s="46">
        <f t="shared" si="15"/>
        <v>0</v>
      </c>
      <c r="G49" s="46">
        <f t="shared" si="16"/>
        <v>0</v>
      </c>
      <c r="H49" s="85">
        <f t="shared" si="17"/>
        <v>0</v>
      </c>
      <c r="I49" s="85">
        <f t="shared" si="10"/>
        <v>0</v>
      </c>
      <c r="K49" s="85">
        <f>SUM((('Worker Premium Calc'!I49*'Worker Premium Calc'!B49*'Worker Premium Calc'!K49*policy_term)/1000*$K$2)+SUM(('Worker Premium Calc'!I49*'Worker Premium Calc'!B49*'Worker Premium Calc'!L49*policy_term)/1000*$L$2)+SUM(('Worker Premium Calc'!I49*'Worker Premium Calc'!B49*'Worker Premium Calc'!M49*policy_term)/1000*$M$2))</f>
        <v>0</v>
      </c>
      <c r="L49" s="85">
        <f>SUM((('Worker Premium Calc'!J49*'Worker Premium Calc'!B49*'Worker Premium Calc'!N49*policy_term)/1000*$K$2)+SUM(('Worker Premium Calc'!J49*'Worker Premium Calc'!B49*'Worker Premium Calc'!O49*policy_term)/1000*$L$2)+SUM(('Worker Premium Calc'!J49*'Worker Premium Calc'!B49*'Worker Premium Calc'!P49*policy_term)/1000*$M$2))</f>
        <v>0</v>
      </c>
      <c r="M49" s="85">
        <f t="shared" si="11"/>
        <v>0</v>
      </c>
      <c r="N49" s="46">
        <f t="shared" si="18"/>
        <v>0</v>
      </c>
      <c r="O49" s="46">
        <f t="shared" si="19"/>
        <v>0</v>
      </c>
      <c r="P49" s="46">
        <f t="shared" si="20"/>
        <v>0</v>
      </c>
      <c r="Q49" s="46">
        <f t="shared" si="12"/>
        <v>0</v>
      </c>
      <c r="S49" s="85">
        <f>SUM((('Worker Premium Calc'!I49*'Worker Premium Calc'!B49*'Worker Premium Calc'!K49*policy_term)/1000*$S$2)+SUM(('Worker Premium Calc'!I49*'Worker Premium Calc'!B49*'Worker Premium Calc'!L49*policy_term)/1000*$T$2)+SUM(('Worker Premium Calc'!I49*'Worker Premium Calc'!B49*'Worker Premium Calc'!M49*policy_term)/1000*$U$2))</f>
        <v>0</v>
      </c>
      <c r="T49" s="85">
        <f>SUM((('Worker Premium Calc'!J49*'Worker Premium Calc'!B49*'Worker Premium Calc'!N49*policy_term)/1000*$S$2)+SUM(('Worker Premium Calc'!J49*'Worker Premium Calc'!B49*'Worker Premium Calc'!O49*policy_term)/1000*$T$2)+SUM(('Worker Premium Calc'!J49*'Worker Premium Calc'!B49*'Worker Premium Calc'!P49*policy_term)/1000*$U$2))</f>
        <v>0</v>
      </c>
      <c r="U49" s="85">
        <f t="shared" si="13"/>
        <v>0</v>
      </c>
      <c r="V49" s="46">
        <f t="shared" si="21"/>
        <v>0</v>
      </c>
      <c r="W49" s="46">
        <f t="shared" si="22"/>
        <v>0</v>
      </c>
      <c r="X49" s="46">
        <f t="shared" si="23"/>
        <v>0</v>
      </c>
      <c r="Y49" s="46">
        <f t="shared" si="14"/>
        <v>0</v>
      </c>
    </row>
    <row r="50" spans="2:25" x14ac:dyDescent="0.3">
      <c r="B50" s="13" t="str">
        <f>'Worker Premium Calc'!C50</f>
        <v/>
      </c>
      <c r="C50" s="85">
        <f>SUM((('Worker Premium Calc'!I50*'Worker Premium Calc'!B50*'Worker Premium Calc'!K50*policy_term)/1000*$C$2)+SUM(('Worker Premium Calc'!I50*'Worker Premium Calc'!B50*'Worker Premium Calc'!L50*policy_term)/1000*$D$2)+SUM(('Worker Premium Calc'!I50*'Worker Premium Calc'!B50*'Worker Premium Calc'!M50*policy_term)/1000*$E$2))</f>
        <v>0</v>
      </c>
      <c r="D50" s="46">
        <f>SUM((('Worker Premium Calc'!J50*'Worker Premium Calc'!B50*'Worker Premium Calc'!N50*policy_term)/1000*$C$2)+SUM(('Worker Premium Calc'!J50*'Worker Premium Calc'!B50*'Worker Premium Calc'!O50*policy_term)/1000*$D$2)+SUM(('Worker Premium Calc'!J50*'Worker Premium Calc'!B50*'Worker Premium Calc'!P50*policy_term)/1000*$E$2))</f>
        <v>0</v>
      </c>
      <c r="E50" s="85">
        <f t="shared" si="6"/>
        <v>0</v>
      </c>
      <c r="F50" s="46">
        <f t="shared" si="15"/>
        <v>0</v>
      </c>
      <c r="G50" s="46">
        <f t="shared" si="16"/>
        <v>0</v>
      </c>
      <c r="H50" s="85">
        <f t="shared" si="17"/>
        <v>0</v>
      </c>
      <c r="I50" s="85">
        <f t="shared" si="10"/>
        <v>0</v>
      </c>
      <c r="K50" s="85">
        <f>SUM((('Worker Premium Calc'!I50*'Worker Premium Calc'!B50*'Worker Premium Calc'!K50*policy_term)/1000*$K$2)+SUM(('Worker Premium Calc'!I50*'Worker Premium Calc'!B50*'Worker Premium Calc'!L50*policy_term)/1000*$L$2)+SUM(('Worker Premium Calc'!I50*'Worker Premium Calc'!B50*'Worker Premium Calc'!M50*policy_term)/1000*$M$2))</f>
        <v>0</v>
      </c>
      <c r="L50" s="85">
        <f>SUM((('Worker Premium Calc'!J50*'Worker Premium Calc'!B50*'Worker Premium Calc'!N50*policy_term)/1000*$K$2)+SUM(('Worker Premium Calc'!J50*'Worker Premium Calc'!B50*'Worker Premium Calc'!O50*policy_term)/1000*$L$2)+SUM(('Worker Premium Calc'!J50*'Worker Premium Calc'!B50*'Worker Premium Calc'!P50*policy_term)/1000*$M$2))</f>
        <v>0</v>
      </c>
      <c r="M50" s="85">
        <f t="shared" si="11"/>
        <v>0</v>
      </c>
      <c r="N50" s="46">
        <f t="shared" si="18"/>
        <v>0</v>
      </c>
      <c r="O50" s="46">
        <f t="shared" si="19"/>
        <v>0</v>
      </c>
      <c r="P50" s="46">
        <f t="shared" si="20"/>
        <v>0</v>
      </c>
      <c r="Q50" s="46">
        <f t="shared" si="12"/>
        <v>0</v>
      </c>
      <c r="S50" s="85">
        <f>SUM((('Worker Premium Calc'!I50*'Worker Premium Calc'!B50*'Worker Premium Calc'!K50*policy_term)/1000*$S$2)+SUM(('Worker Premium Calc'!I50*'Worker Premium Calc'!B50*'Worker Premium Calc'!L50*policy_term)/1000*$T$2)+SUM(('Worker Premium Calc'!I50*'Worker Premium Calc'!B50*'Worker Premium Calc'!M50*policy_term)/1000*$U$2))</f>
        <v>0</v>
      </c>
      <c r="T50" s="85">
        <f>SUM((('Worker Premium Calc'!J50*'Worker Premium Calc'!B50*'Worker Premium Calc'!N50*policy_term)/1000*$S$2)+SUM(('Worker Premium Calc'!J50*'Worker Premium Calc'!B50*'Worker Premium Calc'!O50*policy_term)/1000*$T$2)+SUM(('Worker Premium Calc'!J50*'Worker Premium Calc'!B50*'Worker Premium Calc'!P50*policy_term)/1000*$U$2))</f>
        <v>0</v>
      </c>
      <c r="U50" s="85">
        <f t="shared" si="13"/>
        <v>0</v>
      </c>
      <c r="V50" s="46">
        <f t="shared" si="21"/>
        <v>0</v>
      </c>
      <c r="W50" s="46">
        <f t="shared" si="22"/>
        <v>0</v>
      </c>
      <c r="X50" s="46">
        <f t="shared" si="23"/>
        <v>0</v>
      </c>
      <c r="Y50" s="46">
        <f t="shared" si="14"/>
        <v>0</v>
      </c>
    </row>
    <row r="51" spans="2:25" x14ac:dyDescent="0.3">
      <c r="B51" s="13" t="str">
        <f>'Worker Premium Calc'!C51</f>
        <v/>
      </c>
      <c r="C51" s="85">
        <f>SUM((('Worker Premium Calc'!I51*'Worker Premium Calc'!B51*'Worker Premium Calc'!K51*policy_term)/1000*$C$2)+SUM(('Worker Premium Calc'!I51*'Worker Premium Calc'!B51*'Worker Premium Calc'!L51*policy_term)/1000*$D$2)+SUM(('Worker Premium Calc'!I51*'Worker Premium Calc'!B51*'Worker Premium Calc'!M51*policy_term)/1000*$E$2))</f>
        <v>0</v>
      </c>
      <c r="D51" s="46">
        <f>SUM((('Worker Premium Calc'!J51*'Worker Premium Calc'!B51*'Worker Premium Calc'!N51*policy_term)/1000*$C$2)+SUM(('Worker Premium Calc'!J51*'Worker Premium Calc'!B51*'Worker Premium Calc'!O51*policy_term)/1000*$D$2)+SUM(('Worker Premium Calc'!J51*'Worker Premium Calc'!B51*'Worker Premium Calc'!P51*policy_term)/1000*$E$2))</f>
        <v>0</v>
      </c>
      <c r="E51" s="85">
        <f t="shared" si="6"/>
        <v>0</v>
      </c>
      <c r="F51" s="46">
        <f t="shared" si="15"/>
        <v>0</v>
      </c>
      <c r="G51" s="46">
        <f t="shared" si="16"/>
        <v>0</v>
      </c>
      <c r="H51" s="85">
        <f t="shared" si="17"/>
        <v>0</v>
      </c>
      <c r="I51" s="85">
        <f t="shared" si="10"/>
        <v>0</v>
      </c>
      <c r="K51" s="85">
        <f>SUM((('Worker Premium Calc'!I51*'Worker Premium Calc'!B51*'Worker Premium Calc'!K51*policy_term)/1000*$K$2)+SUM(('Worker Premium Calc'!I51*'Worker Premium Calc'!B51*'Worker Premium Calc'!L51*policy_term)/1000*$L$2)+SUM(('Worker Premium Calc'!I51*'Worker Premium Calc'!B51*'Worker Premium Calc'!M51*policy_term)/1000*$M$2))</f>
        <v>0</v>
      </c>
      <c r="L51" s="85">
        <f>SUM((('Worker Premium Calc'!J51*'Worker Premium Calc'!B51*'Worker Premium Calc'!N51*policy_term)/1000*$K$2)+SUM(('Worker Premium Calc'!J51*'Worker Premium Calc'!B51*'Worker Premium Calc'!O51*policy_term)/1000*$L$2)+SUM(('Worker Premium Calc'!J51*'Worker Premium Calc'!B51*'Worker Premium Calc'!P51*policy_term)/1000*$M$2))</f>
        <v>0</v>
      </c>
      <c r="M51" s="85">
        <f t="shared" si="11"/>
        <v>0</v>
      </c>
      <c r="N51" s="46">
        <f t="shared" si="18"/>
        <v>0</v>
      </c>
      <c r="O51" s="46">
        <f t="shared" si="19"/>
        <v>0</v>
      </c>
      <c r="P51" s="46">
        <f t="shared" si="20"/>
        <v>0</v>
      </c>
      <c r="Q51" s="46">
        <f t="shared" si="12"/>
        <v>0</v>
      </c>
      <c r="S51" s="85">
        <f>SUM((('Worker Premium Calc'!I51*'Worker Premium Calc'!B51*'Worker Premium Calc'!K51*policy_term)/1000*$S$2)+SUM(('Worker Premium Calc'!I51*'Worker Premium Calc'!B51*'Worker Premium Calc'!L51*policy_term)/1000*$T$2)+SUM(('Worker Premium Calc'!I51*'Worker Premium Calc'!B51*'Worker Premium Calc'!M51*policy_term)/1000*$U$2))</f>
        <v>0</v>
      </c>
      <c r="T51" s="85">
        <f>SUM((('Worker Premium Calc'!J51*'Worker Premium Calc'!B51*'Worker Premium Calc'!N51*policy_term)/1000*$S$2)+SUM(('Worker Premium Calc'!J51*'Worker Premium Calc'!B51*'Worker Premium Calc'!O51*policy_term)/1000*$T$2)+SUM(('Worker Premium Calc'!J51*'Worker Premium Calc'!B51*'Worker Premium Calc'!P51*policy_term)/1000*$U$2))</f>
        <v>0</v>
      </c>
      <c r="U51" s="85">
        <f t="shared" si="13"/>
        <v>0</v>
      </c>
      <c r="V51" s="46">
        <f t="shared" si="21"/>
        <v>0</v>
      </c>
      <c r="W51" s="46">
        <f t="shared" si="22"/>
        <v>0</v>
      </c>
      <c r="X51" s="46">
        <f t="shared" si="23"/>
        <v>0</v>
      </c>
      <c r="Y51" s="46">
        <f t="shared" si="14"/>
        <v>0</v>
      </c>
    </row>
    <row r="52" spans="2:25" x14ac:dyDescent="0.3">
      <c r="B52" s="13" t="str">
        <f>'Worker Premium Calc'!C52</f>
        <v/>
      </c>
      <c r="C52" s="85">
        <f>SUM((('Worker Premium Calc'!I52*'Worker Premium Calc'!B52*'Worker Premium Calc'!K52*policy_term)/1000*$C$2)+SUM(('Worker Premium Calc'!I52*'Worker Premium Calc'!B52*'Worker Premium Calc'!L52*policy_term)/1000*$D$2)+SUM(('Worker Premium Calc'!I52*'Worker Premium Calc'!B52*'Worker Premium Calc'!M52*policy_term)/1000*$E$2))</f>
        <v>0</v>
      </c>
      <c r="D52" s="46">
        <f>SUM((('Worker Premium Calc'!J52*'Worker Premium Calc'!B52*'Worker Premium Calc'!N52*policy_term)/1000*$C$2)+SUM(('Worker Premium Calc'!J52*'Worker Premium Calc'!B52*'Worker Premium Calc'!O52*policy_term)/1000*$D$2)+SUM(('Worker Premium Calc'!J52*'Worker Premium Calc'!B52*'Worker Premium Calc'!P52*policy_term)/1000*$E$2))</f>
        <v>0</v>
      </c>
      <c r="E52" s="85">
        <f t="shared" si="6"/>
        <v>0</v>
      </c>
      <c r="F52" s="46">
        <f t="shared" si="15"/>
        <v>0</v>
      </c>
      <c r="G52" s="46">
        <f t="shared" si="16"/>
        <v>0</v>
      </c>
      <c r="H52" s="85">
        <f t="shared" si="17"/>
        <v>0</v>
      </c>
      <c r="I52" s="85">
        <f t="shared" si="10"/>
        <v>0</v>
      </c>
      <c r="K52" s="85">
        <f>SUM((('Worker Premium Calc'!I52*'Worker Premium Calc'!B52*'Worker Premium Calc'!K52*policy_term)/1000*$K$2)+SUM(('Worker Premium Calc'!I52*'Worker Premium Calc'!B52*'Worker Premium Calc'!L52*policy_term)/1000*$L$2)+SUM(('Worker Premium Calc'!I52*'Worker Premium Calc'!B52*'Worker Premium Calc'!M52*policy_term)/1000*$M$2))</f>
        <v>0</v>
      </c>
      <c r="L52" s="85">
        <f>SUM((('Worker Premium Calc'!J52*'Worker Premium Calc'!B52*'Worker Premium Calc'!N52*policy_term)/1000*$K$2)+SUM(('Worker Premium Calc'!J52*'Worker Premium Calc'!B52*'Worker Premium Calc'!O52*policy_term)/1000*$L$2)+SUM(('Worker Premium Calc'!J52*'Worker Premium Calc'!B52*'Worker Premium Calc'!P52*policy_term)/1000*$M$2))</f>
        <v>0</v>
      </c>
      <c r="M52" s="85">
        <f t="shared" si="11"/>
        <v>0</v>
      </c>
      <c r="N52" s="46">
        <f t="shared" si="18"/>
        <v>0</v>
      </c>
      <c r="O52" s="46">
        <f t="shared" si="19"/>
        <v>0</v>
      </c>
      <c r="P52" s="46">
        <f t="shared" si="20"/>
        <v>0</v>
      </c>
      <c r="Q52" s="46">
        <f t="shared" si="12"/>
        <v>0</v>
      </c>
      <c r="S52" s="85">
        <f>SUM((('Worker Premium Calc'!I52*'Worker Premium Calc'!B52*'Worker Premium Calc'!K52*policy_term)/1000*$S$2)+SUM(('Worker Premium Calc'!I52*'Worker Premium Calc'!B52*'Worker Premium Calc'!L52*policy_term)/1000*$T$2)+SUM(('Worker Premium Calc'!I52*'Worker Premium Calc'!B52*'Worker Premium Calc'!M52*policy_term)/1000*$U$2))</f>
        <v>0</v>
      </c>
      <c r="T52" s="85">
        <f>SUM((('Worker Premium Calc'!J52*'Worker Premium Calc'!B52*'Worker Premium Calc'!N52*policy_term)/1000*$S$2)+SUM(('Worker Premium Calc'!J52*'Worker Premium Calc'!B52*'Worker Premium Calc'!O52*policy_term)/1000*$T$2)+SUM(('Worker Premium Calc'!J52*'Worker Premium Calc'!B52*'Worker Premium Calc'!P52*policy_term)/1000*$U$2))</f>
        <v>0</v>
      </c>
      <c r="U52" s="85">
        <f t="shared" si="13"/>
        <v>0</v>
      </c>
      <c r="V52" s="46">
        <f t="shared" si="21"/>
        <v>0</v>
      </c>
      <c r="W52" s="46">
        <f t="shared" si="22"/>
        <v>0</v>
      </c>
      <c r="X52" s="46">
        <f t="shared" si="23"/>
        <v>0</v>
      </c>
      <c r="Y52" s="46">
        <f t="shared" si="14"/>
        <v>0</v>
      </c>
    </row>
    <row r="53" spans="2:25" x14ac:dyDescent="0.3">
      <c r="B53" s="13" t="str">
        <f>'Worker Premium Calc'!C53</f>
        <v/>
      </c>
      <c r="C53" s="85">
        <f>SUM((('Worker Premium Calc'!I53*'Worker Premium Calc'!B53*'Worker Premium Calc'!K53*policy_term)/1000*$C$2)+SUM(('Worker Premium Calc'!I53*'Worker Premium Calc'!B53*'Worker Premium Calc'!L53*policy_term)/1000*$D$2)+SUM(('Worker Premium Calc'!I53*'Worker Premium Calc'!B53*'Worker Premium Calc'!M53*policy_term)/1000*$E$2))</f>
        <v>0</v>
      </c>
      <c r="D53" s="46">
        <f>SUM((('Worker Premium Calc'!J53*'Worker Premium Calc'!B53*'Worker Premium Calc'!N53*policy_term)/1000*$C$2)+SUM(('Worker Premium Calc'!J53*'Worker Premium Calc'!B53*'Worker Premium Calc'!O53*policy_term)/1000*$D$2)+SUM(('Worker Premium Calc'!J53*'Worker Premium Calc'!B53*'Worker Premium Calc'!P53*policy_term)/1000*$E$2))</f>
        <v>0</v>
      </c>
      <c r="E53" s="85">
        <f t="shared" si="6"/>
        <v>0</v>
      </c>
      <c r="F53" s="46">
        <f t="shared" si="15"/>
        <v>0</v>
      </c>
      <c r="G53" s="46">
        <f t="shared" si="16"/>
        <v>0</v>
      </c>
      <c r="H53" s="85">
        <f t="shared" si="17"/>
        <v>0</v>
      </c>
      <c r="I53" s="85">
        <f t="shared" si="10"/>
        <v>0</v>
      </c>
      <c r="K53" s="85">
        <f>SUM((('Worker Premium Calc'!I53*'Worker Premium Calc'!B53*'Worker Premium Calc'!K53*policy_term)/1000*$K$2)+SUM(('Worker Premium Calc'!I53*'Worker Premium Calc'!B53*'Worker Premium Calc'!L53*policy_term)/1000*$L$2)+SUM(('Worker Premium Calc'!I53*'Worker Premium Calc'!B53*'Worker Premium Calc'!M53*policy_term)/1000*$M$2))</f>
        <v>0</v>
      </c>
      <c r="L53" s="85">
        <f>SUM((('Worker Premium Calc'!J53*'Worker Premium Calc'!B53*'Worker Premium Calc'!N53*policy_term)/1000*$K$2)+SUM(('Worker Premium Calc'!J53*'Worker Premium Calc'!B53*'Worker Premium Calc'!O53*policy_term)/1000*$L$2)+SUM(('Worker Premium Calc'!J53*'Worker Premium Calc'!B53*'Worker Premium Calc'!P53*policy_term)/1000*$M$2))</f>
        <v>0</v>
      </c>
      <c r="M53" s="85">
        <f t="shared" si="11"/>
        <v>0</v>
      </c>
      <c r="N53" s="46">
        <f t="shared" si="18"/>
        <v>0</v>
      </c>
      <c r="O53" s="46">
        <f t="shared" si="19"/>
        <v>0</v>
      </c>
      <c r="P53" s="46">
        <f t="shared" si="20"/>
        <v>0</v>
      </c>
      <c r="Q53" s="46">
        <f t="shared" si="12"/>
        <v>0</v>
      </c>
      <c r="S53" s="85">
        <f>SUM((('Worker Premium Calc'!I53*'Worker Premium Calc'!B53*'Worker Premium Calc'!K53*policy_term)/1000*$S$2)+SUM(('Worker Premium Calc'!I53*'Worker Premium Calc'!B53*'Worker Premium Calc'!L53*policy_term)/1000*$T$2)+SUM(('Worker Premium Calc'!I53*'Worker Premium Calc'!B53*'Worker Premium Calc'!M53*policy_term)/1000*$U$2))</f>
        <v>0</v>
      </c>
      <c r="T53" s="85">
        <f>SUM((('Worker Premium Calc'!J53*'Worker Premium Calc'!B53*'Worker Premium Calc'!N53*policy_term)/1000*$S$2)+SUM(('Worker Premium Calc'!J53*'Worker Premium Calc'!B53*'Worker Premium Calc'!O53*policy_term)/1000*$T$2)+SUM(('Worker Premium Calc'!J53*'Worker Premium Calc'!B53*'Worker Premium Calc'!P53*policy_term)/1000*$U$2))</f>
        <v>0</v>
      </c>
      <c r="U53" s="85">
        <f t="shared" si="13"/>
        <v>0</v>
      </c>
      <c r="V53" s="46">
        <f t="shared" si="21"/>
        <v>0</v>
      </c>
      <c r="W53" s="46">
        <f t="shared" si="22"/>
        <v>0</v>
      </c>
      <c r="X53" s="46">
        <f t="shared" si="23"/>
        <v>0</v>
      </c>
      <c r="Y53" s="46">
        <f t="shared" si="14"/>
        <v>0</v>
      </c>
    </row>
    <row r="54" spans="2:25" x14ac:dyDescent="0.3">
      <c r="B54" s="13" t="str">
        <f>'Worker Premium Calc'!C54</f>
        <v/>
      </c>
      <c r="C54" s="85">
        <f>SUM((('Worker Premium Calc'!I54*'Worker Premium Calc'!B54*'Worker Premium Calc'!K54*policy_term)/1000*$C$2)+SUM(('Worker Premium Calc'!I54*'Worker Premium Calc'!B54*'Worker Premium Calc'!L54*policy_term)/1000*$D$2)+SUM(('Worker Premium Calc'!I54*'Worker Premium Calc'!B54*'Worker Premium Calc'!M54*policy_term)/1000*$E$2))</f>
        <v>0</v>
      </c>
      <c r="D54" s="46">
        <f>SUM((('Worker Premium Calc'!J54*'Worker Premium Calc'!B54*'Worker Premium Calc'!N54*policy_term)/1000*$C$2)+SUM(('Worker Premium Calc'!J54*'Worker Premium Calc'!B54*'Worker Premium Calc'!O54*policy_term)/1000*$D$2)+SUM(('Worker Premium Calc'!J54*'Worker Premium Calc'!B54*'Worker Premium Calc'!P54*policy_term)/1000*$E$2))</f>
        <v>0</v>
      </c>
      <c r="E54" s="85">
        <f t="shared" si="6"/>
        <v>0</v>
      </c>
      <c r="F54" s="46">
        <f t="shared" si="15"/>
        <v>0</v>
      </c>
      <c r="G54" s="46">
        <f t="shared" si="16"/>
        <v>0</v>
      </c>
      <c r="H54" s="85">
        <f t="shared" si="17"/>
        <v>0</v>
      </c>
      <c r="I54" s="85">
        <f t="shared" si="10"/>
        <v>0</v>
      </c>
      <c r="K54" s="85">
        <f>SUM((('Worker Premium Calc'!I54*'Worker Premium Calc'!B54*'Worker Premium Calc'!K54*policy_term)/1000*$K$2)+SUM(('Worker Premium Calc'!I54*'Worker Premium Calc'!B54*'Worker Premium Calc'!L54*policy_term)/1000*$L$2)+SUM(('Worker Premium Calc'!I54*'Worker Premium Calc'!B54*'Worker Premium Calc'!M54*policy_term)/1000*$M$2))</f>
        <v>0</v>
      </c>
      <c r="L54" s="85">
        <f>SUM((('Worker Premium Calc'!J54*'Worker Premium Calc'!B54*'Worker Premium Calc'!N54*policy_term)/1000*$K$2)+SUM(('Worker Premium Calc'!J54*'Worker Premium Calc'!B54*'Worker Premium Calc'!O54*policy_term)/1000*$L$2)+SUM(('Worker Premium Calc'!J54*'Worker Premium Calc'!B54*'Worker Premium Calc'!P54*policy_term)/1000*$M$2))</f>
        <v>0</v>
      </c>
      <c r="M54" s="85">
        <f t="shared" si="11"/>
        <v>0</v>
      </c>
      <c r="N54" s="46">
        <f t="shared" si="18"/>
        <v>0</v>
      </c>
      <c r="O54" s="46">
        <f t="shared" si="19"/>
        <v>0</v>
      </c>
      <c r="P54" s="46">
        <f t="shared" si="20"/>
        <v>0</v>
      </c>
      <c r="Q54" s="46">
        <f t="shared" si="12"/>
        <v>0</v>
      </c>
      <c r="S54" s="85">
        <f>SUM((('Worker Premium Calc'!I54*'Worker Premium Calc'!B54*'Worker Premium Calc'!K54*policy_term)/1000*$S$2)+SUM(('Worker Premium Calc'!I54*'Worker Premium Calc'!B54*'Worker Premium Calc'!L54*policy_term)/1000*$T$2)+SUM(('Worker Premium Calc'!I54*'Worker Premium Calc'!B54*'Worker Premium Calc'!M54*policy_term)/1000*$U$2))</f>
        <v>0</v>
      </c>
      <c r="T54" s="85">
        <f>SUM((('Worker Premium Calc'!J54*'Worker Premium Calc'!B54*'Worker Premium Calc'!N54*policy_term)/1000*$S$2)+SUM(('Worker Premium Calc'!J54*'Worker Premium Calc'!B54*'Worker Premium Calc'!O54*policy_term)/1000*$T$2)+SUM(('Worker Premium Calc'!J54*'Worker Premium Calc'!B54*'Worker Premium Calc'!P54*policy_term)/1000*$U$2))</f>
        <v>0</v>
      </c>
      <c r="U54" s="85">
        <f t="shared" si="13"/>
        <v>0</v>
      </c>
      <c r="V54" s="46">
        <f t="shared" si="21"/>
        <v>0</v>
      </c>
      <c r="W54" s="46">
        <f t="shared" si="22"/>
        <v>0</v>
      </c>
      <c r="X54" s="46">
        <f t="shared" si="23"/>
        <v>0</v>
      </c>
      <c r="Y54" s="46">
        <f t="shared" si="14"/>
        <v>0</v>
      </c>
    </row>
    <row r="55" spans="2:25" x14ac:dyDescent="0.3">
      <c r="C55" s="72"/>
      <c r="D55" s="61"/>
      <c r="E55" s="72"/>
      <c r="F55" s="61"/>
      <c r="G55" s="61"/>
      <c r="H55" s="72"/>
      <c r="I55" s="72"/>
      <c r="K55" s="72"/>
      <c r="L55" s="72"/>
      <c r="M55" s="72"/>
      <c r="N55" s="61"/>
      <c r="O55" s="61"/>
      <c r="P55" s="61"/>
      <c r="Q55" s="61"/>
    </row>
    <row r="56" spans="2:25" x14ac:dyDescent="0.3">
      <c r="B56" s="144" t="s">
        <v>44</v>
      </c>
      <c r="C56" s="144" t="s">
        <v>71</v>
      </c>
      <c r="D56" s="61"/>
      <c r="E56" s="72"/>
      <c r="F56" s="61"/>
      <c r="G56" s="61"/>
      <c r="H56" s="72"/>
      <c r="I56" s="72"/>
      <c r="K56" s="72"/>
      <c r="L56" s="72"/>
      <c r="M56" s="72"/>
      <c r="N56" s="61"/>
      <c r="O56" s="61"/>
      <c r="P56" s="61"/>
      <c r="Q56" s="61"/>
    </row>
    <row r="57" spans="2:25" x14ac:dyDescent="0.3">
      <c r="B57" s="145" t="str">
        <f t="array" ref="B57">IFERROR(INDEX($B$5:$B$54,MATCH(0,COUNTIF($B$56:B56,$B$5:$B$54),0)),"")</f>
        <v/>
      </c>
      <c r="C57" s="146">
        <f t="shared" ref="C57:C71" si="24">SUMIF($B$5:$B$54,B57,$E$5:$E$54)</f>
        <v>0</v>
      </c>
      <c r="D57" s="61"/>
      <c r="E57" s="72"/>
      <c r="F57" s="61"/>
      <c r="G57" s="61"/>
      <c r="H57" s="72"/>
      <c r="I57" s="72"/>
      <c r="K57" s="72"/>
      <c r="L57" s="72"/>
      <c r="M57" s="72"/>
      <c r="N57" s="61"/>
      <c r="O57" s="61"/>
      <c r="P57" s="61"/>
      <c r="Q57" s="61"/>
    </row>
    <row r="58" spans="2:25" x14ac:dyDescent="0.3">
      <c r="B58" s="145" t="str">
        <f t="array" ref="B58">IFERROR(INDEX($B$5:$B$54,MATCH(0,COUNTIF($B$56:B57,$B$5:$B$54),0)),"")</f>
        <v/>
      </c>
      <c r="C58" s="146">
        <f t="shared" si="24"/>
        <v>0</v>
      </c>
      <c r="E58" s="143"/>
      <c r="F58" s="61"/>
      <c r="G58" s="61"/>
      <c r="H58" s="72"/>
      <c r="I58" s="72"/>
      <c r="K58" s="72"/>
      <c r="L58" s="72"/>
      <c r="M58" s="72"/>
      <c r="N58" s="61"/>
      <c r="O58" s="61"/>
      <c r="P58" s="61"/>
      <c r="Q58" s="61"/>
    </row>
    <row r="59" spans="2:25" x14ac:dyDescent="0.3">
      <c r="B59" s="145" t="str">
        <f t="array" ref="B59">IFERROR(INDEX($B$5:$B$54,MATCH(0,COUNTIF($B$56:B58,$B$5:$B$54),0)),"")</f>
        <v/>
      </c>
      <c r="C59" s="146">
        <f t="shared" si="24"/>
        <v>0</v>
      </c>
      <c r="E59" s="143"/>
      <c r="F59" s="61"/>
      <c r="G59" s="61"/>
      <c r="H59" s="72"/>
      <c r="I59" s="72"/>
      <c r="K59" s="72"/>
      <c r="L59" s="72"/>
      <c r="M59" s="72"/>
      <c r="N59" s="61"/>
      <c r="O59" s="61"/>
      <c r="P59" s="61"/>
      <c r="Q59" s="61"/>
    </row>
    <row r="60" spans="2:25" x14ac:dyDescent="0.3">
      <c r="B60" s="145" t="str">
        <f t="array" ref="B60">IFERROR(INDEX($B$5:$B$54,MATCH(0,COUNTIF($B$56:B59,$B$5:$B$54),0)),"")</f>
        <v/>
      </c>
      <c r="C60" s="146">
        <f t="shared" si="24"/>
        <v>0</v>
      </c>
      <c r="E60" s="143"/>
      <c r="F60" s="61"/>
      <c r="G60" s="61"/>
      <c r="H60" s="72"/>
      <c r="I60" s="72"/>
      <c r="K60" s="72"/>
      <c r="L60" s="72"/>
      <c r="M60" s="72"/>
      <c r="N60" s="61"/>
      <c r="O60" s="61"/>
      <c r="P60" s="61"/>
      <c r="Q60" s="61"/>
    </row>
    <row r="61" spans="2:25" x14ac:dyDescent="0.3">
      <c r="B61" s="145" t="str">
        <f t="array" ref="B61">IFERROR(INDEX($B$5:$B$54,MATCH(0,COUNTIF($B$56:B60,$B$5:$B$54),0)),"")</f>
        <v/>
      </c>
      <c r="C61" s="146">
        <f t="shared" si="24"/>
        <v>0</v>
      </c>
      <c r="E61" s="143"/>
      <c r="F61" s="61"/>
      <c r="G61" s="61"/>
      <c r="H61" s="72"/>
      <c r="I61" s="72"/>
      <c r="K61" s="72"/>
      <c r="L61" s="72"/>
      <c r="M61" s="72"/>
      <c r="N61" s="61"/>
      <c r="O61" s="61"/>
      <c r="P61" s="61"/>
      <c r="Q61" s="61"/>
    </row>
    <row r="62" spans="2:25" x14ac:dyDescent="0.3">
      <c r="B62" s="145" t="str">
        <f t="array" ref="B62">IFERROR(INDEX($B$5:$B$54,MATCH(0,COUNTIF($B$56:B61,$B$5:$B$54),0)),"")</f>
        <v/>
      </c>
      <c r="C62" s="146">
        <f t="shared" si="24"/>
        <v>0</v>
      </c>
      <c r="E62" s="143"/>
      <c r="F62" s="61"/>
      <c r="G62" s="61"/>
      <c r="H62" s="72"/>
      <c r="I62" s="72"/>
      <c r="K62" s="72"/>
      <c r="L62" s="72"/>
      <c r="M62" s="72"/>
      <c r="N62" s="61"/>
      <c r="O62" s="61"/>
      <c r="P62" s="61"/>
      <c r="Q62" s="61"/>
    </row>
    <row r="63" spans="2:25" x14ac:dyDescent="0.3">
      <c r="B63" s="145" t="str">
        <f t="array" ref="B63">IFERROR(INDEX($B$5:$B$54,MATCH(0,COUNTIF($B$56:B62,$B$5:$B$54),0)),"")</f>
        <v/>
      </c>
      <c r="C63" s="146">
        <f t="shared" si="24"/>
        <v>0</v>
      </c>
      <c r="E63" s="143"/>
      <c r="F63" s="61"/>
      <c r="G63" s="61"/>
      <c r="H63" s="72"/>
      <c r="I63" s="72"/>
      <c r="K63" s="72"/>
      <c r="L63" s="72"/>
      <c r="M63" s="72"/>
      <c r="N63" s="61"/>
      <c r="O63" s="61"/>
      <c r="P63" s="61"/>
      <c r="Q63" s="61"/>
    </row>
    <row r="64" spans="2:25" x14ac:dyDescent="0.3">
      <c r="B64" s="145" t="str">
        <f t="array" ref="B64">IFERROR(INDEX($B$5:$B$54,MATCH(0,COUNTIF($B$56:B63,$B$5:$B$54),0)),"")</f>
        <v/>
      </c>
      <c r="C64" s="146">
        <f t="shared" si="24"/>
        <v>0</v>
      </c>
      <c r="E64" s="143"/>
      <c r="F64" s="61"/>
      <c r="G64" s="61"/>
      <c r="H64" s="72"/>
      <c r="I64" s="72"/>
      <c r="K64" s="72"/>
      <c r="L64" s="72"/>
      <c r="M64" s="72"/>
      <c r="N64" s="61"/>
      <c r="O64" s="61"/>
      <c r="P64" s="61"/>
      <c r="Q64" s="61"/>
    </row>
    <row r="65" spans="2:25" x14ac:dyDescent="0.3">
      <c r="B65" s="145" t="str">
        <f t="array" ref="B65">IFERROR(INDEX($B$5:$B$54,MATCH(0,COUNTIF($B$56:B64,$B$5:$B$54),0)),"")</f>
        <v/>
      </c>
      <c r="C65" s="146">
        <f t="shared" si="24"/>
        <v>0</v>
      </c>
      <c r="E65" s="143"/>
      <c r="F65" s="61"/>
      <c r="G65" s="61"/>
      <c r="H65" s="72"/>
      <c r="I65" s="72"/>
      <c r="K65" s="72"/>
      <c r="L65" s="72"/>
      <c r="M65" s="72"/>
      <c r="N65" s="61"/>
      <c r="O65" s="61"/>
      <c r="P65" s="61"/>
      <c r="Q65" s="61"/>
    </row>
    <row r="66" spans="2:25" x14ac:dyDescent="0.3">
      <c r="B66" s="145" t="str">
        <f t="array" ref="B66">IFERROR(INDEX($B$5:$B$54,MATCH(0,COUNTIF($B$56:B65,$B$5:$B$54),0)),"")</f>
        <v/>
      </c>
      <c r="C66" s="146">
        <f t="shared" si="24"/>
        <v>0</v>
      </c>
      <c r="E66" s="143"/>
      <c r="F66" s="61"/>
      <c r="G66" s="61"/>
      <c r="H66" s="72"/>
      <c r="I66" s="72"/>
      <c r="K66" s="72"/>
      <c r="L66" s="72"/>
      <c r="M66" s="72"/>
      <c r="N66" s="61"/>
      <c r="O66" s="61"/>
      <c r="P66" s="61"/>
      <c r="Q66" s="61"/>
    </row>
    <row r="67" spans="2:25" x14ac:dyDescent="0.3">
      <c r="B67" s="145" t="str">
        <f t="array" ref="B67">IFERROR(INDEX($B$5:$B$54,MATCH(0,COUNTIF($B$56:B66,$B$5:$B$54),0)),"")</f>
        <v/>
      </c>
      <c r="C67" s="146">
        <f t="shared" si="24"/>
        <v>0</v>
      </c>
      <c r="E67" s="143"/>
      <c r="F67" s="61"/>
      <c r="G67" s="61"/>
      <c r="H67" s="72"/>
      <c r="I67" s="72"/>
      <c r="K67" s="72"/>
      <c r="L67" s="72"/>
      <c r="M67" s="72"/>
      <c r="N67" s="61"/>
      <c r="O67" s="61"/>
      <c r="P67" s="61"/>
      <c r="Q67" s="61"/>
    </row>
    <row r="68" spans="2:25" x14ac:dyDescent="0.3">
      <c r="B68" s="145" t="str">
        <f t="array" ref="B68">IFERROR(INDEX($B$5:$B$54,MATCH(0,COUNTIF($B$56:B67,$B$5:$B$54),0)),"")</f>
        <v/>
      </c>
      <c r="C68" s="146">
        <f t="shared" si="24"/>
        <v>0</v>
      </c>
      <c r="E68" s="143"/>
      <c r="F68" s="61"/>
      <c r="G68" s="61"/>
      <c r="H68" s="72"/>
      <c r="I68" s="72"/>
      <c r="K68" s="72"/>
      <c r="L68" s="72"/>
      <c r="M68" s="72"/>
      <c r="N68" s="61"/>
      <c r="O68" s="61"/>
      <c r="P68" s="61"/>
      <c r="Q68" s="61"/>
    </row>
    <row r="69" spans="2:25" x14ac:dyDescent="0.3">
      <c r="B69" s="145" t="str">
        <f t="array" ref="B69">IFERROR(INDEX($B$5:$B$54,MATCH(0,COUNTIF($B$56:B68,$B$5:$B$54),0)),"")</f>
        <v/>
      </c>
      <c r="C69" s="146">
        <f t="shared" si="24"/>
        <v>0</v>
      </c>
      <c r="E69" s="143"/>
      <c r="F69" s="61"/>
      <c r="G69" s="61"/>
      <c r="H69" s="72"/>
      <c r="I69" s="72"/>
      <c r="K69" s="72"/>
      <c r="L69" s="72"/>
      <c r="M69" s="72"/>
      <c r="N69" s="61"/>
      <c r="O69" s="61"/>
      <c r="P69" s="61"/>
      <c r="Q69" s="61"/>
    </row>
    <row r="70" spans="2:25" x14ac:dyDescent="0.3">
      <c r="B70" s="145" t="str">
        <f t="array" ref="B70">IFERROR(INDEX($B$5:$B$54,MATCH(0,COUNTIF($B$56:B69,$B$5:$B$54),0)),"")</f>
        <v/>
      </c>
      <c r="C70" s="146">
        <f t="shared" si="24"/>
        <v>0</v>
      </c>
      <c r="E70" s="143"/>
      <c r="F70" s="61"/>
      <c r="G70" s="61"/>
      <c r="H70" s="72"/>
      <c r="I70" s="72"/>
      <c r="K70" s="72"/>
      <c r="L70" s="72"/>
      <c r="M70" s="72"/>
      <c r="N70" s="61"/>
      <c r="O70" s="61"/>
      <c r="P70" s="61"/>
      <c r="Q70" s="61"/>
    </row>
    <row r="71" spans="2:25" x14ac:dyDescent="0.3">
      <c r="B71" s="145" t="str">
        <f t="array" ref="B71">IFERROR(INDEX($B$5:$B$54,MATCH(0,COUNTIF($B$56:B70,$B$5:$B$54),0)),"")</f>
        <v/>
      </c>
      <c r="C71" s="146">
        <f t="shared" si="24"/>
        <v>0</v>
      </c>
      <c r="E71" s="143"/>
      <c r="F71" s="61"/>
      <c r="G71" s="61"/>
      <c r="H71" s="72"/>
      <c r="I71" s="72"/>
      <c r="K71" s="72"/>
      <c r="L71" s="72"/>
      <c r="M71" s="72"/>
      <c r="N71" s="61"/>
      <c r="O71" s="61"/>
      <c r="P71" s="61"/>
      <c r="Q71" s="61"/>
    </row>
    <row r="72" spans="2:25" x14ac:dyDescent="0.3">
      <c r="E72" s="143"/>
      <c r="F72" s="61"/>
      <c r="G72" s="61"/>
      <c r="H72" s="72"/>
      <c r="I72" s="72"/>
      <c r="K72" s="72"/>
      <c r="L72" s="72"/>
      <c r="M72" s="72"/>
      <c r="N72" s="61"/>
      <c r="O72" s="61"/>
      <c r="P72" s="61"/>
      <c r="Q72" s="61"/>
    </row>
    <row r="73" spans="2:25" x14ac:dyDescent="0.3">
      <c r="C73" s="31">
        <v>0.6</v>
      </c>
      <c r="D73" s="31">
        <v>0.39</v>
      </c>
      <c r="E73" s="31">
        <v>0.01</v>
      </c>
      <c r="K73" s="31">
        <v>0.8</v>
      </c>
      <c r="L73" s="31">
        <v>0.19</v>
      </c>
      <c r="M73" s="31">
        <v>0.01</v>
      </c>
      <c r="S73" s="31">
        <v>0.98</v>
      </c>
      <c r="T73" s="31">
        <v>0.01</v>
      </c>
      <c r="U73" s="31">
        <v>0.01</v>
      </c>
    </row>
    <row r="74" spans="2:25" x14ac:dyDescent="0.3">
      <c r="C74" s="134">
        <f>SUM(C76:C125)</f>
        <v>0</v>
      </c>
      <c r="D74" s="134">
        <f>SUM(D76:D125)</f>
        <v>0</v>
      </c>
      <c r="E74" s="134">
        <f>SUM(E76:E125)</f>
        <v>0</v>
      </c>
      <c r="I74" s="137">
        <f>SUM(I76:I125)</f>
        <v>0</v>
      </c>
      <c r="K74" s="136">
        <f>SUM(K76:K125)</f>
        <v>0</v>
      </c>
      <c r="L74" s="134">
        <f>SUM(L76:L125)</f>
        <v>0</v>
      </c>
      <c r="M74" s="134">
        <f>SUM(M76:M125)</f>
        <v>0</v>
      </c>
      <c r="Q74" s="137">
        <f>SUM(Q76:Q125)</f>
        <v>0</v>
      </c>
      <c r="S74" s="136">
        <f>SUM(S76:S125)</f>
        <v>0</v>
      </c>
      <c r="T74" s="134">
        <f>SUM(T76:T125)</f>
        <v>0</v>
      </c>
      <c r="U74" s="134">
        <f>SUM(U76:U125)</f>
        <v>0</v>
      </c>
      <c r="Y74" s="137">
        <f>SUM(Y76:Y125)</f>
        <v>0</v>
      </c>
    </row>
    <row r="75" spans="2:25" x14ac:dyDescent="0.3">
      <c r="C75" s="123" t="s">
        <v>127</v>
      </c>
      <c r="D75" s="123" t="s">
        <v>128</v>
      </c>
      <c r="E75" s="123" t="s">
        <v>71</v>
      </c>
      <c r="F75" s="135" t="s">
        <v>73</v>
      </c>
      <c r="G75" s="135" t="s">
        <v>74</v>
      </c>
      <c r="H75" s="135" t="s">
        <v>75</v>
      </c>
      <c r="I75" s="123" t="s">
        <v>71</v>
      </c>
      <c r="K75" s="123" t="s">
        <v>127</v>
      </c>
      <c r="L75" s="123" t="s">
        <v>128</v>
      </c>
      <c r="M75" s="123" t="s">
        <v>71</v>
      </c>
      <c r="N75" s="135" t="s">
        <v>73</v>
      </c>
      <c r="O75" s="135" t="s">
        <v>74</v>
      </c>
      <c r="P75" s="135" t="s">
        <v>75</v>
      </c>
      <c r="Q75" s="123" t="s">
        <v>71</v>
      </c>
      <c r="S75" s="123" t="s">
        <v>127</v>
      </c>
      <c r="T75" s="123" t="s">
        <v>128</v>
      </c>
      <c r="U75" s="123" t="s">
        <v>71</v>
      </c>
      <c r="V75" s="135" t="s">
        <v>73</v>
      </c>
      <c r="W75" s="135" t="s">
        <v>74</v>
      </c>
      <c r="X75" s="135" t="s">
        <v>75</v>
      </c>
      <c r="Y75" s="123" t="s">
        <v>71</v>
      </c>
    </row>
    <row r="76" spans="2:25" x14ac:dyDescent="0.3">
      <c r="C76" s="85">
        <f>SUM((('Worker Premium Calc'!I5*'Worker Premium Calc'!B5*'Worker Premium Calc'!K5*policy_term)/1000*$C$73)+SUM(('Worker Premium Calc'!I5*'Worker Premium Calc'!B5*'Worker Premium Calc'!L5*policy_term)/1000*$D$73)+SUM(('Worker Premium Calc'!I5*'Worker Premium Calc'!B5*'Worker Premium Calc'!M5*policy_term)/1000*$E$73))</f>
        <v>0</v>
      </c>
      <c r="D76" s="46">
        <f>SUM((('Worker Premium Calc'!J5*'Worker Premium Calc'!B5*'Worker Premium Calc'!N5*policy_term)/1000*$C$73)+SUM(('Worker Premium Calc'!J5*'Worker Premium Calc'!B5*'Worker Premium Calc'!O5*policy_term)/1000*$D$73)+SUM(('Worker Premium Calc'!J5*'Worker Premium Calc'!B5*'Worker Premium Calc'!P5*policy_term)/1000*$E$73))</f>
        <v>0</v>
      </c>
      <c r="E76" s="85">
        <f>ROUND(SUM(C76:D76),2)</f>
        <v>0</v>
      </c>
      <c r="F76" s="46">
        <f t="shared" ref="F76:F107" si="25">IFERROR(ROUND((E76*(1+load_disc_perc)),5),0)</f>
        <v>0</v>
      </c>
      <c r="G76" s="46">
        <f t="shared" ref="G76:G107" si="26">ROUND((F76*medex_loading),3)</f>
        <v>0</v>
      </c>
      <c r="H76" s="85">
        <f t="shared" ref="H76:H107" si="27">ROUND((F76*od_loading),3)</f>
        <v>0</v>
      </c>
      <c r="I76" s="85">
        <f>ROUND(SUM(F76:H76),2)</f>
        <v>0</v>
      </c>
      <c r="K76" s="85">
        <f>SUM((('Worker Premium Calc'!I5*'Worker Premium Calc'!B5*'Worker Premium Calc'!K5*policy_term)/1000*$K$73)+SUM(('Worker Premium Calc'!I5*'Worker Premium Calc'!B5*'Worker Premium Calc'!L5*policy_term)/1000*$L$73)+SUM(('Worker Premium Calc'!I5*'Worker Premium Calc'!B5*'Worker Premium Calc'!M5*policy_term)/1000*$M$73))</f>
        <v>0</v>
      </c>
      <c r="L76" s="46">
        <f>SUM((('Worker Premium Calc'!J5*'Worker Premium Calc'!B5*'Worker Premium Calc'!N5*policy_term)/1000*$K$73)+SUM(('Worker Premium Calc'!J5*'Worker Premium Calc'!B5*'Worker Premium Calc'!O5*policy_term)/1000*$L$73)+SUM(('Worker Premium Calc'!J5*'Worker Premium Calc'!B5*'Worker Premium Calc'!P5*policy_term)/1000*$M$73))</f>
        <v>0</v>
      </c>
      <c r="M76" s="85">
        <f>ROUND(SUM(K76:L76),2)</f>
        <v>0</v>
      </c>
      <c r="N76" s="46">
        <f t="shared" ref="N76:N107" si="28">IFERROR(ROUND((M76*(1+load_disc_perc)),5),0)</f>
        <v>0</v>
      </c>
      <c r="O76" s="46">
        <f>ROUND((N76*medex_loading),3)</f>
        <v>0</v>
      </c>
      <c r="P76" s="85">
        <f>ROUND((N76*od_loading),3)</f>
        <v>0</v>
      </c>
      <c r="Q76" s="85">
        <f>ROUND(SUM(N76:P76),2)</f>
        <v>0</v>
      </c>
      <c r="S76" s="85">
        <f>SUM((('Worker Premium Calc'!I5*'Worker Premium Calc'!B5*'Worker Premium Calc'!K5*policy_term)/1000*$S$73)+SUM(('Worker Premium Calc'!I5*'Worker Premium Calc'!B5*'Worker Premium Calc'!L5*policy_term)/1000*$T$73)+SUM(('Worker Premium Calc'!I5*'Worker Premium Calc'!B5*'Worker Premium Calc'!M5*policy_term)/1000*$U$73))</f>
        <v>0</v>
      </c>
      <c r="T76" s="46">
        <f>SUM((('Worker Premium Calc'!J5*'Worker Premium Calc'!B5*'Worker Premium Calc'!N5*policy_term)/1000*$S$73)+SUM(('Worker Premium Calc'!J5*'Worker Premium Calc'!B5*'Worker Premium Calc'!O5*policy_term)/1000*$T$73)+SUM(('Worker Premium Calc'!J5*'Worker Premium Calc'!B5*'Worker Premium Calc'!P5*policy_term)/1000*$U$73))</f>
        <v>0</v>
      </c>
      <c r="U76" s="85">
        <f>ROUND(SUM(S76:T76),2)</f>
        <v>0</v>
      </c>
      <c r="V76" s="85">
        <f t="shared" ref="V76:V107" si="29">IFERROR(ROUND((U76*(1+load_disc_perc)),5),0)</f>
        <v>0</v>
      </c>
      <c r="W76" s="46">
        <f t="shared" ref="W76:W107" si="30">ROUND((V76*medex_loading),3)</f>
        <v>0</v>
      </c>
      <c r="X76" s="85">
        <f t="shared" ref="X76:X107" si="31">ROUND((V76*od_loading),3)</f>
        <v>0</v>
      </c>
      <c r="Y76" s="85">
        <f>ROUND(SUM(V76:X76),2)</f>
        <v>0</v>
      </c>
    </row>
    <row r="77" spans="2:25" x14ac:dyDescent="0.3">
      <c r="C77" s="85">
        <f>SUM((('Worker Premium Calc'!I6*'Worker Premium Calc'!B6*'Worker Premium Calc'!K6*policy_term)/1000*$C$73)+SUM(('Worker Premium Calc'!I6*'Worker Premium Calc'!B6*'Worker Premium Calc'!L6*policy_term)/1000*$D$73)+SUM(('Worker Premium Calc'!I6*'Worker Premium Calc'!B6*'Worker Premium Calc'!M6*policy_term)/1000*$E$73))</f>
        <v>0</v>
      </c>
      <c r="D77" s="46">
        <f>SUM((('Worker Premium Calc'!J6*'Worker Premium Calc'!B6*'Worker Premium Calc'!N6*policy_term)/1000*$C$73)+SUM(('Worker Premium Calc'!J6*'Worker Premium Calc'!B6*'Worker Premium Calc'!O6*policy_term)/1000*$D$73)+SUM(('Worker Premium Calc'!J6*'Worker Premium Calc'!B6*'Worker Premium Calc'!P6*policy_term)/1000*$E$73))</f>
        <v>0</v>
      </c>
      <c r="E77" s="85">
        <f t="shared" ref="E77:E125" si="32">ROUND(SUM(C77:D77),2)</f>
        <v>0</v>
      </c>
      <c r="F77" s="46">
        <f t="shared" si="25"/>
        <v>0</v>
      </c>
      <c r="G77" s="46">
        <f t="shared" si="26"/>
        <v>0</v>
      </c>
      <c r="H77" s="85">
        <f t="shared" si="27"/>
        <v>0</v>
      </c>
      <c r="I77" s="85">
        <f t="shared" ref="I77:I125" si="33">ROUND(SUM(F77:H77),2)</f>
        <v>0</v>
      </c>
      <c r="K77" s="85">
        <f>SUM((('Worker Premium Calc'!I6*'Worker Premium Calc'!B6*'Worker Premium Calc'!K6*policy_term)/1000*$K$73)+SUM(('Worker Premium Calc'!I6*'Worker Premium Calc'!B6*'Worker Premium Calc'!L6*policy_term)/1000*$L$73)+SUM(('Worker Premium Calc'!I6*'Worker Premium Calc'!B6*'Worker Premium Calc'!M6*policy_term)/1000*$M$73))</f>
        <v>0</v>
      </c>
      <c r="L77" s="46">
        <f>SUM((('Worker Premium Calc'!J6*'Worker Premium Calc'!B6*'Worker Premium Calc'!N6*policy_term)/1000*$K$73)+SUM(('Worker Premium Calc'!J6*'Worker Premium Calc'!B6*'Worker Premium Calc'!O6*policy_term)/1000*$L$73)+SUM(('Worker Premium Calc'!J6*'Worker Premium Calc'!B6*'Worker Premium Calc'!P6*policy_term)/1000*$M$73))</f>
        <v>0</v>
      </c>
      <c r="M77" s="85">
        <f t="shared" ref="M77:M125" si="34">ROUND(SUM(K77:L77),2)</f>
        <v>0</v>
      </c>
      <c r="N77" s="46">
        <f t="shared" si="28"/>
        <v>0</v>
      </c>
      <c r="O77" s="46">
        <f t="shared" ref="O77:O107" si="35">ROUND((N77*medex_loading),3)</f>
        <v>0</v>
      </c>
      <c r="P77" s="85">
        <f t="shared" ref="P77:P107" si="36">ROUND((N77*od_loading),3)</f>
        <v>0</v>
      </c>
      <c r="Q77" s="85">
        <f t="shared" ref="Q77:Q125" si="37">ROUND(SUM(N77:P77),2)</f>
        <v>0</v>
      </c>
      <c r="S77" s="85">
        <f>SUM((('Worker Premium Calc'!I6*'Worker Premium Calc'!B6*'Worker Premium Calc'!K6*policy_term)/1000*$S$73)+SUM(('Worker Premium Calc'!I6*'Worker Premium Calc'!B6*'Worker Premium Calc'!L6*policy_term)/1000*$T$73)+SUM(('Worker Premium Calc'!I6*'Worker Premium Calc'!B6*'Worker Premium Calc'!M6*policy_term)/1000*$U$73))</f>
        <v>0</v>
      </c>
      <c r="T77" s="46">
        <f>SUM((('Worker Premium Calc'!J6*'Worker Premium Calc'!B6*'Worker Premium Calc'!N6*policy_term)/1000*$S$73)+SUM(('Worker Premium Calc'!J6*'Worker Premium Calc'!B6*'Worker Premium Calc'!O6*policy_term)/1000*$T$73)+SUM(('Worker Premium Calc'!J6*'Worker Premium Calc'!B6*'Worker Premium Calc'!P6*policy_term)/1000*$U$73))</f>
        <v>0</v>
      </c>
      <c r="U77" s="85">
        <f t="shared" ref="U77:U125" si="38">ROUND(SUM(S77:T77),2)</f>
        <v>0</v>
      </c>
      <c r="V77" s="85">
        <f t="shared" si="29"/>
        <v>0</v>
      </c>
      <c r="W77" s="46">
        <f t="shared" si="30"/>
        <v>0</v>
      </c>
      <c r="X77" s="85">
        <f t="shared" si="31"/>
        <v>0</v>
      </c>
      <c r="Y77" s="85">
        <f t="shared" ref="Y77:Y125" si="39">ROUND(SUM(V77:X77),2)</f>
        <v>0</v>
      </c>
    </row>
    <row r="78" spans="2:25" x14ac:dyDescent="0.3">
      <c r="C78" s="85">
        <f>SUM((('Worker Premium Calc'!I7*'Worker Premium Calc'!B7*'Worker Premium Calc'!K7*policy_term)/1000*$C$73)+SUM(('Worker Premium Calc'!I7*'Worker Premium Calc'!B7*'Worker Premium Calc'!L7*policy_term)/1000*$D$73)+SUM(('Worker Premium Calc'!I7*'Worker Premium Calc'!B7*'Worker Premium Calc'!M7*policy_term)/1000*$E$73))</f>
        <v>0</v>
      </c>
      <c r="D78" s="46">
        <f>SUM((('Worker Premium Calc'!J7*'Worker Premium Calc'!B7*'Worker Premium Calc'!N7*policy_term)/1000*$C$73)+SUM(('Worker Premium Calc'!J7*'Worker Premium Calc'!B7*'Worker Premium Calc'!O7*policy_term)/1000*$D$73)+SUM(('Worker Premium Calc'!J7*'Worker Premium Calc'!B7*'Worker Premium Calc'!P7*policy_term)/1000*$E$73))</f>
        <v>0</v>
      </c>
      <c r="E78" s="85">
        <f t="shared" si="32"/>
        <v>0</v>
      </c>
      <c r="F78" s="46">
        <f t="shared" si="25"/>
        <v>0</v>
      </c>
      <c r="G78" s="46">
        <f t="shared" si="26"/>
        <v>0</v>
      </c>
      <c r="H78" s="85">
        <f t="shared" si="27"/>
        <v>0</v>
      </c>
      <c r="I78" s="85">
        <f t="shared" si="33"/>
        <v>0</v>
      </c>
      <c r="K78" s="85">
        <f>SUM((('Worker Premium Calc'!I7*'Worker Premium Calc'!B7*'Worker Premium Calc'!K7*policy_term)/1000*$K$73)+SUM(('Worker Premium Calc'!I7*'Worker Premium Calc'!B7*'Worker Premium Calc'!L7*policy_term)/1000*$L$73)+SUM(('Worker Premium Calc'!I7*'Worker Premium Calc'!B7*'Worker Premium Calc'!M7*policy_term)/1000*$M$73))</f>
        <v>0</v>
      </c>
      <c r="L78" s="46">
        <f>SUM((('Worker Premium Calc'!J7*'Worker Premium Calc'!B7*'Worker Premium Calc'!N7*policy_term)/1000*$K$73)+SUM(('Worker Premium Calc'!J7*'Worker Premium Calc'!B7*'Worker Premium Calc'!O7*policy_term)/1000*$L$73)+SUM(('Worker Premium Calc'!J7*'Worker Premium Calc'!B7*'Worker Premium Calc'!P7*policy_term)/1000*$M$73))</f>
        <v>0</v>
      </c>
      <c r="M78" s="85">
        <f t="shared" si="34"/>
        <v>0</v>
      </c>
      <c r="N78" s="46">
        <f t="shared" si="28"/>
        <v>0</v>
      </c>
      <c r="O78" s="46">
        <f t="shared" si="35"/>
        <v>0</v>
      </c>
      <c r="P78" s="85">
        <f t="shared" si="36"/>
        <v>0</v>
      </c>
      <c r="Q78" s="85">
        <f t="shared" si="37"/>
        <v>0</v>
      </c>
      <c r="S78" s="85">
        <f>SUM((('Worker Premium Calc'!I7*'Worker Premium Calc'!B7*'Worker Premium Calc'!K7*policy_term)/1000*$S$73)+SUM(('Worker Premium Calc'!I7*'Worker Premium Calc'!B7*'Worker Premium Calc'!L7*policy_term)/1000*$T$73)+SUM(('Worker Premium Calc'!I7*'Worker Premium Calc'!B7*'Worker Premium Calc'!M7*policy_term)/1000*$U$73))</f>
        <v>0</v>
      </c>
      <c r="T78" s="46">
        <f>SUM((('Worker Premium Calc'!J7*'Worker Premium Calc'!B7*'Worker Premium Calc'!N7*policy_term)/1000*$S$73)+SUM(('Worker Premium Calc'!J7*'Worker Premium Calc'!B7*'Worker Premium Calc'!O7*policy_term)/1000*$T$73)+SUM(('Worker Premium Calc'!J7*'Worker Premium Calc'!B7*'Worker Premium Calc'!P7*policy_term)/1000*$U$73))</f>
        <v>0</v>
      </c>
      <c r="U78" s="85">
        <f t="shared" si="38"/>
        <v>0</v>
      </c>
      <c r="V78" s="85">
        <f t="shared" si="29"/>
        <v>0</v>
      </c>
      <c r="W78" s="46">
        <f t="shared" si="30"/>
        <v>0</v>
      </c>
      <c r="X78" s="85">
        <f t="shared" si="31"/>
        <v>0</v>
      </c>
      <c r="Y78" s="85">
        <f t="shared" si="39"/>
        <v>0</v>
      </c>
    </row>
    <row r="79" spans="2:25" x14ac:dyDescent="0.3">
      <c r="C79" s="85">
        <f>SUM((('Worker Premium Calc'!I8*'Worker Premium Calc'!B8*'Worker Premium Calc'!K8*policy_term)/1000*$C$73)+SUM(('Worker Premium Calc'!I8*'Worker Premium Calc'!B8*'Worker Premium Calc'!L8*policy_term)/1000*$D$73)+SUM(('Worker Premium Calc'!I8*'Worker Premium Calc'!B8*'Worker Premium Calc'!M8*policy_term)/1000*$E$73))</f>
        <v>0</v>
      </c>
      <c r="D79" s="46">
        <f>SUM((('Worker Premium Calc'!J8*'Worker Premium Calc'!B8*'Worker Premium Calc'!N8*policy_term)/1000*$C$73)+SUM(('Worker Premium Calc'!J8*'Worker Premium Calc'!B8*'Worker Premium Calc'!O8*policy_term)/1000*$D$73)+SUM(('Worker Premium Calc'!J8*'Worker Premium Calc'!B8*'Worker Premium Calc'!P8*policy_term)/1000*$E$73))</f>
        <v>0</v>
      </c>
      <c r="E79" s="85">
        <f t="shared" si="32"/>
        <v>0</v>
      </c>
      <c r="F79" s="46">
        <f t="shared" si="25"/>
        <v>0</v>
      </c>
      <c r="G79" s="46">
        <f t="shared" si="26"/>
        <v>0</v>
      </c>
      <c r="H79" s="85">
        <f t="shared" si="27"/>
        <v>0</v>
      </c>
      <c r="I79" s="85">
        <f t="shared" si="33"/>
        <v>0</v>
      </c>
      <c r="K79" s="85">
        <f>SUM((('Worker Premium Calc'!I8*'Worker Premium Calc'!B8*'Worker Premium Calc'!K8*policy_term)/1000*$K$73)+SUM(('Worker Premium Calc'!I8*'Worker Premium Calc'!B8*'Worker Premium Calc'!L8*policy_term)/1000*$L$73)+SUM(('Worker Premium Calc'!I8*'Worker Premium Calc'!B8*'Worker Premium Calc'!M8*policy_term)/1000*$M$73))</f>
        <v>0</v>
      </c>
      <c r="L79" s="46">
        <f>SUM((('Worker Premium Calc'!J8*'Worker Premium Calc'!B8*'Worker Premium Calc'!N8*policy_term)/1000*$K$73)+SUM(('Worker Premium Calc'!J8*'Worker Premium Calc'!B8*'Worker Premium Calc'!O8*policy_term)/1000*$L$73)+SUM(('Worker Premium Calc'!J8*'Worker Premium Calc'!B8*'Worker Premium Calc'!P8*policy_term)/1000*$M$73))</f>
        <v>0</v>
      </c>
      <c r="M79" s="85">
        <f t="shared" si="34"/>
        <v>0</v>
      </c>
      <c r="N79" s="46">
        <f t="shared" si="28"/>
        <v>0</v>
      </c>
      <c r="O79" s="46">
        <f t="shared" si="35"/>
        <v>0</v>
      </c>
      <c r="P79" s="85">
        <f t="shared" si="36"/>
        <v>0</v>
      </c>
      <c r="Q79" s="85">
        <f t="shared" si="37"/>
        <v>0</v>
      </c>
      <c r="S79" s="85">
        <f>SUM((('Worker Premium Calc'!I8*'Worker Premium Calc'!B8*'Worker Premium Calc'!K8*policy_term)/1000*$S$73)+SUM(('Worker Premium Calc'!I8*'Worker Premium Calc'!B8*'Worker Premium Calc'!L8*policy_term)/1000*$T$73)+SUM(('Worker Premium Calc'!I8*'Worker Premium Calc'!B8*'Worker Premium Calc'!M8*policy_term)/1000*$U$73))</f>
        <v>0</v>
      </c>
      <c r="T79" s="46">
        <f>SUM((('Worker Premium Calc'!J8*'Worker Premium Calc'!B8*'Worker Premium Calc'!N8*policy_term)/1000*$S$73)+SUM(('Worker Premium Calc'!J8*'Worker Premium Calc'!B8*'Worker Premium Calc'!O8*policy_term)/1000*$T$73)+SUM(('Worker Premium Calc'!J8*'Worker Premium Calc'!B8*'Worker Premium Calc'!P8*policy_term)/1000*$U$73))</f>
        <v>0</v>
      </c>
      <c r="U79" s="85">
        <f t="shared" si="38"/>
        <v>0</v>
      </c>
      <c r="V79" s="85">
        <f t="shared" si="29"/>
        <v>0</v>
      </c>
      <c r="W79" s="46">
        <f t="shared" si="30"/>
        <v>0</v>
      </c>
      <c r="X79" s="85">
        <f t="shared" si="31"/>
        <v>0</v>
      </c>
      <c r="Y79" s="85">
        <f t="shared" si="39"/>
        <v>0</v>
      </c>
    </row>
    <row r="80" spans="2:25" x14ac:dyDescent="0.3">
      <c r="C80" s="85">
        <f>SUM((('Worker Premium Calc'!I9*'Worker Premium Calc'!B9*'Worker Premium Calc'!K9*policy_term)/1000*$C$73)+SUM(('Worker Premium Calc'!I9*'Worker Premium Calc'!B9*'Worker Premium Calc'!L9*policy_term)/1000*$D$73)+SUM(('Worker Premium Calc'!I9*'Worker Premium Calc'!B9*'Worker Premium Calc'!M9*policy_term)/1000*$E$73))</f>
        <v>0</v>
      </c>
      <c r="D80" s="46">
        <f>SUM((('Worker Premium Calc'!J9*'Worker Premium Calc'!B9*'Worker Premium Calc'!N9*policy_term)/1000*$C$73)+SUM(('Worker Premium Calc'!J9*'Worker Premium Calc'!B9*'Worker Premium Calc'!O9*policy_term)/1000*$D$73)+SUM(('Worker Premium Calc'!J9*'Worker Premium Calc'!B9*'Worker Premium Calc'!P9*policy_term)/1000*$E$73))</f>
        <v>0</v>
      </c>
      <c r="E80" s="85">
        <f t="shared" si="32"/>
        <v>0</v>
      </c>
      <c r="F80" s="46">
        <f t="shared" si="25"/>
        <v>0</v>
      </c>
      <c r="G80" s="46">
        <f t="shared" si="26"/>
        <v>0</v>
      </c>
      <c r="H80" s="85">
        <f t="shared" si="27"/>
        <v>0</v>
      </c>
      <c r="I80" s="85">
        <f t="shared" si="33"/>
        <v>0</v>
      </c>
      <c r="K80" s="85">
        <f>SUM((('Worker Premium Calc'!I9*'Worker Premium Calc'!B9*'Worker Premium Calc'!K9*policy_term)/1000*$K$73)+SUM(('Worker Premium Calc'!I9*'Worker Premium Calc'!B9*'Worker Premium Calc'!L9*policy_term)/1000*$L$73)+SUM(('Worker Premium Calc'!I9*'Worker Premium Calc'!B9*'Worker Premium Calc'!M9*policy_term)/1000*$M$73))</f>
        <v>0</v>
      </c>
      <c r="L80" s="46">
        <f>SUM((('Worker Premium Calc'!J9*'Worker Premium Calc'!B9*'Worker Premium Calc'!N9*policy_term)/1000*$K$73)+SUM(('Worker Premium Calc'!J9*'Worker Premium Calc'!B9*'Worker Premium Calc'!O9*policy_term)/1000*$L$73)+SUM(('Worker Premium Calc'!J9*'Worker Premium Calc'!B9*'Worker Premium Calc'!P9*policy_term)/1000*$M$73))</f>
        <v>0</v>
      </c>
      <c r="M80" s="85">
        <f t="shared" si="34"/>
        <v>0</v>
      </c>
      <c r="N80" s="46">
        <f t="shared" si="28"/>
        <v>0</v>
      </c>
      <c r="O80" s="46">
        <f t="shared" si="35"/>
        <v>0</v>
      </c>
      <c r="P80" s="85">
        <f t="shared" si="36"/>
        <v>0</v>
      </c>
      <c r="Q80" s="85">
        <f t="shared" si="37"/>
        <v>0</v>
      </c>
      <c r="S80" s="85">
        <f>SUM((('Worker Premium Calc'!I9*'Worker Premium Calc'!B9*'Worker Premium Calc'!K9*policy_term)/1000*$S$73)+SUM(('Worker Premium Calc'!I9*'Worker Premium Calc'!B9*'Worker Premium Calc'!L9*policy_term)/1000*$T$73)+SUM(('Worker Premium Calc'!I9*'Worker Premium Calc'!B9*'Worker Premium Calc'!M9*policy_term)/1000*$U$73))</f>
        <v>0</v>
      </c>
      <c r="T80" s="46">
        <f>SUM((('Worker Premium Calc'!J9*'Worker Premium Calc'!B9*'Worker Premium Calc'!N9*policy_term)/1000*$S$73)+SUM(('Worker Premium Calc'!J9*'Worker Premium Calc'!B9*'Worker Premium Calc'!O9*policy_term)/1000*$T$73)+SUM(('Worker Premium Calc'!J9*'Worker Premium Calc'!B9*'Worker Premium Calc'!P9*policy_term)/1000*$U$73))</f>
        <v>0</v>
      </c>
      <c r="U80" s="85">
        <f t="shared" si="38"/>
        <v>0</v>
      </c>
      <c r="V80" s="85">
        <f t="shared" si="29"/>
        <v>0</v>
      </c>
      <c r="W80" s="46">
        <f t="shared" si="30"/>
        <v>0</v>
      </c>
      <c r="X80" s="85">
        <f t="shared" si="31"/>
        <v>0</v>
      </c>
      <c r="Y80" s="85">
        <f t="shared" si="39"/>
        <v>0</v>
      </c>
    </row>
    <row r="81" spans="3:25" x14ac:dyDescent="0.3">
      <c r="C81" s="85">
        <f>SUM((('Worker Premium Calc'!I10*'Worker Premium Calc'!B10*'Worker Premium Calc'!K10*policy_term)/1000*$C$73)+SUM(('Worker Premium Calc'!I10*'Worker Premium Calc'!B10*'Worker Premium Calc'!L10*policy_term)/1000*$D$73)+SUM(('Worker Premium Calc'!I10*'Worker Premium Calc'!B10*'Worker Premium Calc'!M10*policy_term)/1000*$E$73))</f>
        <v>0</v>
      </c>
      <c r="D81" s="46">
        <f>SUM((('Worker Premium Calc'!J10*'Worker Premium Calc'!B10*'Worker Premium Calc'!N10*policy_term)/1000*$C$73)+SUM(('Worker Premium Calc'!J10*'Worker Premium Calc'!B10*'Worker Premium Calc'!O10*policy_term)/1000*$D$73)+SUM(('Worker Premium Calc'!J10*'Worker Premium Calc'!B10*'Worker Premium Calc'!P10*policy_term)/1000*$E$73))</f>
        <v>0</v>
      </c>
      <c r="E81" s="85">
        <f t="shared" si="32"/>
        <v>0</v>
      </c>
      <c r="F81" s="46">
        <f t="shared" si="25"/>
        <v>0</v>
      </c>
      <c r="G81" s="46">
        <f t="shared" si="26"/>
        <v>0</v>
      </c>
      <c r="H81" s="85">
        <f t="shared" si="27"/>
        <v>0</v>
      </c>
      <c r="I81" s="85">
        <f t="shared" si="33"/>
        <v>0</v>
      </c>
      <c r="K81" s="85">
        <f>SUM((('Worker Premium Calc'!I10*'Worker Premium Calc'!B10*'Worker Premium Calc'!K10*policy_term)/1000*$K$73)+SUM(('Worker Premium Calc'!I10*'Worker Premium Calc'!B10*'Worker Premium Calc'!L10*policy_term)/1000*$L$73)+SUM(('Worker Premium Calc'!I10*'Worker Premium Calc'!B10*'Worker Premium Calc'!M10*policy_term)/1000*$M$73))</f>
        <v>0</v>
      </c>
      <c r="L81" s="46">
        <f>SUM((('Worker Premium Calc'!J10*'Worker Premium Calc'!B10*'Worker Premium Calc'!N10*policy_term)/1000*$K$73)+SUM(('Worker Premium Calc'!J10*'Worker Premium Calc'!B10*'Worker Premium Calc'!O10*policy_term)/1000*$L$73)+SUM(('Worker Premium Calc'!J10*'Worker Premium Calc'!B10*'Worker Premium Calc'!P10*policy_term)/1000*$M$73))</f>
        <v>0</v>
      </c>
      <c r="M81" s="85">
        <f t="shared" si="34"/>
        <v>0</v>
      </c>
      <c r="N81" s="46">
        <f t="shared" si="28"/>
        <v>0</v>
      </c>
      <c r="O81" s="46">
        <f t="shared" si="35"/>
        <v>0</v>
      </c>
      <c r="P81" s="85">
        <f t="shared" si="36"/>
        <v>0</v>
      </c>
      <c r="Q81" s="85">
        <f t="shared" si="37"/>
        <v>0</v>
      </c>
      <c r="S81" s="85">
        <f>SUM((('Worker Premium Calc'!I10*'Worker Premium Calc'!B10*'Worker Premium Calc'!K10*policy_term)/1000*$S$73)+SUM(('Worker Premium Calc'!I10*'Worker Premium Calc'!B10*'Worker Premium Calc'!L10*policy_term)/1000*$T$73)+SUM(('Worker Premium Calc'!I10*'Worker Premium Calc'!B10*'Worker Premium Calc'!M10*policy_term)/1000*$U$73))</f>
        <v>0</v>
      </c>
      <c r="T81" s="46">
        <f>SUM((('Worker Premium Calc'!J10*'Worker Premium Calc'!B10*'Worker Premium Calc'!N10*policy_term)/1000*$S$73)+SUM(('Worker Premium Calc'!J10*'Worker Premium Calc'!B10*'Worker Premium Calc'!O10*policy_term)/1000*$T$73)+SUM(('Worker Premium Calc'!J10*'Worker Premium Calc'!B10*'Worker Premium Calc'!P10*policy_term)/1000*$U$73))</f>
        <v>0</v>
      </c>
      <c r="U81" s="85">
        <f t="shared" si="38"/>
        <v>0</v>
      </c>
      <c r="V81" s="85">
        <f t="shared" si="29"/>
        <v>0</v>
      </c>
      <c r="W81" s="46">
        <f t="shared" si="30"/>
        <v>0</v>
      </c>
      <c r="X81" s="85">
        <f t="shared" si="31"/>
        <v>0</v>
      </c>
      <c r="Y81" s="85">
        <f t="shared" si="39"/>
        <v>0</v>
      </c>
    </row>
    <row r="82" spans="3:25" x14ac:dyDescent="0.3">
      <c r="C82" s="85">
        <f>SUM((('Worker Premium Calc'!I11*'Worker Premium Calc'!B11*'Worker Premium Calc'!K11*policy_term)/1000*$C$73)+SUM(('Worker Premium Calc'!I11*'Worker Premium Calc'!B11*'Worker Premium Calc'!L11*policy_term)/1000*$D$73)+SUM(('Worker Premium Calc'!I11*'Worker Premium Calc'!B11*'Worker Premium Calc'!M11*policy_term)/1000*$E$73))</f>
        <v>0</v>
      </c>
      <c r="D82" s="46">
        <f>SUM((('Worker Premium Calc'!J11*'Worker Premium Calc'!B11*'Worker Premium Calc'!N11*policy_term)/1000*$C$73)+SUM(('Worker Premium Calc'!J11*'Worker Premium Calc'!B11*'Worker Premium Calc'!O11*policy_term)/1000*$D$73)+SUM(('Worker Premium Calc'!J11*'Worker Premium Calc'!B11*'Worker Premium Calc'!P11*policy_term)/1000*$E$73))</f>
        <v>0</v>
      </c>
      <c r="E82" s="85">
        <f t="shared" si="32"/>
        <v>0</v>
      </c>
      <c r="F82" s="46">
        <f t="shared" si="25"/>
        <v>0</v>
      </c>
      <c r="G82" s="46">
        <f t="shared" si="26"/>
        <v>0</v>
      </c>
      <c r="H82" s="85">
        <f t="shared" si="27"/>
        <v>0</v>
      </c>
      <c r="I82" s="85">
        <f t="shared" si="33"/>
        <v>0</v>
      </c>
      <c r="K82" s="85">
        <f>SUM((('Worker Premium Calc'!I11*'Worker Premium Calc'!B11*'Worker Premium Calc'!K11*policy_term)/1000*$K$73)+SUM(('Worker Premium Calc'!I11*'Worker Premium Calc'!B11*'Worker Premium Calc'!L11*policy_term)/1000*$L$73)+SUM(('Worker Premium Calc'!I11*'Worker Premium Calc'!B11*'Worker Premium Calc'!M11*policy_term)/1000*$M$73))</f>
        <v>0</v>
      </c>
      <c r="L82" s="46">
        <f>SUM((('Worker Premium Calc'!J11*'Worker Premium Calc'!B11*'Worker Premium Calc'!N11*policy_term)/1000*$K$73)+SUM(('Worker Premium Calc'!J11*'Worker Premium Calc'!B11*'Worker Premium Calc'!O11*policy_term)/1000*$L$73)+SUM(('Worker Premium Calc'!J11*'Worker Premium Calc'!B11*'Worker Premium Calc'!P11*policy_term)/1000*$M$73))</f>
        <v>0</v>
      </c>
      <c r="M82" s="85">
        <f t="shared" si="34"/>
        <v>0</v>
      </c>
      <c r="N82" s="46">
        <f t="shared" si="28"/>
        <v>0</v>
      </c>
      <c r="O82" s="46">
        <f t="shared" si="35"/>
        <v>0</v>
      </c>
      <c r="P82" s="85">
        <f t="shared" si="36"/>
        <v>0</v>
      </c>
      <c r="Q82" s="85">
        <f t="shared" si="37"/>
        <v>0</v>
      </c>
      <c r="S82" s="85">
        <f>SUM((('Worker Premium Calc'!I11*'Worker Premium Calc'!B11*'Worker Premium Calc'!K11*policy_term)/1000*$S$73)+SUM(('Worker Premium Calc'!I11*'Worker Premium Calc'!B11*'Worker Premium Calc'!L11*policy_term)/1000*$T$73)+SUM(('Worker Premium Calc'!I11*'Worker Premium Calc'!B11*'Worker Premium Calc'!M11*policy_term)/1000*$U$73))</f>
        <v>0</v>
      </c>
      <c r="T82" s="46">
        <f>SUM((('Worker Premium Calc'!J11*'Worker Premium Calc'!B11*'Worker Premium Calc'!N11*policy_term)/1000*$S$73)+SUM(('Worker Premium Calc'!J11*'Worker Premium Calc'!B11*'Worker Premium Calc'!O11*policy_term)/1000*$T$73)+SUM(('Worker Premium Calc'!J11*'Worker Premium Calc'!B11*'Worker Premium Calc'!P11*policy_term)/1000*$U$73))</f>
        <v>0</v>
      </c>
      <c r="U82" s="85">
        <f t="shared" si="38"/>
        <v>0</v>
      </c>
      <c r="V82" s="85">
        <f t="shared" si="29"/>
        <v>0</v>
      </c>
      <c r="W82" s="46">
        <f t="shared" si="30"/>
        <v>0</v>
      </c>
      <c r="X82" s="85">
        <f t="shared" si="31"/>
        <v>0</v>
      </c>
      <c r="Y82" s="85">
        <f t="shared" si="39"/>
        <v>0</v>
      </c>
    </row>
    <row r="83" spans="3:25" x14ac:dyDescent="0.3">
      <c r="C83" s="85">
        <f>SUM((('Worker Premium Calc'!I12*'Worker Premium Calc'!B12*'Worker Premium Calc'!K12*policy_term)/1000*$C$73)+SUM(('Worker Premium Calc'!I12*'Worker Premium Calc'!B12*'Worker Premium Calc'!L12*policy_term)/1000*$D$73)+SUM(('Worker Premium Calc'!I12*'Worker Premium Calc'!B12*'Worker Premium Calc'!M12*policy_term)/1000*$E$73))</f>
        <v>0</v>
      </c>
      <c r="D83" s="46">
        <f>SUM((('Worker Premium Calc'!J12*'Worker Premium Calc'!B12*'Worker Premium Calc'!N12*policy_term)/1000*$C$73)+SUM(('Worker Premium Calc'!J12*'Worker Premium Calc'!B12*'Worker Premium Calc'!O12*policy_term)/1000*$D$73)+SUM(('Worker Premium Calc'!J12*'Worker Premium Calc'!B12*'Worker Premium Calc'!P12*policy_term)/1000*$E$73))</f>
        <v>0</v>
      </c>
      <c r="E83" s="85">
        <f t="shared" si="32"/>
        <v>0</v>
      </c>
      <c r="F83" s="46">
        <f t="shared" si="25"/>
        <v>0</v>
      </c>
      <c r="G83" s="46">
        <f t="shared" si="26"/>
        <v>0</v>
      </c>
      <c r="H83" s="85">
        <f t="shared" si="27"/>
        <v>0</v>
      </c>
      <c r="I83" s="85">
        <f t="shared" si="33"/>
        <v>0</v>
      </c>
      <c r="K83" s="85">
        <f>SUM((('Worker Premium Calc'!I12*'Worker Premium Calc'!B12*'Worker Premium Calc'!K12*policy_term)/1000*$K$73)+SUM(('Worker Premium Calc'!I12*'Worker Premium Calc'!B12*'Worker Premium Calc'!L12*policy_term)/1000*$L$73)+SUM(('Worker Premium Calc'!I12*'Worker Premium Calc'!B12*'Worker Premium Calc'!M12*policy_term)/1000*$M$73))</f>
        <v>0</v>
      </c>
      <c r="L83" s="46">
        <f>SUM((('Worker Premium Calc'!J12*'Worker Premium Calc'!B12*'Worker Premium Calc'!N12*policy_term)/1000*$K$73)+SUM(('Worker Premium Calc'!J12*'Worker Premium Calc'!B12*'Worker Premium Calc'!O12*policy_term)/1000*$L$73)+SUM(('Worker Premium Calc'!J12*'Worker Premium Calc'!B12*'Worker Premium Calc'!P12*policy_term)/1000*$M$73))</f>
        <v>0</v>
      </c>
      <c r="M83" s="85">
        <f t="shared" si="34"/>
        <v>0</v>
      </c>
      <c r="N83" s="46">
        <f t="shared" si="28"/>
        <v>0</v>
      </c>
      <c r="O83" s="46">
        <f t="shared" si="35"/>
        <v>0</v>
      </c>
      <c r="P83" s="85">
        <f t="shared" si="36"/>
        <v>0</v>
      </c>
      <c r="Q83" s="85">
        <f t="shared" si="37"/>
        <v>0</v>
      </c>
      <c r="S83" s="85">
        <f>SUM((('Worker Premium Calc'!I12*'Worker Premium Calc'!B12*'Worker Premium Calc'!K12*policy_term)/1000*$S$73)+SUM(('Worker Premium Calc'!I12*'Worker Premium Calc'!B12*'Worker Premium Calc'!L12*policy_term)/1000*$T$73)+SUM(('Worker Premium Calc'!I12*'Worker Premium Calc'!B12*'Worker Premium Calc'!M12*policy_term)/1000*$U$73))</f>
        <v>0</v>
      </c>
      <c r="T83" s="46">
        <f>SUM((('Worker Premium Calc'!J12*'Worker Premium Calc'!B12*'Worker Premium Calc'!N12*policy_term)/1000*$S$73)+SUM(('Worker Premium Calc'!J12*'Worker Premium Calc'!B12*'Worker Premium Calc'!O12*policy_term)/1000*$T$73)+SUM(('Worker Premium Calc'!J12*'Worker Premium Calc'!B12*'Worker Premium Calc'!P12*policy_term)/1000*$U$73))</f>
        <v>0</v>
      </c>
      <c r="U83" s="85">
        <f t="shared" si="38"/>
        <v>0</v>
      </c>
      <c r="V83" s="85">
        <f t="shared" si="29"/>
        <v>0</v>
      </c>
      <c r="W83" s="46">
        <f t="shared" si="30"/>
        <v>0</v>
      </c>
      <c r="X83" s="85">
        <f t="shared" si="31"/>
        <v>0</v>
      </c>
      <c r="Y83" s="85">
        <f t="shared" si="39"/>
        <v>0</v>
      </c>
    </row>
    <row r="84" spans="3:25" x14ac:dyDescent="0.3">
      <c r="C84" s="85">
        <f>SUM((('Worker Premium Calc'!I13*'Worker Premium Calc'!B13*'Worker Premium Calc'!K13*policy_term)/1000*$C$73)+SUM(('Worker Premium Calc'!I13*'Worker Premium Calc'!B13*'Worker Premium Calc'!L13*policy_term)/1000*$D$73)+SUM(('Worker Premium Calc'!I13*'Worker Premium Calc'!B13*'Worker Premium Calc'!M13*policy_term)/1000*$E$73))</f>
        <v>0</v>
      </c>
      <c r="D84" s="46">
        <f>SUM((('Worker Premium Calc'!J13*'Worker Premium Calc'!B13*'Worker Premium Calc'!N13*policy_term)/1000*$C$73)+SUM(('Worker Premium Calc'!J13*'Worker Premium Calc'!B13*'Worker Premium Calc'!O13*policy_term)/1000*$D$73)+SUM(('Worker Premium Calc'!J13*'Worker Premium Calc'!B13*'Worker Premium Calc'!P13*policy_term)/1000*$E$73))</f>
        <v>0</v>
      </c>
      <c r="E84" s="85">
        <f t="shared" si="32"/>
        <v>0</v>
      </c>
      <c r="F84" s="46">
        <f t="shared" si="25"/>
        <v>0</v>
      </c>
      <c r="G84" s="46">
        <f t="shared" si="26"/>
        <v>0</v>
      </c>
      <c r="H84" s="85">
        <f t="shared" si="27"/>
        <v>0</v>
      </c>
      <c r="I84" s="85">
        <f t="shared" si="33"/>
        <v>0</v>
      </c>
      <c r="K84" s="85">
        <f>SUM((('Worker Premium Calc'!I13*'Worker Premium Calc'!B13*'Worker Premium Calc'!K13*policy_term)/1000*$K$73)+SUM(('Worker Premium Calc'!I13*'Worker Premium Calc'!B13*'Worker Premium Calc'!L13*policy_term)/1000*$L$73)+SUM(('Worker Premium Calc'!I13*'Worker Premium Calc'!B13*'Worker Premium Calc'!M13*policy_term)/1000*$M$73))</f>
        <v>0</v>
      </c>
      <c r="L84" s="46">
        <f>SUM((('Worker Premium Calc'!J13*'Worker Premium Calc'!B13*'Worker Premium Calc'!N13*policy_term)/1000*$K$73)+SUM(('Worker Premium Calc'!J13*'Worker Premium Calc'!B13*'Worker Premium Calc'!O13*policy_term)/1000*$L$73)+SUM(('Worker Premium Calc'!J13*'Worker Premium Calc'!B13*'Worker Premium Calc'!P13*policy_term)/1000*$M$73))</f>
        <v>0</v>
      </c>
      <c r="M84" s="85">
        <f t="shared" si="34"/>
        <v>0</v>
      </c>
      <c r="N84" s="46">
        <f t="shared" si="28"/>
        <v>0</v>
      </c>
      <c r="O84" s="46">
        <f t="shared" si="35"/>
        <v>0</v>
      </c>
      <c r="P84" s="85">
        <f t="shared" si="36"/>
        <v>0</v>
      </c>
      <c r="Q84" s="85">
        <f t="shared" si="37"/>
        <v>0</v>
      </c>
      <c r="S84" s="85">
        <f>SUM((('Worker Premium Calc'!I13*'Worker Premium Calc'!B13*'Worker Premium Calc'!K13*policy_term)/1000*$S$73)+SUM(('Worker Premium Calc'!I13*'Worker Premium Calc'!B13*'Worker Premium Calc'!L13*policy_term)/1000*$T$73)+SUM(('Worker Premium Calc'!I13*'Worker Premium Calc'!B13*'Worker Premium Calc'!M13*policy_term)/1000*$U$73))</f>
        <v>0</v>
      </c>
      <c r="T84" s="46">
        <f>SUM((('Worker Premium Calc'!J13*'Worker Premium Calc'!B13*'Worker Premium Calc'!N13*policy_term)/1000*$S$73)+SUM(('Worker Premium Calc'!J13*'Worker Premium Calc'!B13*'Worker Premium Calc'!O13*policy_term)/1000*$T$73)+SUM(('Worker Premium Calc'!J13*'Worker Premium Calc'!B13*'Worker Premium Calc'!P13*policy_term)/1000*$U$73))</f>
        <v>0</v>
      </c>
      <c r="U84" s="85">
        <f t="shared" si="38"/>
        <v>0</v>
      </c>
      <c r="V84" s="85">
        <f t="shared" si="29"/>
        <v>0</v>
      </c>
      <c r="W84" s="46">
        <f t="shared" si="30"/>
        <v>0</v>
      </c>
      <c r="X84" s="85">
        <f t="shared" si="31"/>
        <v>0</v>
      </c>
      <c r="Y84" s="85">
        <f t="shared" si="39"/>
        <v>0</v>
      </c>
    </row>
    <row r="85" spans="3:25" x14ac:dyDescent="0.3">
      <c r="C85" s="85">
        <f>SUM((('Worker Premium Calc'!I14*'Worker Premium Calc'!B14*'Worker Premium Calc'!K14*policy_term)/1000*$C$73)+SUM(('Worker Premium Calc'!I14*'Worker Premium Calc'!B14*'Worker Premium Calc'!L14*policy_term)/1000*$D$73)+SUM(('Worker Premium Calc'!I14*'Worker Premium Calc'!B14*'Worker Premium Calc'!M14*policy_term)/1000*$E$73))</f>
        <v>0</v>
      </c>
      <c r="D85" s="46">
        <f>SUM((('Worker Premium Calc'!J14*'Worker Premium Calc'!B14*'Worker Premium Calc'!N14*policy_term)/1000*$C$73)+SUM(('Worker Premium Calc'!J14*'Worker Premium Calc'!B14*'Worker Premium Calc'!O14*policy_term)/1000*$D$73)+SUM(('Worker Premium Calc'!J14*'Worker Premium Calc'!B14*'Worker Premium Calc'!P14*policy_term)/1000*$E$73))</f>
        <v>0</v>
      </c>
      <c r="E85" s="85">
        <f t="shared" si="32"/>
        <v>0</v>
      </c>
      <c r="F85" s="46">
        <f t="shared" si="25"/>
        <v>0</v>
      </c>
      <c r="G85" s="46">
        <f t="shared" si="26"/>
        <v>0</v>
      </c>
      <c r="H85" s="85">
        <f t="shared" si="27"/>
        <v>0</v>
      </c>
      <c r="I85" s="85">
        <f t="shared" si="33"/>
        <v>0</v>
      </c>
      <c r="K85" s="85">
        <f>SUM((('Worker Premium Calc'!I14*'Worker Premium Calc'!B14*'Worker Premium Calc'!K14*policy_term)/1000*$K$73)+SUM(('Worker Premium Calc'!I14*'Worker Premium Calc'!B14*'Worker Premium Calc'!L14*policy_term)/1000*$L$73)+SUM(('Worker Premium Calc'!I14*'Worker Premium Calc'!B14*'Worker Premium Calc'!M14*policy_term)/1000*$M$73))</f>
        <v>0</v>
      </c>
      <c r="L85" s="46">
        <f>SUM((('Worker Premium Calc'!J14*'Worker Premium Calc'!B14*'Worker Premium Calc'!N14*policy_term)/1000*$K$73)+SUM(('Worker Premium Calc'!J14*'Worker Premium Calc'!B14*'Worker Premium Calc'!O14*policy_term)/1000*$L$73)+SUM(('Worker Premium Calc'!J14*'Worker Premium Calc'!B14*'Worker Premium Calc'!P14*policy_term)/1000*$M$73))</f>
        <v>0</v>
      </c>
      <c r="M85" s="85">
        <f t="shared" si="34"/>
        <v>0</v>
      </c>
      <c r="N85" s="46">
        <f t="shared" si="28"/>
        <v>0</v>
      </c>
      <c r="O85" s="46">
        <f t="shared" si="35"/>
        <v>0</v>
      </c>
      <c r="P85" s="85">
        <f t="shared" si="36"/>
        <v>0</v>
      </c>
      <c r="Q85" s="85">
        <f t="shared" si="37"/>
        <v>0</v>
      </c>
      <c r="S85" s="85">
        <f>SUM((('Worker Premium Calc'!I14*'Worker Premium Calc'!B14*'Worker Premium Calc'!K14*policy_term)/1000*$S$73)+SUM(('Worker Premium Calc'!I14*'Worker Premium Calc'!B14*'Worker Premium Calc'!L14*policy_term)/1000*$T$73)+SUM(('Worker Premium Calc'!I14*'Worker Premium Calc'!B14*'Worker Premium Calc'!M14*policy_term)/1000*$U$73))</f>
        <v>0</v>
      </c>
      <c r="T85" s="46">
        <f>SUM((('Worker Premium Calc'!J14*'Worker Premium Calc'!B14*'Worker Premium Calc'!N14*policy_term)/1000*$S$73)+SUM(('Worker Premium Calc'!J14*'Worker Premium Calc'!B14*'Worker Premium Calc'!O14*policy_term)/1000*$T$73)+SUM(('Worker Premium Calc'!J14*'Worker Premium Calc'!B14*'Worker Premium Calc'!P14*policy_term)/1000*$U$73))</f>
        <v>0</v>
      </c>
      <c r="U85" s="85">
        <f t="shared" si="38"/>
        <v>0</v>
      </c>
      <c r="V85" s="85">
        <f t="shared" si="29"/>
        <v>0</v>
      </c>
      <c r="W85" s="46">
        <f t="shared" si="30"/>
        <v>0</v>
      </c>
      <c r="X85" s="85">
        <f t="shared" si="31"/>
        <v>0</v>
      </c>
      <c r="Y85" s="85">
        <f t="shared" si="39"/>
        <v>0</v>
      </c>
    </row>
    <row r="86" spans="3:25" x14ac:dyDescent="0.3">
      <c r="C86" s="85">
        <f>SUM((('Worker Premium Calc'!I15*'Worker Premium Calc'!B15*'Worker Premium Calc'!K15*policy_term)/1000*$C$73)+SUM(('Worker Premium Calc'!I15*'Worker Premium Calc'!B15*'Worker Premium Calc'!L15*policy_term)/1000*$D$73)+SUM(('Worker Premium Calc'!I15*'Worker Premium Calc'!B15*'Worker Premium Calc'!M15*policy_term)/1000*$E$73))</f>
        <v>0</v>
      </c>
      <c r="D86" s="46">
        <f>SUM((('Worker Premium Calc'!J15*'Worker Premium Calc'!B15*'Worker Premium Calc'!N15*policy_term)/1000*$C$73)+SUM(('Worker Premium Calc'!J15*'Worker Premium Calc'!B15*'Worker Premium Calc'!O15*policy_term)/1000*$D$73)+SUM(('Worker Premium Calc'!J15*'Worker Premium Calc'!B15*'Worker Premium Calc'!P15*policy_term)/1000*$E$73))</f>
        <v>0</v>
      </c>
      <c r="E86" s="85">
        <f t="shared" si="32"/>
        <v>0</v>
      </c>
      <c r="F86" s="46">
        <f t="shared" si="25"/>
        <v>0</v>
      </c>
      <c r="G86" s="46">
        <f t="shared" si="26"/>
        <v>0</v>
      </c>
      <c r="H86" s="85">
        <f t="shared" si="27"/>
        <v>0</v>
      </c>
      <c r="I86" s="85">
        <f t="shared" si="33"/>
        <v>0</v>
      </c>
      <c r="K86" s="85">
        <f>SUM((('Worker Premium Calc'!I15*'Worker Premium Calc'!B15*'Worker Premium Calc'!K15*policy_term)/1000*$K$73)+SUM(('Worker Premium Calc'!I15*'Worker Premium Calc'!B15*'Worker Premium Calc'!L15*policy_term)/1000*$L$73)+SUM(('Worker Premium Calc'!I15*'Worker Premium Calc'!B15*'Worker Premium Calc'!M15*policy_term)/1000*$M$73))</f>
        <v>0</v>
      </c>
      <c r="L86" s="46">
        <f>SUM((('Worker Premium Calc'!J15*'Worker Premium Calc'!B15*'Worker Premium Calc'!N15*policy_term)/1000*$K$73)+SUM(('Worker Premium Calc'!J15*'Worker Premium Calc'!B15*'Worker Premium Calc'!O15*policy_term)/1000*$L$73)+SUM(('Worker Premium Calc'!J15*'Worker Premium Calc'!B15*'Worker Premium Calc'!P15*policy_term)/1000*$M$73))</f>
        <v>0</v>
      </c>
      <c r="M86" s="85">
        <f t="shared" si="34"/>
        <v>0</v>
      </c>
      <c r="N86" s="46">
        <f t="shared" si="28"/>
        <v>0</v>
      </c>
      <c r="O86" s="46">
        <f t="shared" si="35"/>
        <v>0</v>
      </c>
      <c r="P86" s="85">
        <f t="shared" si="36"/>
        <v>0</v>
      </c>
      <c r="Q86" s="85">
        <f t="shared" si="37"/>
        <v>0</v>
      </c>
      <c r="S86" s="85">
        <f>SUM((('Worker Premium Calc'!I15*'Worker Premium Calc'!B15*'Worker Premium Calc'!K15*policy_term)/1000*$S$73)+SUM(('Worker Premium Calc'!I15*'Worker Premium Calc'!B15*'Worker Premium Calc'!L15*policy_term)/1000*$T$73)+SUM(('Worker Premium Calc'!I15*'Worker Premium Calc'!B15*'Worker Premium Calc'!M15*policy_term)/1000*$U$73))</f>
        <v>0</v>
      </c>
      <c r="T86" s="46">
        <f>SUM((('Worker Premium Calc'!J15*'Worker Premium Calc'!B15*'Worker Premium Calc'!N15*policy_term)/1000*$S$73)+SUM(('Worker Premium Calc'!J15*'Worker Premium Calc'!B15*'Worker Premium Calc'!O15*policy_term)/1000*$T$73)+SUM(('Worker Premium Calc'!J15*'Worker Premium Calc'!B15*'Worker Premium Calc'!P15*policy_term)/1000*$U$73))</f>
        <v>0</v>
      </c>
      <c r="U86" s="85">
        <f t="shared" si="38"/>
        <v>0</v>
      </c>
      <c r="V86" s="85">
        <f t="shared" si="29"/>
        <v>0</v>
      </c>
      <c r="W86" s="46">
        <f t="shared" si="30"/>
        <v>0</v>
      </c>
      <c r="X86" s="85">
        <f t="shared" si="31"/>
        <v>0</v>
      </c>
      <c r="Y86" s="85">
        <f t="shared" si="39"/>
        <v>0</v>
      </c>
    </row>
    <row r="87" spans="3:25" x14ac:dyDescent="0.3">
      <c r="C87" s="85">
        <f>SUM((('Worker Premium Calc'!I16*'Worker Premium Calc'!B16*'Worker Premium Calc'!K16*policy_term)/1000*$C$73)+SUM(('Worker Premium Calc'!I16*'Worker Premium Calc'!B16*'Worker Premium Calc'!L16*policy_term)/1000*$D$73)+SUM(('Worker Premium Calc'!I16*'Worker Premium Calc'!B16*'Worker Premium Calc'!M16*policy_term)/1000*$E$73))</f>
        <v>0</v>
      </c>
      <c r="D87" s="46">
        <f>SUM((('Worker Premium Calc'!J16*'Worker Premium Calc'!B16*'Worker Premium Calc'!N16*policy_term)/1000*$C$73)+SUM(('Worker Premium Calc'!J16*'Worker Premium Calc'!B16*'Worker Premium Calc'!O16*policy_term)/1000*$D$73)+SUM(('Worker Premium Calc'!J16*'Worker Premium Calc'!B16*'Worker Premium Calc'!P16*policy_term)/1000*$E$73))</f>
        <v>0</v>
      </c>
      <c r="E87" s="85">
        <f t="shared" si="32"/>
        <v>0</v>
      </c>
      <c r="F87" s="46">
        <f t="shared" si="25"/>
        <v>0</v>
      </c>
      <c r="G87" s="46">
        <f t="shared" si="26"/>
        <v>0</v>
      </c>
      <c r="H87" s="85">
        <f t="shared" si="27"/>
        <v>0</v>
      </c>
      <c r="I87" s="85">
        <f t="shared" si="33"/>
        <v>0</v>
      </c>
      <c r="K87" s="85">
        <f>SUM((('Worker Premium Calc'!I16*'Worker Premium Calc'!B16*'Worker Premium Calc'!K16*policy_term)/1000*$K$73)+SUM(('Worker Premium Calc'!I16*'Worker Premium Calc'!B16*'Worker Premium Calc'!L16*policy_term)/1000*$L$73)+SUM(('Worker Premium Calc'!I16*'Worker Premium Calc'!B16*'Worker Premium Calc'!M16*policy_term)/1000*$M$73))</f>
        <v>0</v>
      </c>
      <c r="L87" s="46">
        <f>SUM((('Worker Premium Calc'!J16*'Worker Premium Calc'!B16*'Worker Premium Calc'!N16*policy_term)/1000*$K$73)+SUM(('Worker Premium Calc'!J16*'Worker Premium Calc'!B16*'Worker Premium Calc'!O16*policy_term)/1000*$L$73)+SUM(('Worker Premium Calc'!J16*'Worker Premium Calc'!B16*'Worker Premium Calc'!P16*policy_term)/1000*$M$73))</f>
        <v>0</v>
      </c>
      <c r="M87" s="85">
        <f t="shared" si="34"/>
        <v>0</v>
      </c>
      <c r="N87" s="46">
        <f t="shared" si="28"/>
        <v>0</v>
      </c>
      <c r="O87" s="46">
        <f t="shared" si="35"/>
        <v>0</v>
      </c>
      <c r="P87" s="85">
        <f t="shared" si="36"/>
        <v>0</v>
      </c>
      <c r="Q87" s="85">
        <f t="shared" si="37"/>
        <v>0</v>
      </c>
      <c r="S87" s="85">
        <f>SUM((('Worker Premium Calc'!I16*'Worker Premium Calc'!B16*'Worker Premium Calc'!K16*policy_term)/1000*$S$73)+SUM(('Worker Premium Calc'!I16*'Worker Premium Calc'!B16*'Worker Premium Calc'!L16*policy_term)/1000*$T$73)+SUM(('Worker Premium Calc'!I16*'Worker Premium Calc'!B16*'Worker Premium Calc'!M16*policy_term)/1000*$U$73))</f>
        <v>0</v>
      </c>
      <c r="T87" s="46">
        <f>SUM((('Worker Premium Calc'!J16*'Worker Premium Calc'!B16*'Worker Premium Calc'!N16*policy_term)/1000*$S$73)+SUM(('Worker Premium Calc'!J16*'Worker Premium Calc'!B16*'Worker Premium Calc'!O16*policy_term)/1000*$T$73)+SUM(('Worker Premium Calc'!J16*'Worker Premium Calc'!B16*'Worker Premium Calc'!P16*policy_term)/1000*$U$73))</f>
        <v>0</v>
      </c>
      <c r="U87" s="85">
        <f t="shared" si="38"/>
        <v>0</v>
      </c>
      <c r="V87" s="85">
        <f t="shared" si="29"/>
        <v>0</v>
      </c>
      <c r="W87" s="46">
        <f t="shared" si="30"/>
        <v>0</v>
      </c>
      <c r="X87" s="85">
        <f t="shared" si="31"/>
        <v>0</v>
      </c>
      <c r="Y87" s="85">
        <f t="shared" si="39"/>
        <v>0</v>
      </c>
    </row>
    <row r="88" spans="3:25" x14ac:dyDescent="0.3">
      <c r="C88" s="85">
        <f>SUM((('Worker Premium Calc'!I17*'Worker Premium Calc'!B17*'Worker Premium Calc'!K17*policy_term)/1000*$C$73)+SUM(('Worker Premium Calc'!I17*'Worker Premium Calc'!B17*'Worker Premium Calc'!L17*policy_term)/1000*$D$73)+SUM(('Worker Premium Calc'!I17*'Worker Premium Calc'!B17*'Worker Premium Calc'!M17*policy_term)/1000*$E$73))</f>
        <v>0</v>
      </c>
      <c r="D88" s="46">
        <f>SUM((('Worker Premium Calc'!J17*'Worker Premium Calc'!B17*'Worker Premium Calc'!N17*policy_term)/1000*$C$73)+SUM(('Worker Premium Calc'!J17*'Worker Premium Calc'!B17*'Worker Premium Calc'!O17*policy_term)/1000*$D$73)+SUM(('Worker Premium Calc'!J17*'Worker Premium Calc'!B17*'Worker Premium Calc'!P17*policy_term)/1000*$E$73))</f>
        <v>0</v>
      </c>
      <c r="E88" s="85">
        <f t="shared" si="32"/>
        <v>0</v>
      </c>
      <c r="F88" s="46">
        <f t="shared" si="25"/>
        <v>0</v>
      </c>
      <c r="G88" s="46">
        <f t="shared" si="26"/>
        <v>0</v>
      </c>
      <c r="H88" s="85">
        <f t="shared" si="27"/>
        <v>0</v>
      </c>
      <c r="I88" s="85">
        <f t="shared" si="33"/>
        <v>0</v>
      </c>
      <c r="K88" s="85">
        <f>SUM((('Worker Premium Calc'!I17*'Worker Premium Calc'!B17*'Worker Premium Calc'!K17*policy_term)/1000*$K$73)+SUM(('Worker Premium Calc'!I17*'Worker Premium Calc'!B17*'Worker Premium Calc'!L17*policy_term)/1000*$L$73)+SUM(('Worker Premium Calc'!I17*'Worker Premium Calc'!B17*'Worker Premium Calc'!M17*policy_term)/1000*$M$73))</f>
        <v>0</v>
      </c>
      <c r="L88" s="46">
        <f>SUM((('Worker Premium Calc'!J17*'Worker Premium Calc'!B17*'Worker Premium Calc'!N17*policy_term)/1000*$K$73)+SUM(('Worker Premium Calc'!J17*'Worker Premium Calc'!B17*'Worker Premium Calc'!O17*policy_term)/1000*$L$73)+SUM(('Worker Premium Calc'!J17*'Worker Premium Calc'!B17*'Worker Premium Calc'!P17*policy_term)/1000*$M$73))</f>
        <v>0</v>
      </c>
      <c r="M88" s="85">
        <f t="shared" si="34"/>
        <v>0</v>
      </c>
      <c r="N88" s="46">
        <f t="shared" si="28"/>
        <v>0</v>
      </c>
      <c r="O88" s="46">
        <f t="shared" si="35"/>
        <v>0</v>
      </c>
      <c r="P88" s="85">
        <f t="shared" si="36"/>
        <v>0</v>
      </c>
      <c r="Q88" s="85">
        <f t="shared" si="37"/>
        <v>0</v>
      </c>
      <c r="S88" s="85">
        <f>SUM((('Worker Premium Calc'!I17*'Worker Premium Calc'!B17*'Worker Premium Calc'!K17*policy_term)/1000*$S$73)+SUM(('Worker Premium Calc'!I17*'Worker Premium Calc'!B17*'Worker Premium Calc'!L17*policy_term)/1000*$T$73)+SUM(('Worker Premium Calc'!I17*'Worker Premium Calc'!B17*'Worker Premium Calc'!M17*policy_term)/1000*$U$73))</f>
        <v>0</v>
      </c>
      <c r="T88" s="46">
        <f>SUM((('Worker Premium Calc'!J17*'Worker Premium Calc'!B17*'Worker Premium Calc'!N17*policy_term)/1000*$S$73)+SUM(('Worker Premium Calc'!J17*'Worker Premium Calc'!B17*'Worker Premium Calc'!O17*policy_term)/1000*$T$73)+SUM(('Worker Premium Calc'!J17*'Worker Premium Calc'!B17*'Worker Premium Calc'!P17*policy_term)/1000*$U$73))</f>
        <v>0</v>
      </c>
      <c r="U88" s="85">
        <f t="shared" si="38"/>
        <v>0</v>
      </c>
      <c r="V88" s="85">
        <f t="shared" si="29"/>
        <v>0</v>
      </c>
      <c r="W88" s="46">
        <f t="shared" si="30"/>
        <v>0</v>
      </c>
      <c r="X88" s="85">
        <f t="shared" si="31"/>
        <v>0</v>
      </c>
      <c r="Y88" s="85">
        <f t="shared" si="39"/>
        <v>0</v>
      </c>
    </row>
    <row r="89" spans="3:25" x14ac:dyDescent="0.3">
      <c r="C89" s="85">
        <f>SUM((('Worker Premium Calc'!I18*'Worker Premium Calc'!B18*'Worker Premium Calc'!K18*policy_term)/1000*$C$73)+SUM(('Worker Premium Calc'!I18*'Worker Premium Calc'!B18*'Worker Premium Calc'!L18*policy_term)/1000*$D$73)+SUM(('Worker Premium Calc'!I18*'Worker Premium Calc'!B18*'Worker Premium Calc'!M18*policy_term)/1000*$E$73))</f>
        <v>0</v>
      </c>
      <c r="D89" s="46">
        <f>SUM((('Worker Premium Calc'!J18*'Worker Premium Calc'!B18*'Worker Premium Calc'!N18*policy_term)/1000*$C$73)+SUM(('Worker Premium Calc'!J18*'Worker Premium Calc'!B18*'Worker Premium Calc'!O18*policy_term)/1000*$D$73)+SUM(('Worker Premium Calc'!J18*'Worker Premium Calc'!B18*'Worker Premium Calc'!P18*policy_term)/1000*$E$73))</f>
        <v>0</v>
      </c>
      <c r="E89" s="85">
        <f t="shared" si="32"/>
        <v>0</v>
      </c>
      <c r="F89" s="46">
        <f t="shared" si="25"/>
        <v>0</v>
      </c>
      <c r="G89" s="46">
        <f t="shared" si="26"/>
        <v>0</v>
      </c>
      <c r="H89" s="85">
        <f t="shared" si="27"/>
        <v>0</v>
      </c>
      <c r="I89" s="85">
        <f t="shared" si="33"/>
        <v>0</v>
      </c>
      <c r="K89" s="85">
        <f>SUM((('Worker Premium Calc'!I18*'Worker Premium Calc'!B18*'Worker Premium Calc'!K18*policy_term)/1000*$K$73)+SUM(('Worker Premium Calc'!I18*'Worker Premium Calc'!B18*'Worker Premium Calc'!L18*policy_term)/1000*$L$73)+SUM(('Worker Premium Calc'!I18*'Worker Premium Calc'!B18*'Worker Premium Calc'!M18*policy_term)/1000*$M$73))</f>
        <v>0</v>
      </c>
      <c r="L89" s="46">
        <f>SUM((('Worker Premium Calc'!J18*'Worker Premium Calc'!B18*'Worker Premium Calc'!N18*policy_term)/1000*$K$73)+SUM(('Worker Premium Calc'!J18*'Worker Premium Calc'!B18*'Worker Premium Calc'!O18*policy_term)/1000*$L$73)+SUM(('Worker Premium Calc'!J18*'Worker Premium Calc'!B18*'Worker Premium Calc'!P18*policy_term)/1000*$M$73))</f>
        <v>0</v>
      </c>
      <c r="M89" s="85">
        <f t="shared" si="34"/>
        <v>0</v>
      </c>
      <c r="N89" s="46">
        <f t="shared" si="28"/>
        <v>0</v>
      </c>
      <c r="O89" s="46">
        <f t="shared" si="35"/>
        <v>0</v>
      </c>
      <c r="P89" s="85">
        <f t="shared" si="36"/>
        <v>0</v>
      </c>
      <c r="Q89" s="85">
        <f t="shared" si="37"/>
        <v>0</v>
      </c>
      <c r="S89" s="85">
        <f>SUM((('Worker Premium Calc'!I18*'Worker Premium Calc'!B18*'Worker Premium Calc'!K18*policy_term)/1000*$S$73)+SUM(('Worker Premium Calc'!I18*'Worker Premium Calc'!B18*'Worker Premium Calc'!L18*policy_term)/1000*$T$73)+SUM(('Worker Premium Calc'!I18*'Worker Premium Calc'!B18*'Worker Premium Calc'!M18*policy_term)/1000*$U$73))</f>
        <v>0</v>
      </c>
      <c r="T89" s="46">
        <f>SUM((('Worker Premium Calc'!J18*'Worker Premium Calc'!B18*'Worker Premium Calc'!N18*policy_term)/1000*$S$73)+SUM(('Worker Premium Calc'!J18*'Worker Premium Calc'!B18*'Worker Premium Calc'!O18*policy_term)/1000*$T$73)+SUM(('Worker Premium Calc'!J18*'Worker Premium Calc'!B18*'Worker Premium Calc'!P18*policy_term)/1000*$U$73))</f>
        <v>0</v>
      </c>
      <c r="U89" s="85">
        <f t="shared" si="38"/>
        <v>0</v>
      </c>
      <c r="V89" s="85">
        <f t="shared" si="29"/>
        <v>0</v>
      </c>
      <c r="W89" s="46">
        <f t="shared" si="30"/>
        <v>0</v>
      </c>
      <c r="X89" s="85">
        <f t="shared" si="31"/>
        <v>0</v>
      </c>
      <c r="Y89" s="85">
        <f t="shared" si="39"/>
        <v>0</v>
      </c>
    </row>
    <row r="90" spans="3:25" x14ac:dyDescent="0.3">
      <c r="C90" s="85">
        <f>SUM((('Worker Premium Calc'!I19*'Worker Premium Calc'!B19*'Worker Premium Calc'!K19*policy_term)/1000*$C$73)+SUM(('Worker Premium Calc'!I19*'Worker Premium Calc'!B19*'Worker Premium Calc'!L19*policy_term)/1000*$D$73)+SUM(('Worker Premium Calc'!I19*'Worker Premium Calc'!B19*'Worker Premium Calc'!M19*policy_term)/1000*$E$73))</f>
        <v>0</v>
      </c>
      <c r="D90" s="46">
        <f>SUM((('Worker Premium Calc'!J19*'Worker Premium Calc'!B19*'Worker Premium Calc'!N19*policy_term)/1000*$C$73)+SUM(('Worker Premium Calc'!J19*'Worker Premium Calc'!B19*'Worker Premium Calc'!O19*policy_term)/1000*$D$73)+SUM(('Worker Premium Calc'!J19*'Worker Premium Calc'!B19*'Worker Premium Calc'!P19*policy_term)/1000*$E$73))</f>
        <v>0</v>
      </c>
      <c r="E90" s="85">
        <f t="shared" si="32"/>
        <v>0</v>
      </c>
      <c r="F90" s="46">
        <f t="shared" si="25"/>
        <v>0</v>
      </c>
      <c r="G90" s="46">
        <f t="shared" si="26"/>
        <v>0</v>
      </c>
      <c r="H90" s="85">
        <f t="shared" si="27"/>
        <v>0</v>
      </c>
      <c r="I90" s="85">
        <f t="shared" si="33"/>
        <v>0</v>
      </c>
      <c r="K90" s="85">
        <f>SUM((('Worker Premium Calc'!I19*'Worker Premium Calc'!B19*'Worker Premium Calc'!K19*policy_term)/1000*$K$73)+SUM(('Worker Premium Calc'!I19*'Worker Premium Calc'!B19*'Worker Premium Calc'!L19*policy_term)/1000*$L$73)+SUM(('Worker Premium Calc'!I19*'Worker Premium Calc'!B19*'Worker Premium Calc'!M19*policy_term)/1000*$M$73))</f>
        <v>0</v>
      </c>
      <c r="L90" s="46">
        <f>SUM((('Worker Premium Calc'!J19*'Worker Premium Calc'!B19*'Worker Premium Calc'!N19*policy_term)/1000*$K$73)+SUM(('Worker Premium Calc'!J19*'Worker Premium Calc'!B19*'Worker Premium Calc'!O19*policy_term)/1000*$L$73)+SUM(('Worker Premium Calc'!J19*'Worker Premium Calc'!B19*'Worker Premium Calc'!P19*policy_term)/1000*$M$73))</f>
        <v>0</v>
      </c>
      <c r="M90" s="85">
        <f t="shared" si="34"/>
        <v>0</v>
      </c>
      <c r="N90" s="46">
        <f t="shared" si="28"/>
        <v>0</v>
      </c>
      <c r="O90" s="46">
        <f t="shared" si="35"/>
        <v>0</v>
      </c>
      <c r="P90" s="85">
        <f t="shared" si="36"/>
        <v>0</v>
      </c>
      <c r="Q90" s="85">
        <f t="shared" si="37"/>
        <v>0</v>
      </c>
      <c r="S90" s="85">
        <f>SUM((('Worker Premium Calc'!I19*'Worker Premium Calc'!B19*'Worker Premium Calc'!K19*policy_term)/1000*$S$73)+SUM(('Worker Premium Calc'!I19*'Worker Premium Calc'!B19*'Worker Premium Calc'!L19*policy_term)/1000*$T$73)+SUM(('Worker Premium Calc'!I19*'Worker Premium Calc'!B19*'Worker Premium Calc'!M19*policy_term)/1000*$U$73))</f>
        <v>0</v>
      </c>
      <c r="T90" s="46">
        <f>SUM((('Worker Premium Calc'!J19*'Worker Premium Calc'!B19*'Worker Premium Calc'!N19*policy_term)/1000*$S$73)+SUM(('Worker Premium Calc'!J19*'Worker Premium Calc'!B19*'Worker Premium Calc'!O19*policy_term)/1000*$T$73)+SUM(('Worker Premium Calc'!J19*'Worker Premium Calc'!B19*'Worker Premium Calc'!P19*policy_term)/1000*$U$73))</f>
        <v>0</v>
      </c>
      <c r="U90" s="85">
        <f t="shared" si="38"/>
        <v>0</v>
      </c>
      <c r="V90" s="85">
        <f t="shared" si="29"/>
        <v>0</v>
      </c>
      <c r="W90" s="46">
        <f t="shared" si="30"/>
        <v>0</v>
      </c>
      <c r="X90" s="85">
        <f t="shared" si="31"/>
        <v>0</v>
      </c>
      <c r="Y90" s="85">
        <f t="shared" si="39"/>
        <v>0</v>
      </c>
    </row>
    <row r="91" spans="3:25" x14ac:dyDescent="0.3">
      <c r="C91" s="85">
        <f>SUM((('Worker Premium Calc'!I20*'Worker Premium Calc'!B20*'Worker Premium Calc'!K20*policy_term)/1000*$C$73)+SUM(('Worker Premium Calc'!I20*'Worker Premium Calc'!B20*'Worker Premium Calc'!L20*policy_term)/1000*$D$73)+SUM(('Worker Premium Calc'!I20*'Worker Premium Calc'!B20*'Worker Premium Calc'!M20*policy_term)/1000*$E$73))</f>
        <v>0</v>
      </c>
      <c r="D91" s="46">
        <f>SUM((('Worker Premium Calc'!J20*'Worker Premium Calc'!B20*'Worker Premium Calc'!N20*policy_term)/1000*$C$73)+SUM(('Worker Premium Calc'!J20*'Worker Premium Calc'!B20*'Worker Premium Calc'!O20*policy_term)/1000*$D$73)+SUM(('Worker Premium Calc'!J20*'Worker Premium Calc'!B20*'Worker Premium Calc'!P20*policy_term)/1000*$E$73))</f>
        <v>0</v>
      </c>
      <c r="E91" s="85">
        <f t="shared" si="32"/>
        <v>0</v>
      </c>
      <c r="F91" s="46">
        <f t="shared" si="25"/>
        <v>0</v>
      </c>
      <c r="G91" s="46">
        <f t="shared" si="26"/>
        <v>0</v>
      </c>
      <c r="H91" s="85">
        <f t="shared" si="27"/>
        <v>0</v>
      </c>
      <c r="I91" s="85">
        <f t="shared" si="33"/>
        <v>0</v>
      </c>
      <c r="K91" s="85">
        <f>SUM((('Worker Premium Calc'!I20*'Worker Premium Calc'!B20*'Worker Premium Calc'!K20*policy_term)/1000*$K$73)+SUM(('Worker Premium Calc'!I20*'Worker Premium Calc'!B20*'Worker Premium Calc'!L20*policy_term)/1000*$L$73)+SUM(('Worker Premium Calc'!I20*'Worker Premium Calc'!B20*'Worker Premium Calc'!M20*policy_term)/1000*$M$73))</f>
        <v>0</v>
      </c>
      <c r="L91" s="46">
        <f>SUM((('Worker Premium Calc'!J20*'Worker Premium Calc'!B20*'Worker Premium Calc'!N20*policy_term)/1000*$K$73)+SUM(('Worker Premium Calc'!J20*'Worker Premium Calc'!B20*'Worker Premium Calc'!O20*policy_term)/1000*$L$73)+SUM(('Worker Premium Calc'!J20*'Worker Premium Calc'!B20*'Worker Premium Calc'!P20*policy_term)/1000*$M$73))</f>
        <v>0</v>
      </c>
      <c r="M91" s="85">
        <f t="shared" si="34"/>
        <v>0</v>
      </c>
      <c r="N91" s="46">
        <f t="shared" si="28"/>
        <v>0</v>
      </c>
      <c r="O91" s="46">
        <f t="shared" si="35"/>
        <v>0</v>
      </c>
      <c r="P91" s="85">
        <f t="shared" si="36"/>
        <v>0</v>
      </c>
      <c r="Q91" s="85">
        <f t="shared" si="37"/>
        <v>0</v>
      </c>
      <c r="S91" s="85">
        <f>SUM((('Worker Premium Calc'!I20*'Worker Premium Calc'!B20*'Worker Premium Calc'!K20*policy_term)/1000*$S$73)+SUM(('Worker Premium Calc'!I20*'Worker Premium Calc'!B20*'Worker Premium Calc'!L20*policy_term)/1000*$T$73)+SUM(('Worker Premium Calc'!I20*'Worker Premium Calc'!B20*'Worker Premium Calc'!M20*policy_term)/1000*$U$73))</f>
        <v>0</v>
      </c>
      <c r="T91" s="46">
        <f>SUM((('Worker Premium Calc'!J20*'Worker Premium Calc'!B20*'Worker Premium Calc'!N20*policy_term)/1000*$S$73)+SUM(('Worker Premium Calc'!J20*'Worker Premium Calc'!B20*'Worker Premium Calc'!O20*policy_term)/1000*$T$73)+SUM(('Worker Premium Calc'!J20*'Worker Premium Calc'!B20*'Worker Premium Calc'!P20*policy_term)/1000*$U$73))</f>
        <v>0</v>
      </c>
      <c r="U91" s="85">
        <f t="shared" si="38"/>
        <v>0</v>
      </c>
      <c r="V91" s="85">
        <f t="shared" si="29"/>
        <v>0</v>
      </c>
      <c r="W91" s="46">
        <f t="shared" si="30"/>
        <v>0</v>
      </c>
      <c r="X91" s="85">
        <f t="shared" si="31"/>
        <v>0</v>
      </c>
      <c r="Y91" s="85">
        <f t="shared" si="39"/>
        <v>0</v>
      </c>
    </row>
    <row r="92" spans="3:25" x14ac:dyDescent="0.3">
      <c r="C92" s="85">
        <f>SUM((('Worker Premium Calc'!I21*'Worker Premium Calc'!B21*'Worker Premium Calc'!K21*policy_term)/1000*$C$73)+SUM(('Worker Premium Calc'!I21*'Worker Premium Calc'!B21*'Worker Premium Calc'!L21*policy_term)/1000*$D$73)+SUM(('Worker Premium Calc'!I21*'Worker Premium Calc'!B21*'Worker Premium Calc'!M21*policy_term)/1000*$E$73))</f>
        <v>0</v>
      </c>
      <c r="D92" s="46">
        <f>SUM((('Worker Premium Calc'!J21*'Worker Premium Calc'!B21*'Worker Premium Calc'!N21*policy_term)/1000*$C$73)+SUM(('Worker Premium Calc'!J21*'Worker Premium Calc'!B21*'Worker Premium Calc'!O21*policy_term)/1000*$D$73)+SUM(('Worker Premium Calc'!J21*'Worker Premium Calc'!B21*'Worker Premium Calc'!P21*policy_term)/1000*$E$73))</f>
        <v>0</v>
      </c>
      <c r="E92" s="85">
        <f t="shared" si="32"/>
        <v>0</v>
      </c>
      <c r="F92" s="46">
        <f t="shared" si="25"/>
        <v>0</v>
      </c>
      <c r="G92" s="46">
        <f t="shared" si="26"/>
        <v>0</v>
      </c>
      <c r="H92" s="85">
        <f t="shared" si="27"/>
        <v>0</v>
      </c>
      <c r="I92" s="85">
        <f t="shared" si="33"/>
        <v>0</v>
      </c>
      <c r="K92" s="85">
        <f>SUM((('Worker Premium Calc'!I21*'Worker Premium Calc'!B21*'Worker Premium Calc'!K21*policy_term)/1000*$K$73)+SUM(('Worker Premium Calc'!I21*'Worker Premium Calc'!B21*'Worker Premium Calc'!L21*policy_term)/1000*$L$73)+SUM(('Worker Premium Calc'!I21*'Worker Premium Calc'!B21*'Worker Premium Calc'!M21*policy_term)/1000*$M$73))</f>
        <v>0</v>
      </c>
      <c r="L92" s="46">
        <f>SUM((('Worker Premium Calc'!J21*'Worker Premium Calc'!B21*'Worker Premium Calc'!N21*policy_term)/1000*$K$73)+SUM(('Worker Premium Calc'!J21*'Worker Premium Calc'!B21*'Worker Premium Calc'!O21*policy_term)/1000*$L$73)+SUM(('Worker Premium Calc'!J21*'Worker Premium Calc'!B21*'Worker Premium Calc'!P21*policy_term)/1000*$M$73))</f>
        <v>0</v>
      </c>
      <c r="M92" s="85">
        <f t="shared" si="34"/>
        <v>0</v>
      </c>
      <c r="N92" s="46">
        <f t="shared" si="28"/>
        <v>0</v>
      </c>
      <c r="O92" s="46">
        <f t="shared" si="35"/>
        <v>0</v>
      </c>
      <c r="P92" s="85">
        <f t="shared" si="36"/>
        <v>0</v>
      </c>
      <c r="Q92" s="85">
        <f t="shared" si="37"/>
        <v>0</v>
      </c>
      <c r="S92" s="85">
        <f>SUM((('Worker Premium Calc'!I21*'Worker Premium Calc'!B21*'Worker Premium Calc'!K21*policy_term)/1000*$S$73)+SUM(('Worker Premium Calc'!I21*'Worker Premium Calc'!B21*'Worker Premium Calc'!L21*policy_term)/1000*$T$73)+SUM(('Worker Premium Calc'!I21*'Worker Premium Calc'!B21*'Worker Premium Calc'!M21*policy_term)/1000*$U$73))</f>
        <v>0</v>
      </c>
      <c r="T92" s="46">
        <f>SUM((('Worker Premium Calc'!J21*'Worker Premium Calc'!B21*'Worker Premium Calc'!N21*policy_term)/1000*$S$73)+SUM(('Worker Premium Calc'!J21*'Worker Premium Calc'!B21*'Worker Premium Calc'!O21*policy_term)/1000*$T$73)+SUM(('Worker Premium Calc'!J21*'Worker Premium Calc'!B21*'Worker Premium Calc'!P21*policy_term)/1000*$U$73))</f>
        <v>0</v>
      </c>
      <c r="U92" s="85">
        <f t="shared" si="38"/>
        <v>0</v>
      </c>
      <c r="V92" s="85">
        <f t="shared" si="29"/>
        <v>0</v>
      </c>
      <c r="W92" s="46">
        <f t="shared" si="30"/>
        <v>0</v>
      </c>
      <c r="X92" s="85">
        <f t="shared" si="31"/>
        <v>0</v>
      </c>
      <c r="Y92" s="85">
        <f t="shared" si="39"/>
        <v>0</v>
      </c>
    </row>
    <row r="93" spans="3:25" x14ac:dyDescent="0.3">
      <c r="C93" s="85">
        <f>SUM((('Worker Premium Calc'!I22*'Worker Premium Calc'!B22*'Worker Premium Calc'!K22*policy_term)/1000*$C$73)+SUM(('Worker Premium Calc'!I22*'Worker Premium Calc'!B22*'Worker Premium Calc'!L22*policy_term)/1000*$D$73)+SUM(('Worker Premium Calc'!I22*'Worker Premium Calc'!B22*'Worker Premium Calc'!M22*policy_term)/1000*$E$73))</f>
        <v>0</v>
      </c>
      <c r="D93" s="46">
        <f>SUM((('Worker Premium Calc'!J22*'Worker Premium Calc'!B22*'Worker Premium Calc'!N22*policy_term)/1000*$C$73)+SUM(('Worker Premium Calc'!J22*'Worker Premium Calc'!B22*'Worker Premium Calc'!O22*policy_term)/1000*$D$73)+SUM(('Worker Premium Calc'!J22*'Worker Premium Calc'!B22*'Worker Premium Calc'!P22*policy_term)/1000*$E$73))</f>
        <v>0</v>
      </c>
      <c r="E93" s="85">
        <f t="shared" si="32"/>
        <v>0</v>
      </c>
      <c r="F93" s="46">
        <f t="shared" si="25"/>
        <v>0</v>
      </c>
      <c r="G93" s="46">
        <f t="shared" si="26"/>
        <v>0</v>
      </c>
      <c r="H93" s="85">
        <f t="shared" si="27"/>
        <v>0</v>
      </c>
      <c r="I93" s="85">
        <f t="shared" si="33"/>
        <v>0</v>
      </c>
      <c r="K93" s="85">
        <f>SUM((('Worker Premium Calc'!I22*'Worker Premium Calc'!B22*'Worker Premium Calc'!K22*policy_term)/1000*$K$73)+SUM(('Worker Premium Calc'!I22*'Worker Premium Calc'!B22*'Worker Premium Calc'!L22*policy_term)/1000*$L$73)+SUM(('Worker Premium Calc'!I22*'Worker Premium Calc'!B22*'Worker Premium Calc'!M22*policy_term)/1000*$M$73))</f>
        <v>0</v>
      </c>
      <c r="L93" s="46">
        <f>SUM((('Worker Premium Calc'!J22*'Worker Premium Calc'!B22*'Worker Premium Calc'!N22*policy_term)/1000*$K$73)+SUM(('Worker Premium Calc'!J22*'Worker Premium Calc'!B22*'Worker Premium Calc'!O22*policy_term)/1000*$L$73)+SUM(('Worker Premium Calc'!J22*'Worker Premium Calc'!B22*'Worker Premium Calc'!P22*policy_term)/1000*$M$73))</f>
        <v>0</v>
      </c>
      <c r="M93" s="85">
        <f t="shared" si="34"/>
        <v>0</v>
      </c>
      <c r="N93" s="46">
        <f t="shared" si="28"/>
        <v>0</v>
      </c>
      <c r="O93" s="46">
        <f t="shared" si="35"/>
        <v>0</v>
      </c>
      <c r="P93" s="85">
        <f t="shared" si="36"/>
        <v>0</v>
      </c>
      <c r="Q93" s="85">
        <f t="shared" si="37"/>
        <v>0</v>
      </c>
      <c r="S93" s="85">
        <f>SUM((('Worker Premium Calc'!I22*'Worker Premium Calc'!B22*'Worker Premium Calc'!K22*policy_term)/1000*$S$73)+SUM(('Worker Premium Calc'!I22*'Worker Premium Calc'!B22*'Worker Premium Calc'!L22*policy_term)/1000*$T$73)+SUM(('Worker Premium Calc'!I22*'Worker Premium Calc'!B22*'Worker Premium Calc'!M22*policy_term)/1000*$U$73))</f>
        <v>0</v>
      </c>
      <c r="T93" s="46">
        <f>SUM((('Worker Premium Calc'!J22*'Worker Premium Calc'!B22*'Worker Premium Calc'!N22*policy_term)/1000*$S$73)+SUM(('Worker Premium Calc'!J22*'Worker Premium Calc'!B22*'Worker Premium Calc'!O22*policy_term)/1000*$T$73)+SUM(('Worker Premium Calc'!J22*'Worker Premium Calc'!B22*'Worker Premium Calc'!P22*policy_term)/1000*$U$73))</f>
        <v>0</v>
      </c>
      <c r="U93" s="85">
        <f t="shared" si="38"/>
        <v>0</v>
      </c>
      <c r="V93" s="85">
        <f t="shared" si="29"/>
        <v>0</v>
      </c>
      <c r="W93" s="46">
        <f t="shared" si="30"/>
        <v>0</v>
      </c>
      <c r="X93" s="85">
        <f t="shared" si="31"/>
        <v>0</v>
      </c>
      <c r="Y93" s="85">
        <f t="shared" si="39"/>
        <v>0</v>
      </c>
    </row>
    <row r="94" spans="3:25" x14ac:dyDescent="0.3">
      <c r="C94" s="85">
        <f>SUM((('Worker Premium Calc'!I23*'Worker Premium Calc'!B23*'Worker Premium Calc'!K23*policy_term)/1000*$C$73)+SUM(('Worker Premium Calc'!I23*'Worker Premium Calc'!B23*'Worker Premium Calc'!L23*policy_term)/1000*$D$73)+SUM(('Worker Premium Calc'!I23*'Worker Premium Calc'!B23*'Worker Premium Calc'!M23*policy_term)/1000*$E$73))</f>
        <v>0</v>
      </c>
      <c r="D94" s="46">
        <f>SUM((('Worker Premium Calc'!J23*'Worker Premium Calc'!B23*'Worker Premium Calc'!N23*policy_term)/1000*$C$73)+SUM(('Worker Premium Calc'!J23*'Worker Premium Calc'!B23*'Worker Premium Calc'!O23*policy_term)/1000*$D$73)+SUM(('Worker Premium Calc'!J23*'Worker Premium Calc'!B23*'Worker Premium Calc'!P23*policy_term)/1000*$E$73))</f>
        <v>0</v>
      </c>
      <c r="E94" s="85">
        <f t="shared" si="32"/>
        <v>0</v>
      </c>
      <c r="F94" s="46">
        <f t="shared" si="25"/>
        <v>0</v>
      </c>
      <c r="G94" s="46">
        <f t="shared" si="26"/>
        <v>0</v>
      </c>
      <c r="H94" s="85">
        <f t="shared" si="27"/>
        <v>0</v>
      </c>
      <c r="I94" s="85">
        <f t="shared" si="33"/>
        <v>0</v>
      </c>
      <c r="K94" s="85">
        <f>SUM((('Worker Premium Calc'!I23*'Worker Premium Calc'!B23*'Worker Premium Calc'!K23*policy_term)/1000*$K$73)+SUM(('Worker Premium Calc'!I23*'Worker Premium Calc'!B23*'Worker Premium Calc'!L23*policy_term)/1000*$L$73)+SUM(('Worker Premium Calc'!I23*'Worker Premium Calc'!B23*'Worker Premium Calc'!M23*policy_term)/1000*$M$73))</f>
        <v>0</v>
      </c>
      <c r="L94" s="46">
        <f>SUM((('Worker Premium Calc'!J23*'Worker Premium Calc'!B23*'Worker Premium Calc'!N23*policy_term)/1000*$K$73)+SUM(('Worker Premium Calc'!J23*'Worker Premium Calc'!B23*'Worker Premium Calc'!O23*policy_term)/1000*$L$73)+SUM(('Worker Premium Calc'!J23*'Worker Premium Calc'!B23*'Worker Premium Calc'!P23*policy_term)/1000*$M$73))</f>
        <v>0</v>
      </c>
      <c r="M94" s="85">
        <f t="shared" si="34"/>
        <v>0</v>
      </c>
      <c r="N94" s="46">
        <f t="shared" si="28"/>
        <v>0</v>
      </c>
      <c r="O94" s="46">
        <f t="shared" si="35"/>
        <v>0</v>
      </c>
      <c r="P94" s="85">
        <f t="shared" si="36"/>
        <v>0</v>
      </c>
      <c r="Q94" s="85">
        <f t="shared" si="37"/>
        <v>0</v>
      </c>
      <c r="S94" s="85">
        <f>SUM((('Worker Premium Calc'!I23*'Worker Premium Calc'!B23*'Worker Premium Calc'!K23*policy_term)/1000*$S$73)+SUM(('Worker Premium Calc'!I23*'Worker Premium Calc'!B23*'Worker Premium Calc'!L23*policy_term)/1000*$T$73)+SUM(('Worker Premium Calc'!I23*'Worker Premium Calc'!B23*'Worker Premium Calc'!M23*policy_term)/1000*$U$73))</f>
        <v>0</v>
      </c>
      <c r="T94" s="46">
        <f>SUM((('Worker Premium Calc'!J23*'Worker Premium Calc'!B23*'Worker Premium Calc'!N23*policy_term)/1000*$S$73)+SUM(('Worker Premium Calc'!J23*'Worker Premium Calc'!B23*'Worker Premium Calc'!O23*policy_term)/1000*$T$73)+SUM(('Worker Premium Calc'!J23*'Worker Premium Calc'!B23*'Worker Premium Calc'!P23*policy_term)/1000*$U$73))</f>
        <v>0</v>
      </c>
      <c r="U94" s="85">
        <f t="shared" si="38"/>
        <v>0</v>
      </c>
      <c r="V94" s="85">
        <f t="shared" si="29"/>
        <v>0</v>
      </c>
      <c r="W94" s="46">
        <f t="shared" si="30"/>
        <v>0</v>
      </c>
      <c r="X94" s="85">
        <f t="shared" si="31"/>
        <v>0</v>
      </c>
      <c r="Y94" s="85">
        <f t="shared" si="39"/>
        <v>0</v>
      </c>
    </row>
    <row r="95" spans="3:25" x14ac:dyDescent="0.3">
      <c r="C95" s="85">
        <f>SUM((('Worker Premium Calc'!I24*'Worker Premium Calc'!B24*'Worker Premium Calc'!K24*policy_term)/1000*$C$73)+SUM(('Worker Premium Calc'!I24*'Worker Premium Calc'!B24*'Worker Premium Calc'!L24*policy_term)/1000*$D$73)+SUM(('Worker Premium Calc'!I24*'Worker Premium Calc'!B24*'Worker Premium Calc'!M24*policy_term)/1000*$E$73))</f>
        <v>0</v>
      </c>
      <c r="D95" s="46">
        <f>SUM((('Worker Premium Calc'!J24*'Worker Premium Calc'!B24*'Worker Premium Calc'!N24*policy_term)/1000*$C$73)+SUM(('Worker Premium Calc'!J24*'Worker Premium Calc'!B24*'Worker Premium Calc'!O24*policy_term)/1000*$D$73)+SUM(('Worker Premium Calc'!J24*'Worker Premium Calc'!B24*'Worker Premium Calc'!P24*policy_term)/1000*$E$73))</f>
        <v>0</v>
      </c>
      <c r="E95" s="85">
        <f t="shared" si="32"/>
        <v>0</v>
      </c>
      <c r="F95" s="46">
        <f t="shared" si="25"/>
        <v>0</v>
      </c>
      <c r="G95" s="46">
        <f t="shared" si="26"/>
        <v>0</v>
      </c>
      <c r="H95" s="85">
        <f t="shared" si="27"/>
        <v>0</v>
      </c>
      <c r="I95" s="85">
        <f t="shared" si="33"/>
        <v>0</v>
      </c>
      <c r="K95" s="85">
        <f>SUM((('Worker Premium Calc'!I24*'Worker Premium Calc'!B24*'Worker Premium Calc'!K24*policy_term)/1000*$K$73)+SUM(('Worker Premium Calc'!I24*'Worker Premium Calc'!B24*'Worker Premium Calc'!L24*policy_term)/1000*$L$73)+SUM(('Worker Premium Calc'!I24*'Worker Premium Calc'!B24*'Worker Premium Calc'!M24*policy_term)/1000*$M$73))</f>
        <v>0</v>
      </c>
      <c r="L95" s="46">
        <f>SUM((('Worker Premium Calc'!J24*'Worker Premium Calc'!B24*'Worker Premium Calc'!N24*policy_term)/1000*$K$73)+SUM(('Worker Premium Calc'!J24*'Worker Premium Calc'!B24*'Worker Premium Calc'!O24*policy_term)/1000*$L$73)+SUM(('Worker Premium Calc'!J24*'Worker Premium Calc'!B24*'Worker Premium Calc'!P24*policy_term)/1000*$M$73))</f>
        <v>0</v>
      </c>
      <c r="M95" s="85">
        <f t="shared" si="34"/>
        <v>0</v>
      </c>
      <c r="N95" s="46">
        <f t="shared" si="28"/>
        <v>0</v>
      </c>
      <c r="O95" s="46">
        <f t="shared" si="35"/>
        <v>0</v>
      </c>
      <c r="P95" s="85">
        <f t="shared" si="36"/>
        <v>0</v>
      </c>
      <c r="Q95" s="85">
        <f t="shared" si="37"/>
        <v>0</v>
      </c>
      <c r="S95" s="85">
        <f>SUM((('Worker Premium Calc'!I24*'Worker Premium Calc'!B24*'Worker Premium Calc'!K24*policy_term)/1000*$S$73)+SUM(('Worker Premium Calc'!I24*'Worker Premium Calc'!B24*'Worker Premium Calc'!L24*policy_term)/1000*$T$73)+SUM(('Worker Premium Calc'!I24*'Worker Premium Calc'!B24*'Worker Premium Calc'!M24*policy_term)/1000*$U$73))</f>
        <v>0</v>
      </c>
      <c r="T95" s="46">
        <f>SUM((('Worker Premium Calc'!J24*'Worker Premium Calc'!B24*'Worker Premium Calc'!N24*policy_term)/1000*$S$73)+SUM(('Worker Premium Calc'!J24*'Worker Premium Calc'!B24*'Worker Premium Calc'!O24*policy_term)/1000*$T$73)+SUM(('Worker Premium Calc'!J24*'Worker Premium Calc'!B24*'Worker Premium Calc'!P24*policy_term)/1000*$U$73))</f>
        <v>0</v>
      </c>
      <c r="U95" s="85">
        <f t="shared" si="38"/>
        <v>0</v>
      </c>
      <c r="V95" s="85">
        <f t="shared" si="29"/>
        <v>0</v>
      </c>
      <c r="W95" s="46">
        <f t="shared" si="30"/>
        <v>0</v>
      </c>
      <c r="X95" s="85">
        <f t="shared" si="31"/>
        <v>0</v>
      </c>
      <c r="Y95" s="85">
        <f t="shared" si="39"/>
        <v>0</v>
      </c>
    </row>
    <row r="96" spans="3:25" x14ac:dyDescent="0.3">
      <c r="C96" s="85">
        <f>SUM((('Worker Premium Calc'!I25*'Worker Premium Calc'!B25*'Worker Premium Calc'!K25*policy_term)/1000*$C$73)+SUM(('Worker Premium Calc'!I25*'Worker Premium Calc'!B25*'Worker Premium Calc'!L25*policy_term)/1000*$D$73)+SUM(('Worker Premium Calc'!I25*'Worker Premium Calc'!B25*'Worker Premium Calc'!M25*policy_term)/1000*$E$73))</f>
        <v>0</v>
      </c>
      <c r="D96" s="46">
        <f>SUM((('Worker Premium Calc'!J25*'Worker Premium Calc'!B25*'Worker Premium Calc'!N25*policy_term)/1000*$C$73)+SUM(('Worker Premium Calc'!J25*'Worker Premium Calc'!B25*'Worker Premium Calc'!O25*policy_term)/1000*$D$73)+SUM(('Worker Premium Calc'!J25*'Worker Premium Calc'!B25*'Worker Premium Calc'!P25*policy_term)/1000*$E$73))</f>
        <v>0</v>
      </c>
      <c r="E96" s="85">
        <f t="shared" si="32"/>
        <v>0</v>
      </c>
      <c r="F96" s="46">
        <f t="shared" si="25"/>
        <v>0</v>
      </c>
      <c r="G96" s="46">
        <f t="shared" si="26"/>
        <v>0</v>
      </c>
      <c r="H96" s="85">
        <f t="shared" si="27"/>
        <v>0</v>
      </c>
      <c r="I96" s="85">
        <f t="shared" si="33"/>
        <v>0</v>
      </c>
      <c r="K96" s="85">
        <f>SUM((('Worker Premium Calc'!I25*'Worker Premium Calc'!B25*'Worker Premium Calc'!K25*policy_term)/1000*$K$73)+SUM(('Worker Premium Calc'!I25*'Worker Premium Calc'!B25*'Worker Premium Calc'!L25*policy_term)/1000*$L$73)+SUM(('Worker Premium Calc'!I25*'Worker Premium Calc'!B25*'Worker Premium Calc'!M25*policy_term)/1000*$M$73))</f>
        <v>0</v>
      </c>
      <c r="L96" s="46">
        <f>SUM((('Worker Premium Calc'!J25*'Worker Premium Calc'!B25*'Worker Premium Calc'!N25*policy_term)/1000*$K$73)+SUM(('Worker Premium Calc'!J25*'Worker Premium Calc'!B25*'Worker Premium Calc'!O25*policy_term)/1000*$L$73)+SUM(('Worker Premium Calc'!J25*'Worker Premium Calc'!B25*'Worker Premium Calc'!P25*policy_term)/1000*$M$73))</f>
        <v>0</v>
      </c>
      <c r="M96" s="85">
        <f t="shared" si="34"/>
        <v>0</v>
      </c>
      <c r="N96" s="46">
        <f t="shared" si="28"/>
        <v>0</v>
      </c>
      <c r="O96" s="46">
        <f t="shared" si="35"/>
        <v>0</v>
      </c>
      <c r="P96" s="85">
        <f t="shared" si="36"/>
        <v>0</v>
      </c>
      <c r="Q96" s="85">
        <f t="shared" si="37"/>
        <v>0</v>
      </c>
      <c r="S96" s="85">
        <f>SUM((('Worker Premium Calc'!I25*'Worker Premium Calc'!B25*'Worker Premium Calc'!K25*policy_term)/1000*$S$73)+SUM(('Worker Premium Calc'!I25*'Worker Premium Calc'!B25*'Worker Premium Calc'!L25*policy_term)/1000*$T$73)+SUM(('Worker Premium Calc'!I25*'Worker Premium Calc'!B25*'Worker Premium Calc'!M25*policy_term)/1000*$U$73))</f>
        <v>0</v>
      </c>
      <c r="T96" s="46">
        <f>SUM((('Worker Premium Calc'!J25*'Worker Premium Calc'!B25*'Worker Premium Calc'!N25*policy_term)/1000*$S$73)+SUM(('Worker Premium Calc'!J25*'Worker Premium Calc'!B25*'Worker Premium Calc'!O25*policy_term)/1000*$T$73)+SUM(('Worker Premium Calc'!J25*'Worker Premium Calc'!B25*'Worker Premium Calc'!P25*policy_term)/1000*$U$73))</f>
        <v>0</v>
      </c>
      <c r="U96" s="85">
        <f t="shared" si="38"/>
        <v>0</v>
      </c>
      <c r="V96" s="85">
        <f t="shared" si="29"/>
        <v>0</v>
      </c>
      <c r="W96" s="46">
        <f t="shared" si="30"/>
        <v>0</v>
      </c>
      <c r="X96" s="85">
        <f t="shared" si="31"/>
        <v>0</v>
      </c>
      <c r="Y96" s="85">
        <f t="shared" si="39"/>
        <v>0</v>
      </c>
    </row>
    <row r="97" spans="3:25" x14ac:dyDescent="0.3">
      <c r="C97" s="85">
        <f>SUM((('Worker Premium Calc'!I26*'Worker Premium Calc'!B26*'Worker Premium Calc'!K26*policy_term)/1000*$C$73)+SUM(('Worker Premium Calc'!I26*'Worker Premium Calc'!B26*'Worker Premium Calc'!L26*policy_term)/1000*$D$73)+SUM(('Worker Premium Calc'!I26*'Worker Premium Calc'!B26*'Worker Premium Calc'!M26*policy_term)/1000*$E$73))</f>
        <v>0</v>
      </c>
      <c r="D97" s="46">
        <f>SUM((('Worker Premium Calc'!J26*'Worker Premium Calc'!B26*'Worker Premium Calc'!N26*policy_term)/1000*$C$73)+SUM(('Worker Premium Calc'!J26*'Worker Premium Calc'!B26*'Worker Premium Calc'!O26*policy_term)/1000*$D$73)+SUM(('Worker Premium Calc'!J26*'Worker Premium Calc'!B26*'Worker Premium Calc'!P26*policy_term)/1000*$E$73))</f>
        <v>0</v>
      </c>
      <c r="E97" s="85">
        <f t="shared" si="32"/>
        <v>0</v>
      </c>
      <c r="F97" s="46">
        <f t="shared" si="25"/>
        <v>0</v>
      </c>
      <c r="G97" s="46">
        <f t="shared" si="26"/>
        <v>0</v>
      </c>
      <c r="H97" s="85">
        <f t="shared" si="27"/>
        <v>0</v>
      </c>
      <c r="I97" s="85">
        <f t="shared" si="33"/>
        <v>0</v>
      </c>
      <c r="K97" s="85">
        <f>SUM((('Worker Premium Calc'!I26*'Worker Premium Calc'!B26*'Worker Premium Calc'!K26*policy_term)/1000*$K$73)+SUM(('Worker Premium Calc'!I26*'Worker Premium Calc'!B26*'Worker Premium Calc'!L26*policy_term)/1000*$L$73)+SUM(('Worker Premium Calc'!I26*'Worker Premium Calc'!B26*'Worker Premium Calc'!M26*policy_term)/1000*$M$73))</f>
        <v>0</v>
      </c>
      <c r="L97" s="46">
        <f>SUM((('Worker Premium Calc'!J26*'Worker Premium Calc'!B26*'Worker Premium Calc'!N26*policy_term)/1000*$K$73)+SUM(('Worker Premium Calc'!J26*'Worker Premium Calc'!B26*'Worker Premium Calc'!O26*policy_term)/1000*$L$73)+SUM(('Worker Premium Calc'!J26*'Worker Premium Calc'!B26*'Worker Premium Calc'!P26*policy_term)/1000*$M$73))</f>
        <v>0</v>
      </c>
      <c r="M97" s="85">
        <f t="shared" si="34"/>
        <v>0</v>
      </c>
      <c r="N97" s="46">
        <f t="shared" si="28"/>
        <v>0</v>
      </c>
      <c r="O97" s="46">
        <f t="shared" si="35"/>
        <v>0</v>
      </c>
      <c r="P97" s="85">
        <f t="shared" si="36"/>
        <v>0</v>
      </c>
      <c r="Q97" s="85">
        <f t="shared" si="37"/>
        <v>0</v>
      </c>
      <c r="S97" s="85">
        <f>SUM((('Worker Premium Calc'!I26*'Worker Premium Calc'!B26*'Worker Premium Calc'!K26*policy_term)/1000*$S$73)+SUM(('Worker Premium Calc'!I26*'Worker Premium Calc'!B26*'Worker Premium Calc'!L26*policy_term)/1000*$T$73)+SUM(('Worker Premium Calc'!I26*'Worker Premium Calc'!B26*'Worker Premium Calc'!M26*policy_term)/1000*$U$73))</f>
        <v>0</v>
      </c>
      <c r="T97" s="46">
        <f>SUM((('Worker Premium Calc'!J26*'Worker Premium Calc'!B26*'Worker Premium Calc'!N26*policy_term)/1000*$S$73)+SUM(('Worker Premium Calc'!J26*'Worker Premium Calc'!B26*'Worker Premium Calc'!O26*policy_term)/1000*$T$73)+SUM(('Worker Premium Calc'!J26*'Worker Premium Calc'!B26*'Worker Premium Calc'!P26*policy_term)/1000*$U$73))</f>
        <v>0</v>
      </c>
      <c r="U97" s="85">
        <f t="shared" si="38"/>
        <v>0</v>
      </c>
      <c r="V97" s="85">
        <f t="shared" si="29"/>
        <v>0</v>
      </c>
      <c r="W97" s="46">
        <f t="shared" si="30"/>
        <v>0</v>
      </c>
      <c r="X97" s="85">
        <f t="shared" si="31"/>
        <v>0</v>
      </c>
      <c r="Y97" s="85">
        <f t="shared" si="39"/>
        <v>0</v>
      </c>
    </row>
    <row r="98" spans="3:25" x14ac:dyDescent="0.3">
      <c r="C98" s="85">
        <f>SUM((('Worker Premium Calc'!I27*'Worker Premium Calc'!B27*'Worker Premium Calc'!K27*policy_term)/1000*$C$73)+SUM(('Worker Premium Calc'!I27*'Worker Premium Calc'!B27*'Worker Premium Calc'!L27*policy_term)/1000*$D$73)+SUM(('Worker Premium Calc'!I27*'Worker Premium Calc'!B27*'Worker Premium Calc'!M27*policy_term)/1000*$E$73))</f>
        <v>0</v>
      </c>
      <c r="D98" s="46">
        <f>SUM((('Worker Premium Calc'!J27*'Worker Premium Calc'!B27*'Worker Premium Calc'!N27*policy_term)/1000*$C$73)+SUM(('Worker Premium Calc'!J27*'Worker Premium Calc'!B27*'Worker Premium Calc'!O27*policy_term)/1000*$D$73)+SUM(('Worker Premium Calc'!J27*'Worker Premium Calc'!B27*'Worker Premium Calc'!P27*policy_term)/1000*$E$73))</f>
        <v>0</v>
      </c>
      <c r="E98" s="85">
        <f t="shared" si="32"/>
        <v>0</v>
      </c>
      <c r="F98" s="46">
        <f t="shared" si="25"/>
        <v>0</v>
      </c>
      <c r="G98" s="46">
        <f t="shared" si="26"/>
        <v>0</v>
      </c>
      <c r="H98" s="85">
        <f t="shared" si="27"/>
        <v>0</v>
      </c>
      <c r="I98" s="85">
        <f t="shared" si="33"/>
        <v>0</v>
      </c>
      <c r="K98" s="85">
        <f>SUM((('Worker Premium Calc'!I27*'Worker Premium Calc'!B27*'Worker Premium Calc'!K27*policy_term)/1000*$K$73)+SUM(('Worker Premium Calc'!I27*'Worker Premium Calc'!B27*'Worker Premium Calc'!L27*policy_term)/1000*$L$73)+SUM(('Worker Premium Calc'!I27*'Worker Premium Calc'!B27*'Worker Premium Calc'!M27*policy_term)/1000*$M$73))</f>
        <v>0</v>
      </c>
      <c r="L98" s="46">
        <f>SUM((('Worker Premium Calc'!J27*'Worker Premium Calc'!B27*'Worker Premium Calc'!N27*policy_term)/1000*$K$73)+SUM(('Worker Premium Calc'!J27*'Worker Premium Calc'!B27*'Worker Premium Calc'!O27*policy_term)/1000*$L$73)+SUM(('Worker Premium Calc'!J27*'Worker Premium Calc'!B27*'Worker Premium Calc'!P27*policy_term)/1000*$M$73))</f>
        <v>0</v>
      </c>
      <c r="M98" s="85">
        <f t="shared" si="34"/>
        <v>0</v>
      </c>
      <c r="N98" s="46">
        <f t="shared" si="28"/>
        <v>0</v>
      </c>
      <c r="O98" s="46">
        <f t="shared" si="35"/>
        <v>0</v>
      </c>
      <c r="P98" s="85">
        <f t="shared" si="36"/>
        <v>0</v>
      </c>
      <c r="Q98" s="85">
        <f t="shared" si="37"/>
        <v>0</v>
      </c>
      <c r="S98" s="85">
        <f>SUM((('Worker Premium Calc'!I27*'Worker Premium Calc'!B27*'Worker Premium Calc'!K27*policy_term)/1000*$S$73)+SUM(('Worker Premium Calc'!I27*'Worker Premium Calc'!B27*'Worker Premium Calc'!L27*policy_term)/1000*$T$73)+SUM(('Worker Premium Calc'!I27*'Worker Premium Calc'!B27*'Worker Premium Calc'!M27*policy_term)/1000*$U$73))</f>
        <v>0</v>
      </c>
      <c r="T98" s="46">
        <f>SUM((('Worker Premium Calc'!J27*'Worker Premium Calc'!B27*'Worker Premium Calc'!N27*policy_term)/1000*$S$73)+SUM(('Worker Premium Calc'!J27*'Worker Premium Calc'!B27*'Worker Premium Calc'!O27*policy_term)/1000*$T$73)+SUM(('Worker Premium Calc'!J27*'Worker Premium Calc'!B27*'Worker Premium Calc'!P27*policy_term)/1000*$U$73))</f>
        <v>0</v>
      </c>
      <c r="U98" s="85">
        <f t="shared" si="38"/>
        <v>0</v>
      </c>
      <c r="V98" s="85">
        <f t="shared" si="29"/>
        <v>0</v>
      </c>
      <c r="W98" s="46">
        <f t="shared" si="30"/>
        <v>0</v>
      </c>
      <c r="X98" s="85">
        <f t="shared" si="31"/>
        <v>0</v>
      </c>
      <c r="Y98" s="85">
        <f t="shared" si="39"/>
        <v>0</v>
      </c>
    </row>
    <row r="99" spans="3:25" x14ac:dyDescent="0.3">
      <c r="C99" s="85">
        <f>SUM((('Worker Premium Calc'!I28*'Worker Premium Calc'!B28*'Worker Premium Calc'!K28*policy_term)/1000*$C$73)+SUM(('Worker Premium Calc'!I28*'Worker Premium Calc'!B28*'Worker Premium Calc'!L28*policy_term)/1000*$D$73)+SUM(('Worker Premium Calc'!I28*'Worker Premium Calc'!B28*'Worker Premium Calc'!M28*policy_term)/1000*$E$73))</f>
        <v>0</v>
      </c>
      <c r="D99" s="46">
        <f>SUM((('Worker Premium Calc'!J28*'Worker Premium Calc'!B28*'Worker Premium Calc'!N28*policy_term)/1000*$C$73)+SUM(('Worker Premium Calc'!J28*'Worker Premium Calc'!B28*'Worker Premium Calc'!O28*policy_term)/1000*$D$73)+SUM(('Worker Premium Calc'!J28*'Worker Premium Calc'!B28*'Worker Premium Calc'!P28*policy_term)/1000*$E$73))</f>
        <v>0</v>
      </c>
      <c r="E99" s="85">
        <f t="shared" si="32"/>
        <v>0</v>
      </c>
      <c r="F99" s="46">
        <f t="shared" si="25"/>
        <v>0</v>
      </c>
      <c r="G99" s="46">
        <f t="shared" si="26"/>
        <v>0</v>
      </c>
      <c r="H99" s="85">
        <f t="shared" si="27"/>
        <v>0</v>
      </c>
      <c r="I99" s="85">
        <f t="shared" si="33"/>
        <v>0</v>
      </c>
      <c r="K99" s="85">
        <f>SUM((('Worker Premium Calc'!I28*'Worker Premium Calc'!B28*'Worker Premium Calc'!K28*policy_term)/1000*$K$73)+SUM(('Worker Premium Calc'!I28*'Worker Premium Calc'!B28*'Worker Premium Calc'!L28*policy_term)/1000*$L$73)+SUM(('Worker Premium Calc'!I28*'Worker Premium Calc'!B28*'Worker Premium Calc'!M28*policy_term)/1000*$M$73))</f>
        <v>0</v>
      </c>
      <c r="L99" s="46">
        <f>SUM((('Worker Premium Calc'!J28*'Worker Premium Calc'!B28*'Worker Premium Calc'!N28*policy_term)/1000*$K$73)+SUM(('Worker Premium Calc'!J28*'Worker Premium Calc'!B28*'Worker Premium Calc'!O28*policy_term)/1000*$L$73)+SUM(('Worker Premium Calc'!J28*'Worker Premium Calc'!B28*'Worker Premium Calc'!P28*policy_term)/1000*$M$73))</f>
        <v>0</v>
      </c>
      <c r="M99" s="85">
        <f t="shared" si="34"/>
        <v>0</v>
      </c>
      <c r="N99" s="46">
        <f t="shared" si="28"/>
        <v>0</v>
      </c>
      <c r="O99" s="46">
        <f t="shared" si="35"/>
        <v>0</v>
      </c>
      <c r="P99" s="85">
        <f t="shared" si="36"/>
        <v>0</v>
      </c>
      <c r="Q99" s="85">
        <f t="shared" si="37"/>
        <v>0</v>
      </c>
      <c r="S99" s="85">
        <f>SUM((('Worker Premium Calc'!I28*'Worker Premium Calc'!B28*'Worker Premium Calc'!K28*policy_term)/1000*$S$73)+SUM(('Worker Premium Calc'!I28*'Worker Premium Calc'!B28*'Worker Premium Calc'!L28*policy_term)/1000*$T$73)+SUM(('Worker Premium Calc'!I28*'Worker Premium Calc'!B28*'Worker Premium Calc'!M28*policy_term)/1000*$U$73))</f>
        <v>0</v>
      </c>
      <c r="T99" s="46">
        <f>SUM((('Worker Premium Calc'!J28*'Worker Premium Calc'!B28*'Worker Premium Calc'!N28*policy_term)/1000*$S$73)+SUM(('Worker Premium Calc'!J28*'Worker Premium Calc'!B28*'Worker Premium Calc'!O28*policy_term)/1000*$T$73)+SUM(('Worker Premium Calc'!J28*'Worker Premium Calc'!B28*'Worker Premium Calc'!P28*policy_term)/1000*$U$73))</f>
        <v>0</v>
      </c>
      <c r="U99" s="85">
        <f t="shared" si="38"/>
        <v>0</v>
      </c>
      <c r="V99" s="85">
        <f t="shared" si="29"/>
        <v>0</v>
      </c>
      <c r="W99" s="46">
        <f t="shared" si="30"/>
        <v>0</v>
      </c>
      <c r="X99" s="85">
        <f t="shared" si="31"/>
        <v>0</v>
      </c>
      <c r="Y99" s="85">
        <f t="shared" si="39"/>
        <v>0</v>
      </c>
    </row>
    <row r="100" spans="3:25" x14ac:dyDescent="0.3">
      <c r="C100" s="85">
        <f>SUM((('Worker Premium Calc'!I29*'Worker Premium Calc'!B29*'Worker Premium Calc'!K29*policy_term)/1000*$C$73)+SUM(('Worker Premium Calc'!I29*'Worker Premium Calc'!B29*'Worker Premium Calc'!L29*policy_term)/1000*$D$73)+SUM(('Worker Premium Calc'!I29*'Worker Premium Calc'!B29*'Worker Premium Calc'!M29*policy_term)/1000*$E$73))</f>
        <v>0</v>
      </c>
      <c r="D100" s="46">
        <f>SUM((('Worker Premium Calc'!J29*'Worker Premium Calc'!B29*'Worker Premium Calc'!N29*policy_term)/1000*$C$73)+SUM(('Worker Premium Calc'!J29*'Worker Premium Calc'!B29*'Worker Premium Calc'!O29*policy_term)/1000*$D$73)+SUM(('Worker Premium Calc'!J29*'Worker Premium Calc'!B29*'Worker Premium Calc'!P29*policy_term)/1000*$E$73))</f>
        <v>0</v>
      </c>
      <c r="E100" s="85">
        <f t="shared" si="32"/>
        <v>0</v>
      </c>
      <c r="F100" s="46">
        <f t="shared" si="25"/>
        <v>0</v>
      </c>
      <c r="G100" s="46">
        <f t="shared" si="26"/>
        <v>0</v>
      </c>
      <c r="H100" s="85">
        <f t="shared" si="27"/>
        <v>0</v>
      </c>
      <c r="I100" s="85">
        <f t="shared" si="33"/>
        <v>0</v>
      </c>
      <c r="K100" s="85">
        <f>SUM((('Worker Premium Calc'!I29*'Worker Premium Calc'!B29*'Worker Premium Calc'!K29*policy_term)/1000*$K$73)+SUM(('Worker Premium Calc'!I29*'Worker Premium Calc'!B29*'Worker Premium Calc'!L29*policy_term)/1000*$L$73)+SUM(('Worker Premium Calc'!I29*'Worker Premium Calc'!B29*'Worker Premium Calc'!M29*policy_term)/1000*$M$73))</f>
        <v>0</v>
      </c>
      <c r="L100" s="46">
        <f>SUM((('Worker Premium Calc'!J29*'Worker Premium Calc'!B29*'Worker Premium Calc'!N29*policy_term)/1000*$K$73)+SUM(('Worker Premium Calc'!J29*'Worker Premium Calc'!B29*'Worker Premium Calc'!O29*policy_term)/1000*$L$73)+SUM(('Worker Premium Calc'!J29*'Worker Premium Calc'!B29*'Worker Premium Calc'!P29*policy_term)/1000*$M$73))</f>
        <v>0</v>
      </c>
      <c r="M100" s="85">
        <f t="shared" si="34"/>
        <v>0</v>
      </c>
      <c r="N100" s="46">
        <f t="shared" si="28"/>
        <v>0</v>
      </c>
      <c r="O100" s="46">
        <f t="shared" si="35"/>
        <v>0</v>
      </c>
      <c r="P100" s="85">
        <f t="shared" si="36"/>
        <v>0</v>
      </c>
      <c r="Q100" s="85">
        <f t="shared" si="37"/>
        <v>0</v>
      </c>
      <c r="S100" s="85">
        <f>SUM((('Worker Premium Calc'!I29*'Worker Premium Calc'!B29*'Worker Premium Calc'!K29*policy_term)/1000*$S$73)+SUM(('Worker Premium Calc'!I29*'Worker Premium Calc'!B29*'Worker Premium Calc'!L29*policy_term)/1000*$T$73)+SUM(('Worker Premium Calc'!I29*'Worker Premium Calc'!B29*'Worker Premium Calc'!M29*policy_term)/1000*$U$73))</f>
        <v>0</v>
      </c>
      <c r="T100" s="46">
        <f>SUM((('Worker Premium Calc'!J29*'Worker Premium Calc'!B29*'Worker Premium Calc'!N29*policy_term)/1000*$S$73)+SUM(('Worker Premium Calc'!J29*'Worker Premium Calc'!B29*'Worker Premium Calc'!O29*policy_term)/1000*$T$73)+SUM(('Worker Premium Calc'!J29*'Worker Premium Calc'!B29*'Worker Premium Calc'!P29*policy_term)/1000*$U$73))</f>
        <v>0</v>
      </c>
      <c r="U100" s="85">
        <f t="shared" si="38"/>
        <v>0</v>
      </c>
      <c r="V100" s="85">
        <f t="shared" si="29"/>
        <v>0</v>
      </c>
      <c r="W100" s="46">
        <f t="shared" si="30"/>
        <v>0</v>
      </c>
      <c r="X100" s="85">
        <f t="shared" si="31"/>
        <v>0</v>
      </c>
      <c r="Y100" s="85">
        <f t="shared" si="39"/>
        <v>0</v>
      </c>
    </row>
    <row r="101" spans="3:25" x14ac:dyDescent="0.3">
      <c r="C101" s="85">
        <f>SUM((('Worker Premium Calc'!I30*'Worker Premium Calc'!B30*'Worker Premium Calc'!K30*policy_term)/1000*$C$73)+SUM(('Worker Premium Calc'!I30*'Worker Premium Calc'!B30*'Worker Premium Calc'!L30*policy_term)/1000*$D$73)+SUM(('Worker Premium Calc'!I30*'Worker Premium Calc'!B30*'Worker Premium Calc'!M30*policy_term)/1000*$E$73))</f>
        <v>0</v>
      </c>
      <c r="D101" s="46">
        <f>SUM((('Worker Premium Calc'!J30*'Worker Premium Calc'!B30*'Worker Premium Calc'!N30*policy_term)/1000*$C$73)+SUM(('Worker Premium Calc'!J30*'Worker Premium Calc'!B30*'Worker Premium Calc'!O30*policy_term)/1000*$D$73)+SUM(('Worker Premium Calc'!J30*'Worker Premium Calc'!B30*'Worker Premium Calc'!P30*policy_term)/1000*$E$73))</f>
        <v>0</v>
      </c>
      <c r="E101" s="85">
        <f t="shared" si="32"/>
        <v>0</v>
      </c>
      <c r="F101" s="46">
        <f t="shared" si="25"/>
        <v>0</v>
      </c>
      <c r="G101" s="46">
        <f t="shared" si="26"/>
        <v>0</v>
      </c>
      <c r="H101" s="85">
        <f t="shared" si="27"/>
        <v>0</v>
      </c>
      <c r="I101" s="85">
        <f t="shared" si="33"/>
        <v>0</v>
      </c>
      <c r="K101" s="85">
        <f>SUM((('Worker Premium Calc'!I30*'Worker Premium Calc'!B30*'Worker Premium Calc'!K30*policy_term)/1000*$K$73)+SUM(('Worker Premium Calc'!I30*'Worker Premium Calc'!B30*'Worker Premium Calc'!L30*policy_term)/1000*$L$73)+SUM(('Worker Premium Calc'!I30*'Worker Premium Calc'!B30*'Worker Premium Calc'!M30*policy_term)/1000*$M$73))</f>
        <v>0</v>
      </c>
      <c r="L101" s="46">
        <f>SUM((('Worker Premium Calc'!J30*'Worker Premium Calc'!B30*'Worker Premium Calc'!N30*policy_term)/1000*$K$73)+SUM(('Worker Premium Calc'!J30*'Worker Premium Calc'!B30*'Worker Premium Calc'!O30*policy_term)/1000*$L$73)+SUM(('Worker Premium Calc'!J30*'Worker Premium Calc'!B30*'Worker Premium Calc'!P30*policy_term)/1000*$M$73))</f>
        <v>0</v>
      </c>
      <c r="M101" s="85">
        <f t="shared" si="34"/>
        <v>0</v>
      </c>
      <c r="N101" s="46">
        <f t="shared" si="28"/>
        <v>0</v>
      </c>
      <c r="O101" s="46">
        <f t="shared" si="35"/>
        <v>0</v>
      </c>
      <c r="P101" s="85">
        <f t="shared" si="36"/>
        <v>0</v>
      </c>
      <c r="Q101" s="85">
        <f t="shared" si="37"/>
        <v>0</v>
      </c>
      <c r="S101" s="85">
        <f>SUM((('Worker Premium Calc'!I30*'Worker Premium Calc'!B30*'Worker Premium Calc'!K30*policy_term)/1000*$S$73)+SUM(('Worker Premium Calc'!I30*'Worker Premium Calc'!B30*'Worker Premium Calc'!L30*policy_term)/1000*$T$73)+SUM(('Worker Premium Calc'!I30*'Worker Premium Calc'!B30*'Worker Premium Calc'!M30*policy_term)/1000*$U$73))</f>
        <v>0</v>
      </c>
      <c r="T101" s="46">
        <f>SUM((('Worker Premium Calc'!J30*'Worker Premium Calc'!B30*'Worker Premium Calc'!N30*policy_term)/1000*$S$73)+SUM(('Worker Premium Calc'!J30*'Worker Premium Calc'!B30*'Worker Premium Calc'!O30*policy_term)/1000*$T$73)+SUM(('Worker Premium Calc'!J30*'Worker Premium Calc'!B30*'Worker Premium Calc'!P30*policy_term)/1000*$U$73))</f>
        <v>0</v>
      </c>
      <c r="U101" s="85">
        <f t="shared" si="38"/>
        <v>0</v>
      </c>
      <c r="V101" s="85">
        <f t="shared" si="29"/>
        <v>0</v>
      </c>
      <c r="W101" s="46">
        <f t="shared" si="30"/>
        <v>0</v>
      </c>
      <c r="X101" s="85">
        <f t="shared" si="31"/>
        <v>0</v>
      </c>
      <c r="Y101" s="85">
        <f t="shared" si="39"/>
        <v>0</v>
      </c>
    </row>
    <row r="102" spans="3:25" x14ac:dyDescent="0.3">
      <c r="C102" s="85">
        <f>SUM((('Worker Premium Calc'!I31*'Worker Premium Calc'!B31*'Worker Premium Calc'!K31*policy_term)/1000*$C$73)+SUM(('Worker Premium Calc'!I31*'Worker Premium Calc'!B31*'Worker Premium Calc'!L31*policy_term)/1000*$D$73)+SUM(('Worker Premium Calc'!I31*'Worker Premium Calc'!B31*'Worker Premium Calc'!M31*policy_term)/1000*$E$73))</f>
        <v>0</v>
      </c>
      <c r="D102" s="46">
        <f>SUM((('Worker Premium Calc'!J31*'Worker Premium Calc'!B31*'Worker Premium Calc'!N31*policy_term)/1000*$C$73)+SUM(('Worker Premium Calc'!J31*'Worker Premium Calc'!B31*'Worker Premium Calc'!O31*policy_term)/1000*$D$73)+SUM(('Worker Premium Calc'!J31*'Worker Premium Calc'!B31*'Worker Premium Calc'!P31*policy_term)/1000*$E$73))</f>
        <v>0</v>
      </c>
      <c r="E102" s="85">
        <f t="shared" si="32"/>
        <v>0</v>
      </c>
      <c r="F102" s="46">
        <f t="shared" si="25"/>
        <v>0</v>
      </c>
      <c r="G102" s="46">
        <f t="shared" si="26"/>
        <v>0</v>
      </c>
      <c r="H102" s="85">
        <f t="shared" si="27"/>
        <v>0</v>
      </c>
      <c r="I102" s="85">
        <f t="shared" si="33"/>
        <v>0</v>
      </c>
      <c r="K102" s="85">
        <f>SUM((('Worker Premium Calc'!I31*'Worker Premium Calc'!B31*'Worker Premium Calc'!K31*policy_term)/1000*$K$73)+SUM(('Worker Premium Calc'!I31*'Worker Premium Calc'!B31*'Worker Premium Calc'!L31*policy_term)/1000*$L$73)+SUM(('Worker Premium Calc'!I31*'Worker Premium Calc'!B31*'Worker Premium Calc'!M31*policy_term)/1000*$M$73))</f>
        <v>0</v>
      </c>
      <c r="L102" s="46">
        <f>SUM((('Worker Premium Calc'!J31*'Worker Premium Calc'!B31*'Worker Premium Calc'!N31*policy_term)/1000*$K$73)+SUM(('Worker Premium Calc'!J31*'Worker Premium Calc'!B31*'Worker Premium Calc'!O31*policy_term)/1000*$L$73)+SUM(('Worker Premium Calc'!J31*'Worker Premium Calc'!B31*'Worker Premium Calc'!P31*policy_term)/1000*$M$73))</f>
        <v>0</v>
      </c>
      <c r="M102" s="85">
        <f t="shared" si="34"/>
        <v>0</v>
      </c>
      <c r="N102" s="46">
        <f t="shared" si="28"/>
        <v>0</v>
      </c>
      <c r="O102" s="46">
        <f t="shared" si="35"/>
        <v>0</v>
      </c>
      <c r="P102" s="85">
        <f t="shared" si="36"/>
        <v>0</v>
      </c>
      <c r="Q102" s="85">
        <f t="shared" si="37"/>
        <v>0</v>
      </c>
      <c r="S102" s="85">
        <f>SUM((('Worker Premium Calc'!I31*'Worker Premium Calc'!B31*'Worker Premium Calc'!K31*policy_term)/1000*$S$73)+SUM(('Worker Premium Calc'!I31*'Worker Premium Calc'!B31*'Worker Premium Calc'!L31*policy_term)/1000*$T$73)+SUM(('Worker Premium Calc'!I31*'Worker Premium Calc'!B31*'Worker Premium Calc'!M31*policy_term)/1000*$U$73))</f>
        <v>0</v>
      </c>
      <c r="T102" s="46">
        <f>SUM((('Worker Premium Calc'!J31*'Worker Premium Calc'!B31*'Worker Premium Calc'!N31*policy_term)/1000*$S$73)+SUM(('Worker Premium Calc'!J31*'Worker Premium Calc'!B31*'Worker Premium Calc'!O31*policy_term)/1000*$T$73)+SUM(('Worker Premium Calc'!J31*'Worker Premium Calc'!B31*'Worker Premium Calc'!P31*policy_term)/1000*$U$73))</f>
        <v>0</v>
      </c>
      <c r="U102" s="85">
        <f t="shared" si="38"/>
        <v>0</v>
      </c>
      <c r="V102" s="85">
        <f t="shared" si="29"/>
        <v>0</v>
      </c>
      <c r="W102" s="46">
        <f t="shared" si="30"/>
        <v>0</v>
      </c>
      <c r="X102" s="85">
        <f t="shared" si="31"/>
        <v>0</v>
      </c>
      <c r="Y102" s="85">
        <f t="shared" si="39"/>
        <v>0</v>
      </c>
    </row>
    <row r="103" spans="3:25" x14ac:dyDescent="0.3">
      <c r="C103" s="85">
        <f>SUM((('Worker Premium Calc'!I32*'Worker Premium Calc'!B32*'Worker Premium Calc'!K32*policy_term)/1000*$C$73)+SUM(('Worker Premium Calc'!I32*'Worker Premium Calc'!B32*'Worker Premium Calc'!L32*policy_term)/1000*$D$73)+SUM(('Worker Premium Calc'!I32*'Worker Premium Calc'!B32*'Worker Premium Calc'!M32*policy_term)/1000*$E$73))</f>
        <v>0</v>
      </c>
      <c r="D103" s="46">
        <f>SUM((('Worker Premium Calc'!J32*'Worker Premium Calc'!B32*'Worker Premium Calc'!N32*policy_term)/1000*$C$73)+SUM(('Worker Premium Calc'!J32*'Worker Premium Calc'!B32*'Worker Premium Calc'!O32*policy_term)/1000*$D$73)+SUM(('Worker Premium Calc'!J32*'Worker Premium Calc'!B32*'Worker Premium Calc'!P32*policy_term)/1000*$E$73))</f>
        <v>0</v>
      </c>
      <c r="E103" s="85">
        <f t="shared" si="32"/>
        <v>0</v>
      </c>
      <c r="F103" s="46">
        <f t="shared" si="25"/>
        <v>0</v>
      </c>
      <c r="G103" s="46">
        <f t="shared" si="26"/>
        <v>0</v>
      </c>
      <c r="H103" s="85">
        <f t="shared" si="27"/>
        <v>0</v>
      </c>
      <c r="I103" s="85">
        <f t="shared" si="33"/>
        <v>0</v>
      </c>
      <c r="K103" s="85">
        <f>SUM((('Worker Premium Calc'!I32*'Worker Premium Calc'!B32*'Worker Premium Calc'!K32*policy_term)/1000*$K$73)+SUM(('Worker Premium Calc'!I32*'Worker Premium Calc'!B32*'Worker Premium Calc'!L32*policy_term)/1000*$L$73)+SUM(('Worker Premium Calc'!I32*'Worker Premium Calc'!B32*'Worker Premium Calc'!M32*policy_term)/1000*$M$73))</f>
        <v>0</v>
      </c>
      <c r="L103" s="46">
        <f>SUM((('Worker Premium Calc'!J32*'Worker Premium Calc'!B32*'Worker Premium Calc'!N32*policy_term)/1000*$K$73)+SUM(('Worker Premium Calc'!J32*'Worker Premium Calc'!B32*'Worker Premium Calc'!O32*policy_term)/1000*$L$73)+SUM(('Worker Premium Calc'!J32*'Worker Premium Calc'!B32*'Worker Premium Calc'!P32*policy_term)/1000*$M$73))</f>
        <v>0</v>
      </c>
      <c r="M103" s="85">
        <f t="shared" si="34"/>
        <v>0</v>
      </c>
      <c r="N103" s="46">
        <f t="shared" si="28"/>
        <v>0</v>
      </c>
      <c r="O103" s="46">
        <f t="shared" si="35"/>
        <v>0</v>
      </c>
      <c r="P103" s="85">
        <f t="shared" si="36"/>
        <v>0</v>
      </c>
      <c r="Q103" s="85">
        <f t="shared" si="37"/>
        <v>0</v>
      </c>
      <c r="S103" s="85">
        <f>SUM((('Worker Premium Calc'!I32*'Worker Premium Calc'!B32*'Worker Premium Calc'!K32*policy_term)/1000*$S$73)+SUM(('Worker Premium Calc'!I32*'Worker Premium Calc'!B32*'Worker Premium Calc'!L32*policy_term)/1000*$T$73)+SUM(('Worker Premium Calc'!I32*'Worker Premium Calc'!B32*'Worker Premium Calc'!M32*policy_term)/1000*$U$73))</f>
        <v>0</v>
      </c>
      <c r="T103" s="46">
        <f>SUM((('Worker Premium Calc'!J32*'Worker Premium Calc'!B32*'Worker Premium Calc'!N32*policy_term)/1000*$S$73)+SUM(('Worker Premium Calc'!J32*'Worker Premium Calc'!B32*'Worker Premium Calc'!O32*policy_term)/1000*$T$73)+SUM(('Worker Premium Calc'!J32*'Worker Premium Calc'!B32*'Worker Premium Calc'!P32*policy_term)/1000*$U$73))</f>
        <v>0</v>
      </c>
      <c r="U103" s="85">
        <f t="shared" si="38"/>
        <v>0</v>
      </c>
      <c r="V103" s="85">
        <f t="shared" si="29"/>
        <v>0</v>
      </c>
      <c r="W103" s="46">
        <f t="shared" si="30"/>
        <v>0</v>
      </c>
      <c r="X103" s="85">
        <f t="shared" si="31"/>
        <v>0</v>
      </c>
      <c r="Y103" s="85">
        <f t="shared" si="39"/>
        <v>0</v>
      </c>
    </row>
    <row r="104" spans="3:25" x14ac:dyDescent="0.3">
      <c r="C104" s="85">
        <f>SUM((('Worker Premium Calc'!I33*'Worker Premium Calc'!B33*'Worker Premium Calc'!K33*policy_term)/1000*$C$73)+SUM(('Worker Premium Calc'!I33*'Worker Premium Calc'!B33*'Worker Premium Calc'!L33*policy_term)/1000*$D$73)+SUM(('Worker Premium Calc'!I33*'Worker Premium Calc'!B33*'Worker Premium Calc'!M33*policy_term)/1000*$E$73))</f>
        <v>0</v>
      </c>
      <c r="D104" s="46">
        <f>SUM((('Worker Premium Calc'!J33*'Worker Premium Calc'!B33*'Worker Premium Calc'!N33*policy_term)/1000*$C$73)+SUM(('Worker Premium Calc'!J33*'Worker Premium Calc'!B33*'Worker Premium Calc'!O33*policy_term)/1000*$D$73)+SUM(('Worker Premium Calc'!J33*'Worker Premium Calc'!B33*'Worker Premium Calc'!P33*policy_term)/1000*$E$73))</f>
        <v>0</v>
      </c>
      <c r="E104" s="85">
        <f t="shared" si="32"/>
        <v>0</v>
      </c>
      <c r="F104" s="46">
        <f t="shared" si="25"/>
        <v>0</v>
      </c>
      <c r="G104" s="46">
        <f t="shared" si="26"/>
        <v>0</v>
      </c>
      <c r="H104" s="85">
        <f t="shared" si="27"/>
        <v>0</v>
      </c>
      <c r="I104" s="85">
        <f t="shared" si="33"/>
        <v>0</v>
      </c>
      <c r="K104" s="85">
        <f>SUM((('Worker Premium Calc'!I33*'Worker Premium Calc'!B33*'Worker Premium Calc'!K33*policy_term)/1000*$K$73)+SUM(('Worker Premium Calc'!I33*'Worker Premium Calc'!B33*'Worker Premium Calc'!L33*policy_term)/1000*$L$73)+SUM(('Worker Premium Calc'!I33*'Worker Premium Calc'!B33*'Worker Premium Calc'!M33*policy_term)/1000*$M$73))</f>
        <v>0</v>
      </c>
      <c r="L104" s="46">
        <f>SUM((('Worker Premium Calc'!J33*'Worker Premium Calc'!B33*'Worker Premium Calc'!N33*policy_term)/1000*$K$73)+SUM(('Worker Premium Calc'!J33*'Worker Premium Calc'!B33*'Worker Premium Calc'!O33*policy_term)/1000*$L$73)+SUM(('Worker Premium Calc'!J33*'Worker Premium Calc'!B33*'Worker Premium Calc'!P33*policy_term)/1000*$M$73))</f>
        <v>0</v>
      </c>
      <c r="M104" s="85">
        <f t="shared" si="34"/>
        <v>0</v>
      </c>
      <c r="N104" s="46">
        <f t="shared" si="28"/>
        <v>0</v>
      </c>
      <c r="O104" s="46">
        <f t="shared" si="35"/>
        <v>0</v>
      </c>
      <c r="P104" s="85">
        <f t="shared" si="36"/>
        <v>0</v>
      </c>
      <c r="Q104" s="85">
        <f t="shared" si="37"/>
        <v>0</v>
      </c>
      <c r="S104" s="85">
        <f>SUM((('Worker Premium Calc'!I33*'Worker Premium Calc'!B33*'Worker Premium Calc'!K33*policy_term)/1000*$S$73)+SUM(('Worker Premium Calc'!I33*'Worker Premium Calc'!B33*'Worker Premium Calc'!L33*policy_term)/1000*$T$73)+SUM(('Worker Premium Calc'!I33*'Worker Premium Calc'!B33*'Worker Premium Calc'!M33*policy_term)/1000*$U$73))</f>
        <v>0</v>
      </c>
      <c r="T104" s="46">
        <f>SUM((('Worker Premium Calc'!J33*'Worker Premium Calc'!B33*'Worker Premium Calc'!N33*policy_term)/1000*$S$73)+SUM(('Worker Premium Calc'!J33*'Worker Premium Calc'!B33*'Worker Premium Calc'!O33*policy_term)/1000*$T$73)+SUM(('Worker Premium Calc'!J33*'Worker Premium Calc'!B33*'Worker Premium Calc'!P33*policy_term)/1000*$U$73))</f>
        <v>0</v>
      </c>
      <c r="U104" s="85">
        <f t="shared" si="38"/>
        <v>0</v>
      </c>
      <c r="V104" s="85">
        <f t="shared" si="29"/>
        <v>0</v>
      </c>
      <c r="W104" s="46">
        <f t="shared" si="30"/>
        <v>0</v>
      </c>
      <c r="X104" s="85">
        <f t="shared" si="31"/>
        <v>0</v>
      </c>
      <c r="Y104" s="85">
        <f t="shared" si="39"/>
        <v>0</v>
      </c>
    </row>
    <row r="105" spans="3:25" x14ac:dyDescent="0.3">
      <c r="C105" s="85">
        <f>SUM((('Worker Premium Calc'!I34*'Worker Premium Calc'!B34*'Worker Premium Calc'!K34*policy_term)/1000*$C$73)+SUM(('Worker Premium Calc'!I34*'Worker Premium Calc'!B34*'Worker Premium Calc'!L34*policy_term)/1000*$D$73)+SUM(('Worker Premium Calc'!I34*'Worker Premium Calc'!B34*'Worker Premium Calc'!M34*policy_term)/1000*$E$73))</f>
        <v>0</v>
      </c>
      <c r="D105" s="46">
        <f>SUM((('Worker Premium Calc'!J34*'Worker Premium Calc'!B34*'Worker Premium Calc'!N34*policy_term)/1000*$C$73)+SUM(('Worker Premium Calc'!J34*'Worker Premium Calc'!B34*'Worker Premium Calc'!O34*policy_term)/1000*$D$73)+SUM(('Worker Premium Calc'!J34*'Worker Premium Calc'!B34*'Worker Premium Calc'!P34*policy_term)/1000*$E$73))</f>
        <v>0</v>
      </c>
      <c r="E105" s="85">
        <f t="shared" si="32"/>
        <v>0</v>
      </c>
      <c r="F105" s="46">
        <f t="shared" si="25"/>
        <v>0</v>
      </c>
      <c r="G105" s="46">
        <f t="shared" si="26"/>
        <v>0</v>
      </c>
      <c r="H105" s="85">
        <f t="shared" si="27"/>
        <v>0</v>
      </c>
      <c r="I105" s="85">
        <f t="shared" si="33"/>
        <v>0</v>
      </c>
      <c r="K105" s="85">
        <f>SUM((('Worker Premium Calc'!I34*'Worker Premium Calc'!B34*'Worker Premium Calc'!K34*policy_term)/1000*$K$73)+SUM(('Worker Premium Calc'!I34*'Worker Premium Calc'!B34*'Worker Premium Calc'!L34*policy_term)/1000*$L$73)+SUM(('Worker Premium Calc'!I34*'Worker Premium Calc'!B34*'Worker Premium Calc'!M34*policy_term)/1000*$M$73))</f>
        <v>0</v>
      </c>
      <c r="L105" s="46">
        <f>SUM((('Worker Premium Calc'!J34*'Worker Premium Calc'!B34*'Worker Premium Calc'!N34*policy_term)/1000*$K$73)+SUM(('Worker Premium Calc'!J34*'Worker Premium Calc'!B34*'Worker Premium Calc'!O34*policy_term)/1000*$L$73)+SUM(('Worker Premium Calc'!J34*'Worker Premium Calc'!B34*'Worker Premium Calc'!P34*policy_term)/1000*$M$73))</f>
        <v>0</v>
      </c>
      <c r="M105" s="85">
        <f t="shared" si="34"/>
        <v>0</v>
      </c>
      <c r="N105" s="46">
        <f t="shared" si="28"/>
        <v>0</v>
      </c>
      <c r="O105" s="46">
        <f t="shared" si="35"/>
        <v>0</v>
      </c>
      <c r="P105" s="85">
        <f t="shared" si="36"/>
        <v>0</v>
      </c>
      <c r="Q105" s="85">
        <f t="shared" si="37"/>
        <v>0</v>
      </c>
      <c r="S105" s="85">
        <f>SUM((('Worker Premium Calc'!I34*'Worker Premium Calc'!B34*'Worker Premium Calc'!K34*policy_term)/1000*$S$73)+SUM(('Worker Premium Calc'!I34*'Worker Premium Calc'!B34*'Worker Premium Calc'!L34*policy_term)/1000*$T$73)+SUM(('Worker Premium Calc'!I34*'Worker Premium Calc'!B34*'Worker Premium Calc'!M34*policy_term)/1000*$U$73))</f>
        <v>0</v>
      </c>
      <c r="T105" s="46">
        <f>SUM((('Worker Premium Calc'!J34*'Worker Premium Calc'!B34*'Worker Premium Calc'!N34*policy_term)/1000*$S$73)+SUM(('Worker Premium Calc'!J34*'Worker Premium Calc'!B34*'Worker Premium Calc'!O34*policy_term)/1000*$T$73)+SUM(('Worker Premium Calc'!J34*'Worker Premium Calc'!B34*'Worker Premium Calc'!P34*policy_term)/1000*$U$73))</f>
        <v>0</v>
      </c>
      <c r="U105" s="85">
        <f t="shared" si="38"/>
        <v>0</v>
      </c>
      <c r="V105" s="85">
        <f t="shared" si="29"/>
        <v>0</v>
      </c>
      <c r="W105" s="46">
        <f t="shared" si="30"/>
        <v>0</v>
      </c>
      <c r="X105" s="85">
        <f t="shared" si="31"/>
        <v>0</v>
      </c>
      <c r="Y105" s="85">
        <f t="shared" si="39"/>
        <v>0</v>
      </c>
    </row>
    <row r="106" spans="3:25" x14ac:dyDescent="0.3">
      <c r="C106" s="85">
        <f>SUM((('Worker Premium Calc'!I35*'Worker Premium Calc'!B35*'Worker Premium Calc'!K35*policy_term)/1000*$C$73)+SUM(('Worker Premium Calc'!I35*'Worker Premium Calc'!B35*'Worker Premium Calc'!L35*policy_term)/1000*$D$73)+SUM(('Worker Premium Calc'!I35*'Worker Premium Calc'!B35*'Worker Premium Calc'!M35*policy_term)/1000*$E$73))</f>
        <v>0</v>
      </c>
      <c r="D106" s="46">
        <f>SUM((('Worker Premium Calc'!J35*'Worker Premium Calc'!B35*'Worker Premium Calc'!N35*policy_term)/1000*$C$73)+SUM(('Worker Premium Calc'!J35*'Worker Premium Calc'!B35*'Worker Premium Calc'!O35*policy_term)/1000*$D$73)+SUM(('Worker Premium Calc'!J35*'Worker Premium Calc'!B35*'Worker Premium Calc'!P35*policy_term)/1000*$E$73))</f>
        <v>0</v>
      </c>
      <c r="E106" s="85">
        <f t="shared" si="32"/>
        <v>0</v>
      </c>
      <c r="F106" s="46">
        <f t="shared" si="25"/>
        <v>0</v>
      </c>
      <c r="G106" s="46">
        <f t="shared" si="26"/>
        <v>0</v>
      </c>
      <c r="H106" s="85">
        <f t="shared" si="27"/>
        <v>0</v>
      </c>
      <c r="I106" s="85">
        <f t="shared" si="33"/>
        <v>0</v>
      </c>
      <c r="K106" s="85">
        <f>SUM((('Worker Premium Calc'!I35*'Worker Premium Calc'!B35*'Worker Premium Calc'!K35*policy_term)/1000*$K$73)+SUM(('Worker Premium Calc'!I35*'Worker Premium Calc'!B35*'Worker Premium Calc'!L35*policy_term)/1000*$L$73)+SUM(('Worker Premium Calc'!I35*'Worker Premium Calc'!B35*'Worker Premium Calc'!M35*policy_term)/1000*$M$73))</f>
        <v>0</v>
      </c>
      <c r="L106" s="46">
        <f>SUM((('Worker Premium Calc'!J35*'Worker Premium Calc'!B35*'Worker Premium Calc'!N35*policy_term)/1000*$K$73)+SUM(('Worker Premium Calc'!J35*'Worker Premium Calc'!B35*'Worker Premium Calc'!O35*policy_term)/1000*$L$73)+SUM(('Worker Premium Calc'!J35*'Worker Premium Calc'!B35*'Worker Premium Calc'!P35*policy_term)/1000*$M$73))</f>
        <v>0</v>
      </c>
      <c r="M106" s="85">
        <f t="shared" si="34"/>
        <v>0</v>
      </c>
      <c r="N106" s="46">
        <f t="shared" si="28"/>
        <v>0</v>
      </c>
      <c r="O106" s="46">
        <f t="shared" si="35"/>
        <v>0</v>
      </c>
      <c r="P106" s="85">
        <f t="shared" si="36"/>
        <v>0</v>
      </c>
      <c r="Q106" s="85">
        <f t="shared" si="37"/>
        <v>0</v>
      </c>
      <c r="S106" s="85">
        <f>SUM((('Worker Premium Calc'!I35*'Worker Premium Calc'!B35*'Worker Premium Calc'!K35*policy_term)/1000*$S$73)+SUM(('Worker Premium Calc'!I35*'Worker Premium Calc'!B35*'Worker Premium Calc'!L35*policy_term)/1000*$T$73)+SUM(('Worker Premium Calc'!I35*'Worker Premium Calc'!B35*'Worker Premium Calc'!M35*policy_term)/1000*$U$73))</f>
        <v>0</v>
      </c>
      <c r="T106" s="46">
        <f>SUM((('Worker Premium Calc'!J35*'Worker Premium Calc'!B35*'Worker Premium Calc'!N35*policy_term)/1000*$S$73)+SUM(('Worker Premium Calc'!J35*'Worker Premium Calc'!B35*'Worker Premium Calc'!O35*policy_term)/1000*$T$73)+SUM(('Worker Premium Calc'!J35*'Worker Premium Calc'!B35*'Worker Premium Calc'!P35*policy_term)/1000*$U$73))</f>
        <v>0</v>
      </c>
      <c r="U106" s="85">
        <f t="shared" si="38"/>
        <v>0</v>
      </c>
      <c r="V106" s="85">
        <f t="shared" si="29"/>
        <v>0</v>
      </c>
      <c r="W106" s="46">
        <f t="shared" si="30"/>
        <v>0</v>
      </c>
      <c r="X106" s="85">
        <f t="shared" si="31"/>
        <v>0</v>
      </c>
      <c r="Y106" s="85">
        <f t="shared" si="39"/>
        <v>0</v>
      </c>
    </row>
    <row r="107" spans="3:25" x14ac:dyDescent="0.3">
      <c r="C107" s="85">
        <f>SUM((('Worker Premium Calc'!I36*'Worker Premium Calc'!B36*'Worker Premium Calc'!K36*policy_term)/1000*$C$73)+SUM(('Worker Premium Calc'!I36*'Worker Premium Calc'!B36*'Worker Premium Calc'!L36*policy_term)/1000*$D$73)+SUM(('Worker Premium Calc'!I36*'Worker Premium Calc'!B36*'Worker Premium Calc'!M36*policy_term)/1000*$E$73))</f>
        <v>0</v>
      </c>
      <c r="D107" s="46">
        <f>SUM((('Worker Premium Calc'!J36*'Worker Premium Calc'!B36*'Worker Premium Calc'!N36*policy_term)/1000*$C$73)+SUM(('Worker Premium Calc'!J36*'Worker Premium Calc'!B36*'Worker Premium Calc'!O36*policy_term)/1000*$D$73)+SUM(('Worker Premium Calc'!J36*'Worker Premium Calc'!B36*'Worker Premium Calc'!P36*policy_term)/1000*$E$73))</f>
        <v>0</v>
      </c>
      <c r="E107" s="85">
        <f t="shared" si="32"/>
        <v>0</v>
      </c>
      <c r="F107" s="46">
        <f t="shared" si="25"/>
        <v>0</v>
      </c>
      <c r="G107" s="46">
        <f t="shared" si="26"/>
        <v>0</v>
      </c>
      <c r="H107" s="85">
        <f t="shared" si="27"/>
        <v>0</v>
      </c>
      <c r="I107" s="85">
        <f t="shared" si="33"/>
        <v>0</v>
      </c>
      <c r="K107" s="85">
        <f>SUM((('Worker Premium Calc'!I36*'Worker Premium Calc'!B36*'Worker Premium Calc'!K36*policy_term)/1000*$K$73)+SUM(('Worker Premium Calc'!I36*'Worker Premium Calc'!B36*'Worker Premium Calc'!L36*policy_term)/1000*$L$73)+SUM(('Worker Premium Calc'!I36*'Worker Premium Calc'!B36*'Worker Premium Calc'!M36*policy_term)/1000*$M$73))</f>
        <v>0</v>
      </c>
      <c r="L107" s="46">
        <f>SUM((('Worker Premium Calc'!J36*'Worker Premium Calc'!B36*'Worker Premium Calc'!N36*policy_term)/1000*$K$73)+SUM(('Worker Premium Calc'!J36*'Worker Premium Calc'!B36*'Worker Premium Calc'!O36*policy_term)/1000*$L$73)+SUM(('Worker Premium Calc'!J36*'Worker Premium Calc'!B36*'Worker Premium Calc'!P36*policy_term)/1000*$M$73))</f>
        <v>0</v>
      </c>
      <c r="M107" s="85">
        <f t="shared" si="34"/>
        <v>0</v>
      </c>
      <c r="N107" s="46">
        <f t="shared" si="28"/>
        <v>0</v>
      </c>
      <c r="O107" s="46">
        <f t="shared" si="35"/>
        <v>0</v>
      </c>
      <c r="P107" s="85">
        <f t="shared" si="36"/>
        <v>0</v>
      </c>
      <c r="Q107" s="85">
        <f t="shared" si="37"/>
        <v>0</v>
      </c>
      <c r="S107" s="85">
        <f>SUM((('Worker Premium Calc'!I36*'Worker Premium Calc'!B36*'Worker Premium Calc'!K36*policy_term)/1000*$S$73)+SUM(('Worker Premium Calc'!I36*'Worker Premium Calc'!B36*'Worker Premium Calc'!L36*policy_term)/1000*$T$73)+SUM(('Worker Premium Calc'!I36*'Worker Premium Calc'!B36*'Worker Premium Calc'!M36*policy_term)/1000*$U$73))</f>
        <v>0</v>
      </c>
      <c r="T107" s="46">
        <f>SUM((('Worker Premium Calc'!J36*'Worker Premium Calc'!B36*'Worker Premium Calc'!N36*policy_term)/1000*$S$73)+SUM(('Worker Premium Calc'!J36*'Worker Premium Calc'!B36*'Worker Premium Calc'!O36*policy_term)/1000*$T$73)+SUM(('Worker Premium Calc'!J36*'Worker Premium Calc'!B36*'Worker Premium Calc'!P36*policy_term)/1000*$U$73))</f>
        <v>0</v>
      </c>
      <c r="U107" s="85">
        <f t="shared" si="38"/>
        <v>0</v>
      </c>
      <c r="V107" s="85">
        <f t="shared" si="29"/>
        <v>0</v>
      </c>
      <c r="W107" s="46">
        <f t="shared" si="30"/>
        <v>0</v>
      </c>
      <c r="X107" s="85">
        <f t="shared" si="31"/>
        <v>0</v>
      </c>
      <c r="Y107" s="85">
        <f t="shared" si="39"/>
        <v>0</v>
      </c>
    </row>
    <row r="108" spans="3:25" x14ac:dyDescent="0.3">
      <c r="C108" s="85">
        <f>SUM((('Worker Premium Calc'!I37*'Worker Premium Calc'!B37*'Worker Premium Calc'!K37*policy_term)/1000*$C$73)+SUM(('Worker Premium Calc'!I37*'Worker Premium Calc'!B37*'Worker Premium Calc'!L37*policy_term)/1000*$D$73)+SUM(('Worker Premium Calc'!I37*'Worker Premium Calc'!B37*'Worker Premium Calc'!M37*policy_term)/1000*$E$73))</f>
        <v>0</v>
      </c>
      <c r="D108" s="46">
        <f>SUM((('Worker Premium Calc'!J37*'Worker Premium Calc'!B37*'Worker Premium Calc'!N37*policy_term)/1000*$C$73)+SUM(('Worker Premium Calc'!J37*'Worker Premium Calc'!B37*'Worker Premium Calc'!O37*policy_term)/1000*$D$73)+SUM(('Worker Premium Calc'!J37*'Worker Premium Calc'!B37*'Worker Premium Calc'!P37*policy_term)/1000*$E$73))</f>
        <v>0</v>
      </c>
      <c r="E108" s="85">
        <f t="shared" si="32"/>
        <v>0</v>
      </c>
      <c r="F108" s="46">
        <f t="shared" ref="F108:F125" si="40">IFERROR(ROUND((E108*(1+load_disc_perc)),5),0)</f>
        <v>0</v>
      </c>
      <c r="G108" s="46">
        <f t="shared" ref="G108:G125" si="41">ROUND((F108*medex_loading),3)</f>
        <v>0</v>
      </c>
      <c r="H108" s="85">
        <f t="shared" ref="H108:H125" si="42">ROUND((F108*od_loading),3)</f>
        <v>0</v>
      </c>
      <c r="I108" s="85">
        <f t="shared" si="33"/>
        <v>0</v>
      </c>
      <c r="K108" s="85">
        <f>SUM((('Worker Premium Calc'!I37*'Worker Premium Calc'!B37*'Worker Premium Calc'!K37*policy_term)/1000*$K$73)+SUM(('Worker Premium Calc'!I37*'Worker Premium Calc'!B37*'Worker Premium Calc'!L37*policy_term)/1000*$L$73)+SUM(('Worker Premium Calc'!I37*'Worker Premium Calc'!B37*'Worker Premium Calc'!M37*policy_term)/1000*$M$73))</f>
        <v>0</v>
      </c>
      <c r="L108" s="46">
        <f>SUM((('Worker Premium Calc'!J37*'Worker Premium Calc'!B37*'Worker Premium Calc'!N37*policy_term)/1000*$K$73)+SUM(('Worker Premium Calc'!J37*'Worker Premium Calc'!B37*'Worker Premium Calc'!O37*policy_term)/1000*$L$73)+SUM(('Worker Premium Calc'!J37*'Worker Premium Calc'!B37*'Worker Premium Calc'!P37*policy_term)/1000*$M$73))</f>
        <v>0</v>
      </c>
      <c r="M108" s="85">
        <f t="shared" si="34"/>
        <v>0</v>
      </c>
      <c r="N108" s="46">
        <f t="shared" ref="N108:N125" si="43">IFERROR(ROUND((M108*(1+load_disc_perc)),5),0)</f>
        <v>0</v>
      </c>
      <c r="O108" s="46">
        <f t="shared" ref="O108:O125" si="44">ROUND((N108*medex_loading),3)</f>
        <v>0</v>
      </c>
      <c r="P108" s="85">
        <f t="shared" ref="P108:P125" si="45">ROUND((N108*od_loading),3)</f>
        <v>0</v>
      </c>
      <c r="Q108" s="85">
        <f t="shared" si="37"/>
        <v>0</v>
      </c>
      <c r="S108" s="85">
        <f>SUM((('Worker Premium Calc'!I37*'Worker Premium Calc'!B37*'Worker Premium Calc'!K37*policy_term)/1000*$S$73)+SUM(('Worker Premium Calc'!I37*'Worker Premium Calc'!B37*'Worker Premium Calc'!L37*policy_term)/1000*$T$73)+SUM(('Worker Premium Calc'!I37*'Worker Premium Calc'!B37*'Worker Premium Calc'!M37*policy_term)/1000*$U$73))</f>
        <v>0</v>
      </c>
      <c r="T108" s="46">
        <f>SUM((('Worker Premium Calc'!J37*'Worker Premium Calc'!B37*'Worker Premium Calc'!N37*policy_term)/1000*$S$73)+SUM(('Worker Premium Calc'!J37*'Worker Premium Calc'!B37*'Worker Premium Calc'!O37*policy_term)/1000*$T$73)+SUM(('Worker Premium Calc'!J37*'Worker Premium Calc'!B37*'Worker Premium Calc'!P37*policy_term)/1000*$U$73))</f>
        <v>0</v>
      </c>
      <c r="U108" s="85">
        <f t="shared" si="38"/>
        <v>0</v>
      </c>
      <c r="V108" s="85">
        <f t="shared" ref="V108:V125" si="46">IFERROR(ROUND((U108*(1+load_disc_perc)),5),0)</f>
        <v>0</v>
      </c>
      <c r="W108" s="46">
        <f t="shared" ref="W108:W125" si="47">ROUND((V108*medex_loading),3)</f>
        <v>0</v>
      </c>
      <c r="X108" s="85">
        <f t="shared" ref="X108:X125" si="48">ROUND((V108*od_loading),3)</f>
        <v>0</v>
      </c>
      <c r="Y108" s="85">
        <f t="shared" si="39"/>
        <v>0</v>
      </c>
    </row>
    <row r="109" spans="3:25" x14ac:dyDescent="0.3">
      <c r="C109" s="85">
        <f>SUM((('Worker Premium Calc'!I38*'Worker Premium Calc'!B38*'Worker Premium Calc'!K38*policy_term)/1000*$C$73)+SUM(('Worker Premium Calc'!I38*'Worker Premium Calc'!B38*'Worker Premium Calc'!L38*policy_term)/1000*$D$73)+SUM(('Worker Premium Calc'!I38*'Worker Premium Calc'!B38*'Worker Premium Calc'!M38*policy_term)/1000*$E$73))</f>
        <v>0</v>
      </c>
      <c r="D109" s="46">
        <f>SUM((('Worker Premium Calc'!J38*'Worker Premium Calc'!B38*'Worker Premium Calc'!N38*policy_term)/1000*$C$73)+SUM(('Worker Premium Calc'!J38*'Worker Premium Calc'!B38*'Worker Premium Calc'!O38*policy_term)/1000*$D$73)+SUM(('Worker Premium Calc'!J38*'Worker Premium Calc'!B38*'Worker Premium Calc'!P38*policy_term)/1000*$E$73))</f>
        <v>0</v>
      </c>
      <c r="E109" s="85">
        <f t="shared" si="32"/>
        <v>0</v>
      </c>
      <c r="F109" s="46">
        <f t="shared" si="40"/>
        <v>0</v>
      </c>
      <c r="G109" s="46">
        <f t="shared" si="41"/>
        <v>0</v>
      </c>
      <c r="H109" s="85">
        <f t="shared" si="42"/>
        <v>0</v>
      </c>
      <c r="I109" s="85">
        <f t="shared" si="33"/>
        <v>0</v>
      </c>
      <c r="K109" s="85">
        <f>SUM((('Worker Premium Calc'!I38*'Worker Premium Calc'!B38*'Worker Premium Calc'!K38*policy_term)/1000*$K$73)+SUM(('Worker Premium Calc'!I38*'Worker Premium Calc'!B38*'Worker Premium Calc'!L38*policy_term)/1000*$L$73)+SUM(('Worker Premium Calc'!I38*'Worker Premium Calc'!B38*'Worker Premium Calc'!M38*policy_term)/1000*$M$73))</f>
        <v>0</v>
      </c>
      <c r="L109" s="46">
        <f>SUM((('Worker Premium Calc'!J38*'Worker Premium Calc'!B38*'Worker Premium Calc'!N38*policy_term)/1000*$K$73)+SUM(('Worker Premium Calc'!J38*'Worker Premium Calc'!B38*'Worker Premium Calc'!O38*policy_term)/1000*$L$73)+SUM(('Worker Premium Calc'!J38*'Worker Premium Calc'!B38*'Worker Premium Calc'!P38*policy_term)/1000*$M$73))</f>
        <v>0</v>
      </c>
      <c r="M109" s="85">
        <f t="shared" si="34"/>
        <v>0</v>
      </c>
      <c r="N109" s="46">
        <f t="shared" si="43"/>
        <v>0</v>
      </c>
      <c r="O109" s="46">
        <f t="shared" si="44"/>
        <v>0</v>
      </c>
      <c r="P109" s="85">
        <f t="shared" si="45"/>
        <v>0</v>
      </c>
      <c r="Q109" s="85">
        <f t="shared" si="37"/>
        <v>0</v>
      </c>
      <c r="S109" s="85">
        <f>SUM((('Worker Premium Calc'!I38*'Worker Premium Calc'!B38*'Worker Premium Calc'!K38*policy_term)/1000*$S$73)+SUM(('Worker Premium Calc'!I38*'Worker Premium Calc'!B38*'Worker Premium Calc'!L38*policy_term)/1000*$T$73)+SUM(('Worker Premium Calc'!I38*'Worker Premium Calc'!B38*'Worker Premium Calc'!M38*policy_term)/1000*$U$73))</f>
        <v>0</v>
      </c>
      <c r="T109" s="46">
        <f>SUM((('Worker Premium Calc'!J38*'Worker Premium Calc'!B38*'Worker Premium Calc'!N38*policy_term)/1000*$S$73)+SUM(('Worker Premium Calc'!J38*'Worker Premium Calc'!B38*'Worker Premium Calc'!O38*policy_term)/1000*$T$73)+SUM(('Worker Premium Calc'!J38*'Worker Premium Calc'!B38*'Worker Premium Calc'!P38*policy_term)/1000*$U$73))</f>
        <v>0</v>
      </c>
      <c r="U109" s="85">
        <f t="shared" si="38"/>
        <v>0</v>
      </c>
      <c r="V109" s="85">
        <f t="shared" si="46"/>
        <v>0</v>
      </c>
      <c r="W109" s="46">
        <f t="shared" si="47"/>
        <v>0</v>
      </c>
      <c r="X109" s="85">
        <f t="shared" si="48"/>
        <v>0</v>
      </c>
      <c r="Y109" s="85">
        <f t="shared" si="39"/>
        <v>0</v>
      </c>
    </row>
    <row r="110" spans="3:25" x14ac:dyDescent="0.3">
      <c r="C110" s="85">
        <f>SUM((('Worker Premium Calc'!I39*'Worker Premium Calc'!B39*'Worker Premium Calc'!K39*policy_term)/1000*$C$73)+SUM(('Worker Premium Calc'!I39*'Worker Premium Calc'!B39*'Worker Premium Calc'!L39*policy_term)/1000*$D$73)+SUM(('Worker Premium Calc'!I39*'Worker Premium Calc'!B39*'Worker Premium Calc'!M39*policy_term)/1000*$E$73))</f>
        <v>0</v>
      </c>
      <c r="D110" s="46">
        <f>SUM((('Worker Premium Calc'!J39*'Worker Premium Calc'!B39*'Worker Premium Calc'!N39*policy_term)/1000*$C$73)+SUM(('Worker Premium Calc'!J39*'Worker Premium Calc'!B39*'Worker Premium Calc'!O39*policy_term)/1000*$D$73)+SUM(('Worker Premium Calc'!J39*'Worker Premium Calc'!B39*'Worker Premium Calc'!P39*policy_term)/1000*$E$73))</f>
        <v>0</v>
      </c>
      <c r="E110" s="85">
        <f t="shared" si="32"/>
        <v>0</v>
      </c>
      <c r="F110" s="46">
        <f t="shared" si="40"/>
        <v>0</v>
      </c>
      <c r="G110" s="46">
        <f t="shared" si="41"/>
        <v>0</v>
      </c>
      <c r="H110" s="85">
        <f t="shared" si="42"/>
        <v>0</v>
      </c>
      <c r="I110" s="85">
        <f t="shared" si="33"/>
        <v>0</v>
      </c>
      <c r="K110" s="85">
        <f>SUM((('Worker Premium Calc'!I39*'Worker Premium Calc'!B39*'Worker Premium Calc'!K39*policy_term)/1000*$K$73)+SUM(('Worker Premium Calc'!I39*'Worker Premium Calc'!B39*'Worker Premium Calc'!L39*policy_term)/1000*$L$73)+SUM(('Worker Premium Calc'!I39*'Worker Premium Calc'!B39*'Worker Premium Calc'!M39*policy_term)/1000*$M$73))</f>
        <v>0</v>
      </c>
      <c r="L110" s="46">
        <f>SUM((('Worker Premium Calc'!J39*'Worker Premium Calc'!B39*'Worker Premium Calc'!N39*policy_term)/1000*$K$73)+SUM(('Worker Premium Calc'!J39*'Worker Premium Calc'!B39*'Worker Premium Calc'!O39*policy_term)/1000*$L$73)+SUM(('Worker Premium Calc'!J39*'Worker Premium Calc'!B39*'Worker Premium Calc'!P39*policy_term)/1000*$M$73))</f>
        <v>0</v>
      </c>
      <c r="M110" s="85">
        <f t="shared" si="34"/>
        <v>0</v>
      </c>
      <c r="N110" s="46">
        <f t="shared" si="43"/>
        <v>0</v>
      </c>
      <c r="O110" s="46">
        <f t="shared" si="44"/>
        <v>0</v>
      </c>
      <c r="P110" s="85">
        <f t="shared" si="45"/>
        <v>0</v>
      </c>
      <c r="Q110" s="85">
        <f t="shared" si="37"/>
        <v>0</v>
      </c>
      <c r="S110" s="85">
        <f>SUM((('Worker Premium Calc'!I39*'Worker Premium Calc'!B39*'Worker Premium Calc'!K39*policy_term)/1000*$S$73)+SUM(('Worker Premium Calc'!I39*'Worker Premium Calc'!B39*'Worker Premium Calc'!L39*policy_term)/1000*$T$73)+SUM(('Worker Premium Calc'!I39*'Worker Premium Calc'!B39*'Worker Premium Calc'!M39*policy_term)/1000*$U$73))</f>
        <v>0</v>
      </c>
      <c r="T110" s="46">
        <f>SUM((('Worker Premium Calc'!J39*'Worker Premium Calc'!B39*'Worker Premium Calc'!N39*policy_term)/1000*$S$73)+SUM(('Worker Premium Calc'!J39*'Worker Premium Calc'!B39*'Worker Premium Calc'!O39*policy_term)/1000*$T$73)+SUM(('Worker Premium Calc'!J39*'Worker Premium Calc'!B39*'Worker Premium Calc'!P39*policy_term)/1000*$U$73))</f>
        <v>0</v>
      </c>
      <c r="U110" s="85">
        <f t="shared" si="38"/>
        <v>0</v>
      </c>
      <c r="V110" s="85">
        <f t="shared" si="46"/>
        <v>0</v>
      </c>
      <c r="W110" s="46">
        <f t="shared" si="47"/>
        <v>0</v>
      </c>
      <c r="X110" s="85">
        <f t="shared" si="48"/>
        <v>0</v>
      </c>
      <c r="Y110" s="85">
        <f t="shared" si="39"/>
        <v>0</v>
      </c>
    </row>
    <row r="111" spans="3:25" x14ac:dyDescent="0.3">
      <c r="C111" s="85">
        <f>SUM((('Worker Premium Calc'!I40*'Worker Premium Calc'!B40*'Worker Premium Calc'!K40*policy_term)/1000*$C$73)+SUM(('Worker Premium Calc'!I40*'Worker Premium Calc'!B40*'Worker Premium Calc'!L40*policy_term)/1000*$D$73)+SUM(('Worker Premium Calc'!I40*'Worker Premium Calc'!B40*'Worker Premium Calc'!M40*policy_term)/1000*$E$73))</f>
        <v>0</v>
      </c>
      <c r="D111" s="46">
        <f>SUM((('Worker Premium Calc'!J40*'Worker Premium Calc'!B40*'Worker Premium Calc'!N40*policy_term)/1000*$C$73)+SUM(('Worker Premium Calc'!J40*'Worker Premium Calc'!B40*'Worker Premium Calc'!O40*policy_term)/1000*$D$73)+SUM(('Worker Premium Calc'!J40*'Worker Premium Calc'!B40*'Worker Premium Calc'!P40*policy_term)/1000*$E$73))</f>
        <v>0</v>
      </c>
      <c r="E111" s="85">
        <f t="shared" si="32"/>
        <v>0</v>
      </c>
      <c r="F111" s="46">
        <f t="shared" si="40"/>
        <v>0</v>
      </c>
      <c r="G111" s="46">
        <f t="shared" si="41"/>
        <v>0</v>
      </c>
      <c r="H111" s="85">
        <f t="shared" si="42"/>
        <v>0</v>
      </c>
      <c r="I111" s="85">
        <f t="shared" si="33"/>
        <v>0</v>
      </c>
      <c r="K111" s="85">
        <f>SUM((('Worker Premium Calc'!I40*'Worker Premium Calc'!B40*'Worker Premium Calc'!K40*policy_term)/1000*$K$73)+SUM(('Worker Premium Calc'!I40*'Worker Premium Calc'!B40*'Worker Premium Calc'!L40*policy_term)/1000*$L$73)+SUM(('Worker Premium Calc'!I40*'Worker Premium Calc'!B40*'Worker Premium Calc'!M40*policy_term)/1000*$M$73))</f>
        <v>0</v>
      </c>
      <c r="L111" s="46">
        <f>SUM((('Worker Premium Calc'!J40*'Worker Premium Calc'!B40*'Worker Premium Calc'!N40*policy_term)/1000*$K$73)+SUM(('Worker Premium Calc'!J40*'Worker Premium Calc'!B40*'Worker Premium Calc'!O40*policy_term)/1000*$L$73)+SUM(('Worker Premium Calc'!J40*'Worker Premium Calc'!B40*'Worker Premium Calc'!P40*policy_term)/1000*$M$73))</f>
        <v>0</v>
      </c>
      <c r="M111" s="85">
        <f t="shared" si="34"/>
        <v>0</v>
      </c>
      <c r="N111" s="46">
        <f t="shared" si="43"/>
        <v>0</v>
      </c>
      <c r="O111" s="46">
        <f t="shared" si="44"/>
        <v>0</v>
      </c>
      <c r="P111" s="85">
        <f t="shared" si="45"/>
        <v>0</v>
      </c>
      <c r="Q111" s="85">
        <f t="shared" si="37"/>
        <v>0</v>
      </c>
      <c r="S111" s="85">
        <f>SUM((('Worker Premium Calc'!I40*'Worker Premium Calc'!B40*'Worker Premium Calc'!K40*policy_term)/1000*$S$73)+SUM(('Worker Premium Calc'!I40*'Worker Premium Calc'!B40*'Worker Premium Calc'!L40*policy_term)/1000*$T$73)+SUM(('Worker Premium Calc'!I40*'Worker Premium Calc'!B40*'Worker Premium Calc'!M40*policy_term)/1000*$U$73))</f>
        <v>0</v>
      </c>
      <c r="T111" s="46">
        <f>SUM((('Worker Premium Calc'!J40*'Worker Premium Calc'!B40*'Worker Premium Calc'!N40*policy_term)/1000*$S$73)+SUM(('Worker Premium Calc'!J40*'Worker Premium Calc'!B40*'Worker Premium Calc'!O40*policy_term)/1000*$T$73)+SUM(('Worker Premium Calc'!J40*'Worker Premium Calc'!B40*'Worker Premium Calc'!P40*policy_term)/1000*$U$73))</f>
        <v>0</v>
      </c>
      <c r="U111" s="85">
        <f t="shared" si="38"/>
        <v>0</v>
      </c>
      <c r="V111" s="85">
        <f t="shared" si="46"/>
        <v>0</v>
      </c>
      <c r="W111" s="46">
        <f t="shared" si="47"/>
        <v>0</v>
      </c>
      <c r="X111" s="85">
        <f t="shared" si="48"/>
        <v>0</v>
      </c>
      <c r="Y111" s="85">
        <f t="shared" si="39"/>
        <v>0</v>
      </c>
    </row>
    <row r="112" spans="3:25" x14ac:dyDescent="0.3">
      <c r="C112" s="85">
        <f>SUM((('Worker Premium Calc'!I41*'Worker Premium Calc'!B41*'Worker Premium Calc'!K41*policy_term)/1000*$C$73)+SUM(('Worker Premium Calc'!I41*'Worker Premium Calc'!B41*'Worker Premium Calc'!L41*policy_term)/1000*$D$73)+SUM(('Worker Premium Calc'!I41*'Worker Premium Calc'!B41*'Worker Premium Calc'!M41*policy_term)/1000*$E$73))</f>
        <v>0</v>
      </c>
      <c r="D112" s="46">
        <f>SUM((('Worker Premium Calc'!J41*'Worker Premium Calc'!B41*'Worker Premium Calc'!N41*policy_term)/1000*$C$73)+SUM(('Worker Premium Calc'!J41*'Worker Premium Calc'!B41*'Worker Premium Calc'!O41*policy_term)/1000*$D$73)+SUM(('Worker Premium Calc'!J41*'Worker Premium Calc'!B41*'Worker Premium Calc'!P41*policy_term)/1000*$E$73))</f>
        <v>0</v>
      </c>
      <c r="E112" s="85">
        <f t="shared" si="32"/>
        <v>0</v>
      </c>
      <c r="F112" s="46">
        <f t="shared" si="40"/>
        <v>0</v>
      </c>
      <c r="G112" s="46">
        <f t="shared" si="41"/>
        <v>0</v>
      </c>
      <c r="H112" s="85">
        <f t="shared" si="42"/>
        <v>0</v>
      </c>
      <c r="I112" s="85">
        <f t="shared" si="33"/>
        <v>0</v>
      </c>
      <c r="K112" s="85">
        <f>SUM((('Worker Premium Calc'!I41*'Worker Premium Calc'!B41*'Worker Premium Calc'!K41*policy_term)/1000*$K$73)+SUM(('Worker Premium Calc'!I41*'Worker Premium Calc'!B41*'Worker Premium Calc'!L41*policy_term)/1000*$L$73)+SUM(('Worker Premium Calc'!I41*'Worker Premium Calc'!B41*'Worker Premium Calc'!M41*policy_term)/1000*$M$73))</f>
        <v>0</v>
      </c>
      <c r="L112" s="46">
        <f>SUM((('Worker Premium Calc'!J41*'Worker Premium Calc'!B41*'Worker Premium Calc'!N41*policy_term)/1000*$K$73)+SUM(('Worker Premium Calc'!J41*'Worker Premium Calc'!B41*'Worker Premium Calc'!O41*policy_term)/1000*$L$73)+SUM(('Worker Premium Calc'!J41*'Worker Premium Calc'!B41*'Worker Premium Calc'!P41*policy_term)/1000*$M$73))</f>
        <v>0</v>
      </c>
      <c r="M112" s="85">
        <f t="shared" si="34"/>
        <v>0</v>
      </c>
      <c r="N112" s="46">
        <f t="shared" si="43"/>
        <v>0</v>
      </c>
      <c r="O112" s="46">
        <f t="shared" si="44"/>
        <v>0</v>
      </c>
      <c r="P112" s="85">
        <f t="shared" si="45"/>
        <v>0</v>
      </c>
      <c r="Q112" s="85">
        <f t="shared" si="37"/>
        <v>0</v>
      </c>
      <c r="S112" s="85">
        <f>SUM((('Worker Premium Calc'!I41*'Worker Premium Calc'!B41*'Worker Premium Calc'!K41*policy_term)/1000*$S$73)+SUM(('Worker Premium Calc'!I41*'Worker Premium Calc'!B41*'Worker Premium Calc'!L41*policy_term)/1000*$T$73)+SUM(('Worker Premium Calc'!I41*'Worker Premium Calc'!B41*'Worker Premium Calc'!M41*policy_term)/1000*$U$73))</f>
        <v>0</v>
      </c>
      <c r="T112" s="46">
        <f>SUM((('Worker Premium Calc'!J41*'Worker Premium Calc'!B41*'Worker Premium Calc'!N41*policy_term)/1000*$S$73)+SUM(('Worker Premium Calc'!J41*'Worker Premium Calc'!B41*'Worker Premium Calc'!O41*policy_term)/1000*$T$73)+SUM(('Worker Premium Calc'!J41*'Worker Premium Calc'!B41*'Worker Premium Calc'!P41*policy_term)/1000*$U$73))</f>
        <v>0</v>
      </c>
      <c r="U112" s="85">
        <f t="shared" si="38"/>
        <v>0</v>
      </c>
      <c r="V112" s="85">
        <f t="shared" si="46"/>
        <v>0</v>
      </c>
      <c r="W112" s="46">
        <f t="shared" si="47"/>
        <v>0</v>
      </c>
      <c r="X112" s="85">
        <f t="shared" si="48"/>
        <v>0</v>
      </c>
      <c r="Y112" s="85">
        <f t="shared" si="39"/>
        <v>0</v>
      </c>
    </row>
    <row r="113" spans="3:25" x14ac:dyDescent="0.3">
      <c r="C113" s="85">
        <f>SUM((('Worker Premium Calc'!I42*'Worker Premium Calc'!B42*'Worker Premium Calc'!K42*policy_term)/1000*$C$73)+SUM(('Worker Premium Calc'!I42*'Worker Premium Calc'!B42*'Worker Premium Calc'!L42*policy_term)/1000*$D$73)+SUM(('Worker Premium Calc'!I42*'Worker Premium Calc'!B42*'Worker Premium Calc'!M42*policy_term)/1000*$E$73))</f>
        <v>0</v>
      </c>
      <c r="D113" s="46">
        <f>SUM((('Worker Premium Calc'!J42*'Worker Premium Calc'!B42*'Worker Premium Calc'!N42*policy_term)/1000*$C$73)+SUM(('Worker Premium Calc'!J42*'Worker Premium Calc'!B42*'Worker Premium Calc'!O42*policy_term)/1000*$D$73)+SUM(('Worker Premium Calc'!J42*'Worker Premium Calc'!B42*'Worker Premium Calc'!P42*policy_term)/1000*$E$73))</f>
        <v>0</v>
      </c>
      <c r="E113" s="85">
        <f t="shared" si="32"/>
        <v>0</v>
      </c>
      <c r="F113" s="46">
        <f t="shared" si="40"/>
        <v>0</v>
      </c>
      <c r="G113" s="46">
        <f t="shared" si="41"/>
        <v>0</v>
      </c>
      <c r="H113" s="85">
        <f t="shared" si="42"/>
        <v>0</v>
      </c>
      <c r="I113" s="85">
        <f t="shared" si="33"/>
        <v>0</v>
      </c>
      <c r="K113" s="85">
        <f>SUM((('Worker Premium Calc'!I42*'Worker Premium Calc'!B42*'Worker Premium Calc'!K42*policy_term)/1000*$K$73)+SUM(('Worker Premium Calc'!I42*'Worker Premium Calc'!B42*'Worker Premium Calc'!L42*policy_term)/1000*$L$73)+SUM(('Worker Premium Calc'!I42*'Worker Premium Calc'!B42*'Worker Premium Calc'!M42*policy_term)/1000*$M$73))</f>
        <v>0</v>
      </c>
      <c r="L113" s="46">
        <f>SUM((('Worker Premium Calc'!J42*'Worker Premium Calc'!B42*'Worker Premium Calc'!N42*policy_term)/1000*$K$73)+SUM(('Worker Premium Calc'!J42*'Worker Premium Calc'!B42*'Worker Premium Calc'!O42*policy_term)/1000*$L$73)+SUM(('Worker Premium Calc'!J42*'Worker Premium Calc'!B42*'Worker Premium Calc'!P42*policy_term)/1000*$M$73))</f>
        <v>0</v>
      </c>
      <c r="M113" s="85">
        <f t="shared" si="34"/>
        <v>0</v>
      </c>
      <c r="N113" s="46">
        <f t="shared" si="43"/>
        <v>0</v>
      </c>
      <c r="O113" s="46">
        <f t="shared" si="44"/>
        <v>0</v>
      </c>
      <c r="P113" s="85">
        <f t="shared" si="45"/>
        <v>0</v>
      </c>
      <c r="Q113" s="85">
        <f t="shared" si="37"/>
        <v>0</v>
      </c>
      <c r="S113" s="85">
        <f>SUM((('Worker Premium Calc'!I42*'Worker Premium Calc'!B42*'Worker Premium Calc'!K42*policy_term)/1000*$S$73)+SUM(('Worker Premium Calc'!I42*'Worker Premium Calc'!B42*'Worker Premium Calc'!L42*policy_term)/1000*$T$73)+SUM(('Worker Premium Calc'!I42*'Worker Premium Calc'!B42*'Worker Premium Calc'!M42*policy_term)/1000*$U$73))</f>
        <v>0</v>
      </c>
      <c r="T113" s="46">
        <f>SUM((('Worker Premium Calc'!J42*'Worker Premium Calc'!B42*'Worker Premium Calc'!N42*policy_term)/1000*$S$73)+SUM(('Worker Premium Calc'!J42*'Worker Premium Calc'!B42*'Worker Premium Calc'!O42*policy_term)/1000*$T$73)+SUM(('Worker Premium Calc'!J42*'Worker Premium Calc'!B42*'Worker Premium Calc'!P42*policy_term)/1000*$U$73))</f>
        <v>0</v>
      </c>
      <c r="U113" s="85">
        <f t="shared" si="38"/>
        <v>0</v>
      </c>
      <c r="V113" s="85">
        <f t="shared" si="46"/>
        <v>0</v>
      </c>
      <c r="W113" s="46">
        <f t="shared" si="47"/>
        <v>0</v>
      </c>
      <c r="X113" s="85">
        <f t="shared" si="48"/>
        <v>0</v>
      </c>
      <c r="Y113" s="85">
        <f t="shared" si="39"/>
        <v>0</v>
      </c>
    </row>
    <row r="114" spans="3:25" x14ac:dyDescent="0.3">
      <c r="C114" s="85">
        <f>SUM((('Worker Premium Calc'!I43*'Worker Premium Calc'!B43*'Worker Premium Calc'!K43*policy_term)/1000*$C$73)+SUM(('Worker Premium Calc'!I43*'Worker Premium Calc'!B43*'Worker Premium Calc'!L43*policy_term)/1000*$D$73)+SUM(('Worker Premium Calc'!I43*'Worker Premium Calc'!B43*'Worker Premium Calc'!M43*policy_term)/1000*$E$73))</f>
        <v>0</v>
      </c>
      <c r="D114" s="46">
        <f>SUM((('Worker Premium Calc'!J43*'Worker Premium Calc'!B43*'Worker Premium Calc'!N43*policy_term)/1000*$C$73)+SUM(('Worker Premium Calc'!J43*'Worker Premium Calc'!B43*'Worker Premium Calc'!O43*policy_term)/1000*$D$73)+SUM(('Worker Premium Calc'!J43*'Worker Premium Calc'!B43*'Worker Premium Calc'!P43*policy_term)/1000*$E$73))</f>
        <v>0</v>
      </c>
      <c r="E114" s="85">
        <f t="shared" si="32"/>
        <v>0</v>
      </c>
      <c r="F114" s="46">
        <f t="shared" si="40"/>
        <v>0</v>
      </c>
      <c r="G114" s="46">
        <f t="shared" si="41"/>
        <v>0</v>
      </c>
      <c r="H114" s="85">
        <f t="shared" si="42"/>
        <v>0</v>
      </c>
      <c r="I114" s="85">
        <f t="shared" si="33"/>
        <v>0</v>
      </c>
      <c r="K114" s="85">
        <f>SUM((('Worker Premium Calc'!I43*'Worker Premium Calc'!B43*'Worker Premium Calc'!K43*policy_term)/1000*$K$73)+SUM(('Worker Premium Calc'!I43*'Worker Premium Calc'!B43*'Worker Premium Calc'!L43*policy_term)/1000*$L$73)+SUM(('Worker Premium Calc'!I43*'Worker Premium Calc'!B43*'Worker Premium Calc'!M43*policy_term)/1000*$M$73))</f>
        <v>0</v>
      </c>
      <c r="L114" s="46">
        <f>SUM((('Worker Premium Calc'!J43*'Worker Premium Calc'!B43*'Worker Premium Calc'!N43*policy_term)/1000*$K$73)+SUM(('Worker Premium Calc'!J43*'Worker Premium Calc'!B43*'Worker Premium Calc'!O43*policy_term)/1000*$L$73)+SUM(('Worker Premium Calc'!J43*'Worker Premium Calc'!B43*'Worker Premium Calc'!P43*policy_term)/1000*$M$73))</f>
        <v>0</v>
      </c>
      <c r="M114" s="85">
        <f t="shared" si="34"/>
        <v>0</v>
      </c>
      <c r="N114" s="46">
        <f t="shared" si="43"/>
        <v>0</v>
      </c>
      <c r="O114" s="46">
        <f t="shared" si="44"/>
        <v>0</v>
      </c>
      <c r="P114" s="85">
        <f t="shared" si="45"/>
        <v>0</v>
      </c>
      <c r="Q114" s="85">
        <f t="shared" si="37"/>
        <v>0</v>
      </c>
      <c r="S114" s="85">
        <f>SUM((('Worker Premium Calc'!I43*'Worker Premium Calc'!B43*'Worker Premium Calc'!K43*policy_term)/1000*$S$73)+SUM(('Worker Premium Calc'!I43*'Worker Premium Calc'!B43*'Worker Premium Calc'!L43*policy_term)/1000*$T$73)+SUM(('Worker Premium Calc'!I43*'Worker Premium Calc'!B43*'Worker Premium Calc'!M43*policy_term)/1000*$U$73))</f>
        <v>0</v>
      </c>
      <c r="T114" s="46">
        <f>SUM((('Worker Premium Calc'!J43*'Worker Premium Calc'!B43*'Worker Premium Calc'!N43*policy_term)/1000*$S$73)+SUM(('Worker Premium Calc'!J43*'Worker Premium Calc'!B43*'Worker Premium Calc'!O43*policy_term)/1000*$T$73)+SUM(('Worker Premium Calc'!J43*'Worker Premium Calc'!B43*'Worker Premium Calc'!P43*policy_term)/1000*$U$73))</f>
        <v>0</v>
      </c>
      <c r="U114" s="85">
        <f t="shared" si="38"/>
        <v>0</v>
      </c>
      <c r="V114" s="85">
        <f t="shared" si="46"/>
        <v>0</v>
      </c>
      <c r="W114" s="46">
        <f t="shared" si="47"/>
        <v>0</v>
      </c>
      <c r="X114" s="85">
        <f t="shared" si="48"/>
        <v>0</v>
      </c>
      <c r="Y114" s="85">
        <f t="shared" si="39"/>
        <v>0</v>
      </c>
    </row>
    <row r="115" spans="3:25" x14ac:dyDescent="0.3">
      <c r="C115" s="85">
        <f>SUM((('Worker Premium Calc'!I44*'Worker Premium Calc'!B44*'Worker Premium Calc'!K44*policy_term)/1000*$C$73)+SUM(('Worker Premium Calc'!I44*'Worker Premium Calc'!B44*'Worker Premium Calc'!L44*policy_term)/1000*$D$73)+SUM(('Worker Premium Calc'!I44*'Worker Premium Calc'!B44*'Worker Premium Calc'!M44*policy_term)/1000*$E$73))</f>
        <v>0</v>
      </c>
      <c r="D115" s="46">
        <f>SUM((('Worker Premium Calc'!J44*'Worker Premium Calc'!B44*'Worker Premium Calc'!N44*policy_term)/1000*$C$73)+SUM(('Worker Premium Calc'!J44*'Worker Premium Calc'!B44*'Worker Premium Calc'!O44*policy_term)/1000*$D$73)+SUM(('Worker Premium Calc'!J44*'Worker Premium Calc'!B44*'Worker Premium Calc'!P44*policy_term)/1000*$E$73))</f>
        <v>0</v>
      </c>
      <c r="E115" s="85">
        <f t="shared" si="32"/>
        <v>0</v>
      </c>
      <c r="F115" s="46">
        <f t="shared" si="40"/>
        <v>0</v>
      </c>
      <c r="G115" s="46">
        <f t="shared" si="41"/>
        <v>0</v>
      </c>
      <c r="H115" s="85">
        <f t="shared" si="42"/>
        <v>0</v>
      </c>
      <c r="I115" s="85">
        <f t="shared" si="33"/>
        <v>0</v>
      </c>
      <c r="K115" s="85">
        <f>SUM((('Worker Premium Calc'!I44*'Worker Premium Calc'!B44*'Worker Premium Calc'!K44*policy_term)/1000*$K$73)+SUM(('Worker Premium Calc'!I44*'Worker Premium Calc'!B44*'Worker Premium Calc'!L44*policy_term)/1000*$L$73)+SUM(('Worker Premium Calc'!I44*'Worker Premium Calc'!B44*'Worker Premium Calc'!M44*policy_term)/1000*$M$73))</f>
        <v>0</v>
      </c>
      <c r="L115" s="46">
        <f>SUM((('Worker Premium Calc'!J44*'Worker Premium Calc'!B44*'Worker Premium Calc'!N44*policy_term)/1000*$K$73)+SUM(('Worker Premium Calc'!J44*'Worker Premium Calc'!B44*'Worker Premium Calc'!O44*policy_term)/1000*$L$73)+SUM(('Worker Premium Calc'!J44*'Worker Premium Calc'!B44*'Worker Premium Calc'!P44*policy_term)/1000*$M$73))</f>
        <v>0</v>
      </c>
      <c r="M115" s="85">
        <f t="shared" si="34"/>
        <v>0</v>
      </c>
      <c r="N115" s="46">
        <f t="shared" si="43"/>
        <v>0</v>
      </c>
      <c r="O115" s="46">
        <f t="shared" si="44"/>
        <v>0</v>
      </c>
      <c r="P115" s="85">
        <f t="shared" si="45"/>
        <v>0</v>
      </c>
      <c r="Q115" s="85">
        <f t="shared" si="37"/>
        <v>0</v>
      </c>
      <c r="S115" s="85">
        <f>SUM((('Worker Premium Calc'!I44*'Worker Premium Calc'!B44*'Worker Premium Calc'!K44*policy_term)/1000*$S$73)+SUM(('Worker Premium Calc'!I44*'Worker Premium Calc'!B44*'Worker Premium Calc'!L44*policy_term)/1000*$T$73)+SUM(('Worker Premium Calc'!I44*'Worker Premium Calc'!B44*'Worker Premium Calc'!M44*policy_term)/1000*$U$73))</f>
        <v>0</v>
      </c>
      <c r="T115" s="46">
        <f>SUM((('Worker Premium Calc'!J44*'Worker Premium Calc'!B44*'Worker Premium Calc'!N44*policy_term)/1000*$S$73)+SUM(('Worker Premium Calc'!J44*'Worker Premium Calc'!B44*'Worker Premium Calc'!O44*policy_term)/1000*$T$73)+SUM(('Worker Premium Calc'!J44*'Worker Premium Calc'!B44*'Worker Premium Calc'!P44*policy_term)/1000*$U$73))</f>
        <v>0</v>
      </c>
      <c r="U115" s="85">
        <f t="shared" si="38"/>
        <v>0</v>
      </c>
      <c r="V115" s="85">
        <f t="shared" si="46"/>
        <v>0</v>
      </c>
      <c r="W115" s="46">
        <f t="shared" si="47"/>
        <v>0</v>
      </c>
      <c r="X115" s="85">
        <f t="shared" si="48"/>
        <v>0</v>
      </c>
      <c r="Y115" s="85">
        <f t="shared" si="39"/>
        <v>0</v>
      </c>
    </row>
    <row r="116" spans="3:25" x14ac:dyDescent="0.3">
      <c r="C116" s="85">
        <f>SUM((('Worker Premium Calc'!I45*'Worker Premium Calc'!B45*'Worker Premium Calc'!K45*policy_term)/1000*$C$73)+SUM(('Worker Premium Calc'!I45*'Worker Premium Calc'!B45*'Worker Premium Calc'!L45*policy_term)/1000*$D$73)+SUM(('Worker Premium Calc'!I45*'Worker Premium Calc'!B45*'Worker Premium Calc'!M45*policy_term)/1000*$E$73))</f>
        <v>0</v>
      </c>
      <c r="D116" s="46">
        <f>SUM((('Worker Premium Calc'!J45*'Worker Premium Calc'!B45*'Worker Premium Calc'!N45*policy_term)/1000*$C$73)+SUM(('Worker Premium Calc'!J45*'Worker Premium Calc'!B45*'Worker Premium Calc'!O45*policy_term)/1000*$D$73)+SUM(('Worker Premium Calc'!J45*'Worker Premium Calc'!B45*'Worker Premium Calc'!P45*policy_term)/1000*$E$73))</f>
        <v>0</v>
      </c>
      <c r="E116" s="85">
        <f t="shared" si="32"/>
        <v>0</v>
      </c>
      <c r="F116" s="46">
        <f t="shared" si="40"/>
        <v>0</v>
      </c>
      <c r="G116" s="46">
        <f t="shared" si="41"/>
        <v>0</v>
      </c>
      <c r="H116" s="85">
        <f t="shared" si="42"/>
        <v>0</v>
      </c>
      <c r="I116" s="85">
        <f t="shared" si="33"/>
        <v>0</v>
      </c>
      <c r="K116" s="85">
        <f>SUM((('Worker Premium Calc'!I45*'Worker Premium Calc'!B45*'Worker Premium Calc'!K45*policy_term)/1000*$K$73)+SUM(('Worker Premium Calc'!I45*'Worker Premium Calc'!B45*'Worker Premium Calc'!L45*policy_term)/1000*$L$73)+SUM(('Worker Premium Calc'!I45*'Worker Premium Calc'!B45*'Worker Premium Calc'!M45*policy_term)/1000*$M$73))</f>
        <v>0</v>
      </c>
      <c r="L116" s="46">
        <f>SUM((('Worker Premium Calc'!J45*'Worker Premium Calc'!B45*'Worker Premium Calc'!N45*policy_term)/1000*$K$73)+SUM(('Worker Premium Calc'!J45*'Worker Premium Calc'!B45*'Worker Premium Calc'!O45*policy_term)/1000*$L$73)+SUM(('Worker Premium Calc'!J45*'Worker Premium Calc'!B45*'Worker Premium Calc'!P45*policy_term)/1000*$M$73))</f>
        <v>0</v>
      </c>
      <c r="M116" s="85">
        <f t="shared" si="34"/>
        <v>0</v>
      </c>
      <c r="N116" s="46">
        <f t="shared" si="43"/>
        <v>0</v>
      </c>
      <c r="O116" s="46">
        <f t="shared" si="44"/>
        <v>0</v>
      </c>
      <c r="P116" s="85">
        <f t="shared" si="45"/>
        <v>0</v>
      </c>
      <c r="Q116" s="85">
        <f t="shared" si="37"/>
        <v>0</v>
      </c>
      <c r="S116" s="85">
        <f>SUM((('Worker Premium Calc'!I45*'Worker Premium Calc'!B45*'Worker Premium Calc'!K45*policy_term)/1000*$S$73)+SUM(('Worker Premium Calc'!I45*'Worker Premium Calc'!B45*'Worker Premium Calc'!L45*policy_term)/1000*$T$73)+SUM(('Worker Premium Calc'!I45*'Worker Premium Calc'!B45*'Worker Premium Calc'!M45*policy_term)/1000*$U$73))</f>
        <v>0</v>
      </c>
      <c r="T116" s="46">
        <f>SUM((('Worker Premium Calc'!J45*'Worker Premium Calc'!B45*'Worker Premium Calc'!N45*policy_term)/1000*$S$73)+SUM(('Worker Premium Calc'!J45*'Worker Premium Calc'!B45*'Worker Premium Calc'!O45*policy_term)/1000*$T$73)+SUM(('Worker Premium Calc'!J45*'Worker Premium Calc'!B45*'Worker Premium Calc'!P45*policy_term)/1000*$U$73))</f>
        <v>0</v>
      </c>
      <c r="U116" s="85">
        <f t="shared" si="38"/>
        <v>0</v>
      </c>
      <c r="V116" s="85">
        <f t="shared" si="46"/>
        <v>0</v>
      </c>
      <c r="W116" s="46">
        <f t="shared" si="47"/>
        <v>0</v>
      </c>
      <c r="X116" s="85">
        <f t="shared" si="48"/>
        <v>0</v>
      </c>
      <c r="Y116" s="85">
        <f t="shared" si="39"/>
        <v>0</v>
      </c>
    </row>
    <row r="117" spans="3:25" x14ac:dyDescent="0.3">
      <c r="C117" s="85">
        <f>SUM((('Worker Premium Calc'!I46*'Worker Premium Calc'!B46*'Worker Premium Calc'!K46*policy_term)/1000*$C$73)+SUM(('Worker Premium Calc'!I46*'Worker Premium Calc'!B46*'Worker Premium Calc'!L46*policy_term)/1000*$D$73)+SUM(('Worker Premium Calc'!I46*'Worker Premium Calc'!B46*'Worker Premium Calc'!M46*policy_term)/1000*$E$73))</f>
        <v>0</v>
      </c>
      <c r="D117" s="46">
        <f>SUM((('Worker Premium Calc'!J46*'Worker Premium Calc'!B46*'Worker Premium Calc'!N46*policy_term)/1000*$C$73)+SUM(('Worker Premium Calc'!J46*'Worker Premium Calc'!B46*'Worker Premium Calc'!O46*policy_term)/1000*$D$73)+SUM(('Worker Premium Calc'!J46*'Worker Premium Calc'!B46*'Worker Premium Calc'!P46*policy_term)/1000*$E$73))</f>
        <v>0</v>
      </c>
      <c r="E117" s="85">
        <f t="shared" si="32"/>
        <v>0</v>
      </c>
      <c r="F117" s="46">
        <f t="shared" si="40"/>
        <v>0</v>
      </c>
      <c r="G117" s="46">
        <f t="shared" si="41"/>
        <v>0</v>
      </c>
      <c r="H117" s="85">
        <f t="shared" si="42"/>
        <v>0</v>
      </c>
      <c r="I117" s="85">
        <f t="shared" si="33"/>
        <v>0</v>
      </c>
      <c r="K117" s="85">
        <f>SUM((('Worker Premium Calc'!I46*'Worker Premium Calc'!B46*'Worker Premium Calc'!K46*policy_term)/1000*$K$73)+SUM(('Worker Premium Calc'!I46*'Worker Premium Calc'!B46*'Worker Premium Calc'!L46*policy_term)/1000*$L$73)+SUM(('Worker Premium Calc'!I46*'Worker Premium Calc'!B46*'Worker Premium Calc'!M46*policy_term)/1000*$M$73))</f>
        <v>0</v>
      </c>
      <c r="L117" s="46">
        <f>SUM((('Worker Premium Calc'!J46*'Worker Premium Calc'!B46*'Worker Premium Calc'!N46*policy_term)/1000*$K$73)+SUM(('Worker Premium Calc'!J46*'Worker Premium Calc'!B46*'Worker Premium Calc'!O46*policy_term)/1000*$L$73)+SUM(('Worker Premium Calc'!J46*'Worker Premium Calc'!B46*'Worker Premium Calc'!P46*policy_term)/1000*$M$73))</f>
        <v>0</v>
      </c>
      <c r="M117" s="85">
        <f t="shared" si="34"/>
        <v>0</v>
      </c>
      <c r="N117" s="46">
        <f t="shared" si="43"/>
        <v>0</v>
      </c>
      <c r="O117" s="46">
        <f t="shared" si="44"/>
        <v>0</v>
      </c>
      <c r="P117" s="85">
        <f t="shared" si="45"/>
        <v>0</v>
      </c>
      <c r="Q117" s="85">
        <f t="shared" si="37"/>
        <v>0</v>
      </c>
      <c r="S117" s="85">
        <f>SUM((('Worker Premium Calc'!I46*'Worker Premium Calc'!B46*'Worker Premium Calc'!K46*policy_term)/1000*$S$73)+SUM(('Worker Premium Calc'!I46*'Worker Premium Calc'!B46*'Worker Premium Calc'!L46*policy_term)/1000*$T$73)+SUM(('Worker Premium Calc'!I46*'Worker Premium Calc'!B46*'Worker Premium Calc'!M46*policy_term)/1000*$U$73))</f>
        <v>0</v>
      </c>
      <c r="T117" s="46">
        <f>SUM((('Worker Premium Calc'!J46*'Worker Premium Calc'!B46*'Worker Premium Calc'!N46*policy_term)/1000*$S$73)+SUM(('Worker Premium Calc'!J46*'Worker Premium Calc'!B46*'Worker Premium Calc'!O46*policy_term)/1000*$T$73)+SUM(('Worker Premium Calc'!J46*'Worker Premium Calc'!B46*'Worker Premium Calc'!P46*policy_term)/1000*$U$73))</f>
        <v>0</v>
      </c>
      <c r="U117" s="85">
        <f t="shared" si="38"/>
        <v>0</v>
      </c>
      <c r="V117" s="85">
        <f t="shared" si="46"/>
        <v>0</v>
      </c>
      <c r="W117" s="46">
        <f t="shared" si="47"/>
        <v>0</v>
      </c>
      <c r="X117" s="85">
        <f t="shared" si="48"/>
        <v>0</v>
      </c>
      <c r="Y117" s="85">
        <f t="shared" si="39"/>
        <v>0</v>
      </c>
    </row>
    <row r="118" spans="3:25" x14ac:dyDescent="0.3">
      <c r="C118" s="85">
        <f>SUM((('Worker Premium Calc'!I47*'Worker Premium Calc'!B47*'Worker Premium Calc'!K47*policy_term)/1000*$C$73)+SUM(('Worker Premium Calc'!I47*'Worker Premium Calc'!B47*'Worker Premium Calc'!L47*policy_term)/1000*$D$73)+SUM(('Worker Premium Calc'!I47*'Worker Premium Calc'!B47*'Worker Premium Calc'!M47*policy_term)/1000*$E$73))</f>
        <v>0</v>
      </c>
      <c r="D118" s="46">
        <f>SUM((('Worker Premium Calc'!J47*'Worker Premium Calc'!B47*'Worker Premium Calc'!N47*policy_term)/1000*$C$73)+SUM(('Worker Premium Calc'!J47*'Worker Premium Calc'!B47*'Worker Premium Calc'!O47*policy_term)/1000*$D$73)+SUM(('Worker Premium Calc'!J47*'Worker Premium Calc'!B47*'Worker Premium Calc'!P47*policy_term)/1000*$E$73))</f>
        <v>0</v>
      </c>
      <c r="E118" s="85">
        <f t="shared" si="32"/>
        <v>0</v>
      </c>
      <c r="F118" s="46">
        <f t="shared" si="40"/>
        <v>0</v>
      </c>
      <c r="G118" s="46">
        <f t="shared" si="41"/>
        <v>0</v>
      </c>
      <c r="H118" s="85">
        <f t="shared" si="42"/>
        <v>0</v>
      </c>
      <c r="I118" s="85">
        <f t="shared" si="33"/>
        <v>0</v>
      </c>
      <c r="K118" s="85">
        <f>SUM((('Worker Premium Calc'!I47*'Worker Premium Calc'!B47*'Worker Premium Calc'!K47*policy_term)/1000*$K$73)+SUM(('Worker Premium Calc'!I47*'Worker Premium Calc'!B47*'Worker Premium Calc'!L47*policy_term)/1000*$L$73)+SUM(('Worker Premium Calc'!I47*'Worker Premium Calc'!B47*'Worker Premium Calc'!M47*policy_term)/1000*$M$73))</f>
        <v>0</v>
      </c>
      <c r="L118" s="46">
        <f>SUM((('Worker Premium Calc'!J47*'Worker Premium Calc'!B47*'Worker Premium Calc'!N47*policy_term)/1000*$K$73)+SUM(('Worker Premium Calc'!J47*'Worker Premium Calc'!B47*'Worker Premium Calc'!O47*policy_term)/1000*$L$73)+SUM(('Worker Premium Calc'!J47*'Worker Premium Calc'!B47*'Worker Premium Calc'!P47*policy_term)/1000*$M$73))</f>
        <v>0</v>
      </c>
      <c r="M118" s="85">
        <f t="shared" si="34"/>
        <v>0</v>
      </c>
      <c r="N118" s="46">
        <f t="shared" si="43"/>
        <v>0</v>
      </c>
      <c r="O118" s="46">
        <f t="shared" si="44"/>
        <v>0</v>
      </c>
      <c r="P118" s="85">
        <f t="shared" si="45"/>
        <v>0</v>
      </c>
      <c r="Q118" s="85">
        <f t="shared" si="37"/>
        <v>0</v>
      </c>
      <c r="S118" s="85">
        <f>SUM((('Worker Premium Calc'!I47*'Worker Premium Calc'!B47*'Worker Premium Calc'!K47*policy_term)/1000*$S$73)+SUM(('Worker Premium Calc'!I47*'Worker Premium Calc'!B47*'Worker Premium Calc'!L47*policy_term)/1000*$T$73)+SUM(('Worker Premium Calc'!I47*'Worker Premium Calc'!B47*'Worker Premium Calc'!M47*policy_term)/1000*$U$73))</f>
        <v>0</v>
      </c>
      <c r="T118" s="46">
        <f>SUM((('Worker Premium Calc'!J47*'Worker Premium Calc'!B47*'Worker Premium Calc'!N47*policy_term)/1000*$S$73)+SUM(('Worker Premium Calc'!J47*'Worker Premium Calc'!B47*'Worker Premium Calc'!O47*policy_term)/1000*$T$73)+SUM(('Worker Premium Calc'!J47*'Worker Premium Calc'!B47*'Worker Premium Calc'!P47*policy_term)/1000*$U$73))</f>
        <v>0</v>
      </c>
      <c r="U118" s="85">
        <f t="shared" si="38"/>
        <v>0</v>
      </c>
      <c r="V118" s="85">
        <f t="shared" si="46"/>
        <v>0</v>
      </c>
      <c r="W118" s="46">
        <f t="shared" si="47"/>
        <v>0</v>
      </c>
      <c r="X118" s="85">
        <f t="shared" si="48"/>
        <v>0</v>
      </c>
      <c r="Y118" s="85">
        <f t="shared" si="39"/>
        <v>0</v>
      </c>
    </row>
    <row r="119" spans="3:25" x14ac:dyDescent="0.3">
      <c r="C119" s="85">
        <f>SUM((('Worker Premium Calc'!I48*'Worker Premium Calc'!B48*'Worker Premium Calc'!K48*policy_term)/1000*$C$73)+SUM(('Worker Premium Calc'!I48*'Worker Premium Calc'!B48*'Worker Premium Calc'!L48*policy_term)/1000*$D$73)+SUM(('Worker Premium Calc'!I48*'Worker Premium Calc'!B48*'Worker Premium Calc'!M48*policy_term)/1000*$E$73))</f>
        <v>0</v>
      </c>
      <c r="D119" s="46">
        <f>SUM((('Worker Premium Calc'!J48*'Worker Premium Calc'!B48*'Worker Premium Calc'!N48*policy_term)/1000*$C$73)+SUM(('Worker Premium Calc'!J48*'Worker Premium Calc'!B48*'Worker Premium Calc'!O48*policy_term)/1000*$D$73)+SUM(('Worker Premium Calc'!J48*'Worker Premium Calc'!B48*'Worker Premium Calc'!P48*policy_term)/1000*$E$73))</f>
        <v>0</v>
      </c>
      <c r="E119" s="85">
        <f t="shared" si="32"/>
        <v>0</v>
      </c>
      <c r="F119" s="46">
        <f t="shared" si="40"/>
        <v>0</v>
      </c>
      <c r="G119" s="46">
        <f t="shared" si="41"/>
        <v>0</v>
      </c>
      <c r="H119" s="85">
        <f t="shared" si="42"/>
        <v>0</v>
      </c>
      <c r="I119" s="85">
        <f t="shared" si="33"/>
        <v>0</v>
      </c>
      <c r="K119" s="85">
        <f>SUM((('Worker Premium Calc'!I48*'Worker Premium Calc'!B48*'Worker Premium Calc'!K48*policy_term)/1000*$K$73)+SUM(('Worker Premium Calc'!I48*'Worker Premium Calc'!B48*'Worker Premium Calc'!L48*policy_term)/1000*$L$73)+SUM(('Worker Premium Calc'!I48*'Worker Premium Calc'!B48*'Worker Premium Calc'!M48*policy_term)/1000*$M$73))</f>
        <v>0</v>
      </c>
      <c r="L119" s="46">
        <f>SUM((('Worker Premium Calc'!J48*'Worker Premium Calc'!B48*'Worker Premium Calc'!N48*policy_term)/1000*$K$73)+SUM(('Worker Premium Calc'!J48*'Worker Premium Calc'!B48*'Worker Premium Calc'!O48*policy_term)/1000*$L$73)+SUM(('Worker Premium Calc'!J48*'Worker Premium Calc'!B48*'Worker Premium Calc'!P48*policy_term)/1000*$M$73))</f>
        <v>0</v>
      </c>
      <c r="M119" s="85">
        <f t="shared" si="34"/>
        <v>0</v>
      </c>
      <c r="N119" s="46">
        <f t="shared" si="43"/>
        <v>0</v>
      </c>
      <c r="O119" s="46">
        <f t="shared" si="44"/>
        <v>0</v>
      </c>
      <c r="P119" s="85">
        <f t="shared" si="45"/>
        <v>0</v>
      </c>
      <c r="Q119" s="85">
        <f t="shared" si="37"/>
        <v>0</v>
      </c>
      <c r="S119" s="85">
        <f>SUM((('Worker Premium Calc'!I48*'Worker Premium Calc'!B48*'Worker Premium Calc'!K48*policy_term)/1000*$S$73)+SUM(('Worker Premium Calc'!I48*'Worker Premium Calc'!B48*'Worker Premium Calc'!L48*policy_term)/1000*$T$73)+SUM(('Worker Premium Calc'!I48*'Worker Premium Calc'!B48*'Worker Premium Calc'!M48*policy_term)/1000*$U$73))</f>
        <v>0</v>
      </c>
      <c r="T119" s="46">
        <f>SUM((('Worker Premium Calc'!J48*'Worker Premium Calc'!B48*'Worker Premium Calc'!N48*policy_term)/1000*$S$73)+SUM(('Worker Premium Calc'!J48*'Worker Premium Calc'!B48*'Worker Premium Calc'!O48*policy_term)/1000*$T$73)+SUM(('Worker Premium Calc'!J48*'Worker Premium Calc'!B48*'Worker Premium Calc'!P48*policy_term)/1000*$U$73))</f>
        <v>0</v>
      </c>
      <c r="U119" s="85">
        <f t="shared" si="38"/>
        <v>0</v>
      </c>
      <c r="V119" s="85">
        <f t="shared" si="46"/>
        <v>0</v>
      </c>
      <c r="W119" s="46">
        <f t="shared" si="47"/>
        <v>0</v>
      </c>
      <c r="X119" s="85">
        <f t="shared" si="48"/>
        <v>0</v>
      </c>
      <c r="Y119" s="85">
        <f t="shared" si="39"/>
        <v>0</v>
      </c>
    </row>
    <row r="120" spans="3:25" x14ac:dyDescent="0.3">
      <c r="C120" s="85">
        <f>SUM((('Worker Premium Calc'!I49*'Worker Premium Calc'!B49*'Worker Premium Calc'!K49*policy_term)/1000*$C$73)+SUM(('Worker Premium Calc'!I49*'Worker Premium Calc'!B49*'Worker Premium Calc'!L49*policy_term)/1000*$D$73)+SUM(('Worker Premium Calc'!I49*'Worker Premium Calc'!B49*'Worker Premium Calc'!M49*policy_term)/1000*$E$73))</f>
        <v>0</v>
      </c>
      <c r="D120" s="46">
        <f>SUM((('Worker Premium Calc'!J49*'Worker Premium Calc'!B49*'Worker Premium Calc'!N49*policy_term)/1000*$C$73)+SUM(('Worker Premium Calc'!J49*'Worker Premium Calc'!B49*'Worker Premium Calc'!O49*policy_term)/1000*$D$73)+SUM(('Worker Premium Calc'!J49*'Worker Premium Calc'!B49*'Worker Premium Calc'!P49*policy_term)/1000*$E$73))</f>
        <v>0</v>
      </c>
      <c r="E120" s="85">
        <f t="shared" si="32"/>
        <v>0</v>
      </c>
      <c r="F120" s="46">
        <f t="shared" si="40"/>
        <v>0</v>
      </c>
      <c r="G120" s="46">
        <f t="shared" si="41"/>
        <v>0</v>
      </c>
      <c r="H120" s="85">
        <f t="shared" si="42"/>
        <v>0</v>
      </c>
      <c r="I120" s="85">
        <f t="shared" si="33"/>
        <v>0</v>
      </c>
      <c r="K120" s="85">
        <f>SUM((('Worker Premium Calc'!I49*'Worker Premium Calc'!B49*'Worker Premium Calc'!K49*policy_term)/1000*$K$73)+SUM(('Worker Premium Calc'!I49*'Worker Premium Calc'!B49*'Worker Premium Calc'!L49*policy_term)/1000*$L$73)+SUM(('Worker Premium Calc'!I49*'Worker Premium Calc'!B49*'Worker Premium Calc'!M49*policy_term)/1000*$M$73))</f>
        <v>0</v>
      </c>
      <c r="L120" s="46">
        <f>SUM((('Worker Premium Calc'!J49*'Worker Premium Calc'!B49*'Worker Premium Calc'!N49*policy_term)/1000*$K$73)+SUM(('Worker Premium Calc'!J49*'Worker Premium Calc'!B49*'Worker Premium Calc'!O49*policy_term)/1000*$L$73)+SUM(('Worker Premium Calc'!J49*'Worker Premium Calc'!B49*'Worker Premium Calc'!P49*policy_term)/1000*$M$73))</f>
        <v>0</v>
      </c>
      <c r="M120" s="85">
        <f t="shared" si="34"/>
        <v>0</v>
      </c>
      <c r="N120" s="46">
        <f t="shared" si="43"/>
        <v>0</v>
      </c>
      <c r="O120" s="46">
        <f t="shared" si="44"/>
        <v>0</v>
      </c>
      <c r="P120" s="85">
        <f t="shared" si="45"/>
        <v>0</v>
      </c>
      <c r="Q120" s="85">
        <f t="shared" si="37"/>
        <v>0</v>
      </c>
      <c r="S120" s="85">
        <f>SUM((('Worker Premium Calc'!I49*'Worker Premium Calc'!B49*'Worker Premium Calc'!K49*policy_term)/1000*$S$73)+SUM(('Worker Premium Calc'!I49*'Worker Premium Calc'!B49*'Worker Premium Calc'!L49*policy_term)/1000*$T$73)+SUM(('Worker Premium Calc'!I49*'Worker Premium Calc'!B49*'Worker Premium Calc'!M49*policy_term)/1000*$U$73))</f>
        <v>0</v>
      </c>
      <c r="T120" s="46">
        <f>SUM((('Worker Premium Calc'!J49*'Worker Premium Calc'!B49*'Worker Premium Calc'!N49*policy_term)/1000*$S$73)+SUM(('Worker Premium Calc'!J49*'Worker Premium Calc'!B49*'Worker Premium Calc'!O49*policy_term)/1000*$T$73)+SUM(('Worker Premium Calc'!J49*'Worker Premium Calc'!B49*'Worker Premium Calc'!P49*policy_term)/1000*$U$73))</f>
        <v>0</v>
      </c>
      <c r="U120" s="85">
        <f t="shared" si="38"/>
        <v>0</v>
      </c>
      <c r="V120" s="85">
        <f t="shared" si="46"/>
        <v>0</v>
      </c>
      <c r="W120" s="46">
        <f t="shared" si="47"/>
        <v>0</v>
      </c>
      <c r="X120" s="85">
        <f t="shared" si="48"/>
        <v>0</v>
      </c>
      <c r="Y120" s="85">
        <f t="shared" si="39"/>
        <v>0</v>
      </c>
    </row>
    <row r="121" spans="3:25" x14ac:dyDescent="0.3">
      <c r="C121" s="85">
        <f>SUM((('Worker Premium Calc'!I50*'Worker Premium Calc'!B50*'Worker Premium Calc'!K50*policy_term)/1000*$C$73)+SUM(('Worker Premium Calc'!I50*'Worker Premium Calc'!B50*'Worker Premium Calc'!L50*policy_term)/1000*$D$73)+SUM(('Worker Premium Calc'!I50*'Worker Premium Calc'!B50*'Worker Premium Calc'!M50*policy_term)/1000*$E$73))</f>
        <v>0</v>
      </c>
      <c r="D121" s="46">
        <f>SUM((('Worker Premium Calc'!J50*'Worker Premium Calc'!B50*'Worker Premium Calc'!N50*policy_term)/1000*$C$73)+SUM(('Worker Premium Calc'!J50*'Worker Premium Calc'!B50*'Worker Premium Calc'!O50*policy_term)/1000*$D$73)+SUM(('Worker Premium Calc'!J50*'Worker Premium Calc'!B50*'Worker Premium Calc'!P50*policy_term)/1000*$E$73))</f>
        <v>0</v>
      </c>
      <c r="E121" s="85">
        <f t="shared" si="32"/>
        <v>0</v>
      </c>
      <c r="F121" s="46">
        <f t="shared" si="40"/>
        <v>0</v>
      </c>
      <c r="G121" s="46">
        <f t="shared" si="41"/>
        <v>0</v>
      </c>
      <c r="H121" s="85">
        <f t="shared" si="42"/>
        <v>0</v>
      </c>
      <c r="I121" s="85">
        <f t="shared" si="33"/>
        <v>0</v>
      </c>
      <c r="K121" s="85">
        <f>SUM((('Worker Premium Calc'!I50*'Worker Premium Calc'!B50*'Worker Premium Calc'!K50*policy_term)/1000*$K$73)+SUM(('Worker Premium Calc'!I50*'Worker Premium Calc'!B50*'Worker Premium Calc'!L50*policy_term)/1000*$L$73)+SUM(('Worker Premium Calc'!I50*'Worker Premium Calc'!B50*'Worker Premium Calc'!M50*policy_term)/1000*$M$73))</f>
        <v>0</v>
      </c>
      <c r="L121" s="46">
        <f>SUM((('Worker Premium Calc'!J50*'Worker Premium Calc'!B50*'Worker Premium Calc'!N50*policy_term)/1000*$K$73)+SUM(('Worker Premium Calc'!J50*'Worker Premium Calc'!B50*'Worker Premium Calc'!O50*policy_term)/1000*$L$73)+SUM(('Worker Premium Calc'!J50*'Worker Premium Calc'!B50*'Worker Premium Calc'!P50*policy_term)/1000*$M$73))</f>
        <v>0</v>
      </c>
      <c r="M121" s="85">
        <f t="shared" si="34"/>
        <v>0</v>
      </c>
      <c r="N121" s="46">
        <f t="shared" si="43"/>
        <v>0</v>
      </c>
      <c r="O121" s="46">
        <f t="shared" si="44"/>
        <v>0</v>
      </c>
      <c r="P121" s="85">
        <f t="shared" si="45"/>
        <v>0</v>
      </c>
      <c r="Q121" s="85">
        <f t="shared" si="37"/>
        <v>0</v>
      </c>
      <c r="S121" s="85">
        <f>SUM((('Worker Premium Calc'!I50*'Worker Premium Calc'!B50*'Worker Premium Calc'!K50*policy_term)/1000*$S$73)+SUM(('Worker Premium Calc'!I50*'Worker Premium Calc'!B50*'Worker Premium Calc'!L50*policy_term)/1000*$T$73)+SUM(('Worker Premium Calc'!I50*'Worker Premium Calc'!B50*'Worker Premium Calc'!M50*policy_term)/1000*$U$73))</f>
        <v>0</v>
      </c>
      <c r="T121" s="46">
        <f>SUM((('Worker Premium Calc'!J50*'Worker Premium Calc'!B50*'Worker Premium Calc'!N50*policy_term)/1000*$S$73)+SUM(('Worker Premium Calc'!J50*'Worker Premium Calc'!B50*'Worker Premium Calc'!O50*policy_term)/1000*$T$73)+SUM(('Worker Premium Calc'!J50*'Worker Premium Calc'!B50*'Worker Premium Calc'!P50*policy_term)/1000*$U$73))</f>
        <v>0</v>
      </c>
      <c r="U121" s="85">
        <f t="shared" si="38"/>
        <v>0</v>
      </c>
      <c r="V121" s="85">
        <f t="shared" si="46"/>
        <v>0</v>
      </c>
      <c r="W121" s="46">
        <f t="shared" si="47"/>
        <v>0</v>
      </c>
      <c r="X121" s="85">
        <f t="shared" si="48"/>
        <v>0</v>
      </c>
      <c r="Y121" s="85">
        <f t="shared" si="39"/>
        <v>0</v>
      </c>
    </row>
    <row r="122" spans="3:25" x14ac:dyDescent="0.3">
      <c r="C122" s="85">
        <f>SUM((('Worker Premium Calc'!I51*'Worker Premium Calc'!B51*'Worker Premium Calc'!K51*policy_term)/1000*$C$73)+SUM(('Worker Premium Calc'!I51*'Worker Premium Calc'!B51*'Worker Premium Calc'!L51*policy_term)/1000*$D$73)+SUM(('Worker Premium Calc'!I51*'Worker Premium Calc'!B51*'Worker Premium Calc'!M51*policy_term)/1000*$E$73))</f>
        <v>0</v>
      </c>
      <c r="D122" s="46">
        <f>SUM((('Worker Premium Calc'!J51*'Worker Premium Calc'!B51*'Worker Premium Calc'!N51*policy_term)/1000*$C$73)+SUM(('Worker Premium Calc'!J51*'Worker Premium Calc'!B51*'Worker Premium Calc'!O51*policy_term)/1000*$D$73)+SUM(('Worker Premium Calc'!J51*'Worker Premium Calc'!B51*'Worker Premium Calc'!P51*policy_term)/1000*$E$73))</f>
        <v>0</v>
      </c>
      <c r="E122" s="85">
        <f t="shared" si="32"/>
        <v>0</v>
      </c>
      <c r="F122" s="46">
        <f t="shared" si="40"/>
        <v>0</v>
      </c>
      <c r="G122" s="46">
        <f t="shared" si="41"/>
        <v>0</v>
      </c>
      <c r="H122" s="85">
        <f t="shared" si="42"/>
        <v>0</v>
      </c>
      <c r="I122" s="85">
        <f t="shared" si="33"/>
        <v>0</v>
      </c>
      <c r="K122" s="85">
        <f>SUM((('Worker Premium Calc'!I51*'Worker Premium Calc'!B51*'Worker Premium Calc'!K51*policy_term)/1000*$K$73)+SUM(('Worker Premium Calc'!I51*'Worker Premium Calc'!B51*'Worker Premium Calc'!L51*policy_term)/1000*$L$73)+SUM(('Worker Premium Calc'!I51*'Worker Premium Calc'!B51*'Worker Premium Calc'!M51*policy_term)/1000*$M$73))</f>
        <v>0</v>
      </c>
      <c r="L122" s="46">
        <f>SUM((('Worker Premium Calc'!J51*'Worker Premium Calc'!B51*'Worker Premium Calc'!N51*policy_term)/1000*$K$73)+SUM(('Worker Premium Calc'!J51*'Worker Premium Calc'!B51*'Worker Premium Calc'!O51*policy_term)/1000*$L$73)+SUM(('Worker Premium Calc'!J51*'Worker Premium Calc'!B51*'Worker Premium Calc'!P51*policy_term)/1000*$M$73))</f>
        <v>0</v>
      </c>
      <c r="M122" s="85">
        <f t="shared" si="34"/>
        <v>0</v>
      </c>
      <c r="N122" s="46">
        <f t="shared" si="43"/>
        <v>0</v>
      </c>
      <c r="O122" s="46">
        <f t="shared" si="44"/>
        <v>0</v>
      </c>
      <c r="P122" s="85">
        <f t="shared" si="45"/>
        <v>0</v>
      </c>
      <c r="Q122" s="85">
        <f t="shared" si="37"/>
        <v>0</v>
      </c>
      <c r="S122" s="85">
        <f>SUM((('Worker Premium Calc'!I51*'Worker Premium Calc'!B51*'Worker Premium Calc'!K51*policy_term)/1000*$S$73)+SUM(('Worker Premium Calc'!I51*'Worker Premium Calc'!B51*'Worker Premium Calc'!L51*policy_term)/1000*$T$73)+SUM(('Worker Premium Calc'!I51*'Worker Premium Calc'!B51*'Worker Premium Calc'!M51*policy_term)/1000*$U$73))</f>
        <v>0</v>
      </c>
      <c r="T122" s="46">
        <f>SUM((('Worker Premium Calc'!J51*'Worker Premium Calc'!B51*'Worker Premium Calc'!N51*policy_term)/1000*$S$73)+SUM(('Worker Premium Calc'!J51*'Worker Premium Calc'!B51*'Worker Premium Calc'!O51*policy_term)/1000*$T$73)+SUM(('Worker Premium Calc'!J51*'Worker Premium Calc'!B51*'Worker Premium Calc'!P51*policy_term)/1000*$U$73))</f>
        <v>0</v>
      </c>
      <c r="U122" s="85">
        <f t="shared" si="38"/>
        <v>0</v>
      </c>
      <c r="V122" s="85">
        <f t="shared" si="46"/>
        <v>0</v>
      </c>
      <c r="W122" s="46">
        <f t="shared" si="47"/>
        <v>0</v>
      </c>
      <c r="X122" s="85">
        <f t="shared" si="48"/>
        <v>0</v>
      </c>
      <c r="Y122" s="85">
        <f t="shared" si="39"/>
        <v>0</v>
      </c>
    </row>
    <row r="123" spans="3:25" x14ac:dyDescent="0.3">
      <c r="C123" s="85">
        <f>SUM((('Worker Premium Calc'!I52*'Worker Premium Calc'!B52*'Worker Premium Calc'!K52*policy_term)/1000*$C$73)+SUM(('Worker Premium Calc'!I52*'Worker Premium Calc'!B52*'Worker Premium Calc'!L52*policy_term)/1000*$D$73)+SUM(('Worker Premium Calc'!I52*'Worker Premium Calc'!B52*'Worker Premium Calc'!M52*policy_term)/1000*$E$73))</f>
        <v>0</v>
      </c>
      <c r="D123" s="46">
        <f>SUM((('Worker Premium Calc'!J52*'Worker Premium Calc'!B52*'Worker Premium Calc'!N52*policy_term)/1000*$C$73)+SUM(('Worker Premium Calc'!J52*'Worker Premium Calc'!B52*'Worker Premium Calc'!O52*policy_term)/1000*$D$73)+SUM(('Worker Premium Calc'!J52*'Worker Premium Calc'!B52*'Worker Premium Calc'!P52*policy_term)/1000*$E$73))</f>
        <v>0</v>
      </c>
      <c r="E123" s="85">
        <f t="shared" si="32"/>
        <v>0</v>
      </c>
      <c r="F123" s="46">
        <f t="shared" si="40"/>
        <v>0</v>
      </c>
      <c r="G123" s="46">
        <f t="shared" si="41"/>
        <v>0</v>
      </c>
      <c r="H123" s="85">
        <f t="shared" si="42"/>
        <v>0</v>
      </c>
      <c r="I123" s="85">
        <f t="shared" si="33"/>
        <v>0</v>
      </c>
      <c r="K123" s="85">
        <f>SUM((('Worker Premium Calc'!I52*'Worker Premium Calc'!B52*'Worker Premium Calc'!K52*policy_term)/1000*$K$73)+SUM(('Worker Premium Calc'!I52*'Worker Premium Calc'!B52*'Worker Premium Calc'!L52*policy_term)/1000*$L$73)+SUM(('Worker Premium Calc'!I52*'Worker Premium Calc'!B52*'Worker Premium Calc'!M52*policy_term)/1000*$M$73))</f>
        <v>0</v>
      </c>
      <c r="L123" s="46">
        <f>SUM((('Worker Premium Calc'!J52*'Worker Premium Calc'!B52*'Worker Premium Calc'!N52*policy_term)/1000*$K$73)+SUM(('Worker Premium Calc'!J52*'Worker Premium Calc'!B52*'Worker Premium Calc'!O52*policy_term)/1000*$L$73)+SUM(('Worker Premium Calc'!J52*'Worker Premium Calc'!B52*'Worker Premium Calc'!P52*policy_term)/1000*$M$73))</f>
        <v>0</v>
      </c>
      <c r="M123" s="85">
        <f t="shared" si="34"/>
        <v>0</v>
      </c>
      <c r="N123" s="46">
        <f t="shared" si="43"/>
        <v>0</v>
      </c>
      <c r="O123" s="46">
        <f t="shared" si="44"/>
        <v>0</v>
      </c>
      <c r="P123" s="85">
        <f t="shared" si="45"/>
        <v>0</v>
      </c>
      <c r="Q123" s="85">
        <f t="shared" si="37"/>
        <v>0</v>
      </c>
      <c r="S123" s="85">
        <f>SUM((('Worker Premium Calc'!I52*'Worker Premium Calc'!B52*'Worker Premium Calc'!K52*policy_term)/1000*$S$73)+SUM(('Worker Premium Calc'!I52*'Worker Premium Calc'!B52*'Worker Premium Calc'!L52*policy_term)/1000*$T$73)+SUM(('Worker Premium Calc'!I52*'Worker Premium Calc'!B52*'Worker Premium Calc'!M52*policy_term)/1000*$U$73))</f>
        <v>0</v>
      </c>
      <c r="T123" s="46">
        <f>SUM((('Worker Premium Calc'!J52*'Worker Premium Calc'!B52*'Worker Premium Calc'!N52*policy_term)/1000*$S$73)+SUM(('Worker Premium Calc'!J52*'Worker Premium Calc'!B52*'Worker Premium Calc'!O52*policy_term)/1000*$T$73)+SUM(('Worker Premium Calc'!J52*'Worker Premium Calc'!B52*'Worker Premium Calc'!P52*policy_term)/1000*$U$73))</f>
        <v>0</v>
      </c>
      <c r="U123" s="85">
        <f t="shared" si="38"/>
        <v>0</v>
      </c>
      <c r="V123" s="85">
        <f t="shared" si="46"/>
        <v>0</v>
      </c>
      <c r="W123" s="46">
        <f t="shared" si="47"/>
        <v>0</v>
      </c>
      <c r="X123" s="85">
        <f t="shared" si="48"/>
        <v>0</v>
      </c>
      <c r="Y123" s="85">
        <f t="shared" si="39"/>
        <v>0</v>
      </c>
    </row>
    <row r="124" spans="3:25" x14ac:dyDescent="0.3">
      <c r="C124" s="85">
        <f>SUM((('Worker Premium Calc'!I53*'Worker Premium Calc'!B53*'Worker Premium Calc'!K53*policy_term)/1000*$C$73)+SUM(('Worker Premium Calc'!I53*'Worker Premium Calc'!B53*'Worker Premium Calc'!L53*policy_term)/1000*$D$73)+SUM(('Worker Premium Calc'!I53*'Worker Premium Calc'!B53*'Worker Premium Calc'!M53*policy_term)/1000*$E$73))</f>
        <v>0</v>
      </c>
      <c r="D124" s="46">
        <f>SUM((('Worker Premium Calc'!J53*'Worker Premium Calc'!B53*'Worker Premium Calc'!N53*policy_term)/1000*$C$73)+SUM(('Worker Premium Calc'!J53*'Worker Premium Calc'!B53*'Worker Premium Calc'!O53*policy_term)/1000*$D$73)+SUM(('Worker Premium Calc'!J53*'Worker Premium Calc'!B53*'Worker Premium Calc'!P53*policy_term)/1000*$E$73))</f>
        <v>0</v>
      </c>
      <c r="E124" s="85">
        <f t="shared" si="32"/>
        <v>0</v>
      </c>
      <c r="F124" s="46">
        <f t="shared" si="40"/>
        <v>0</v>
      </c>
      <c r="G124" s="46">
        <f t="shared" si="41"/>
        <v>0</v>
      </c>
      <c r="H124" s="85">
        <f t="shared" si="42"/>
        <v>0</v>
      </c>
      <c r="I124" s="85">
        <f t="shared" si="33"/>
        <v>0</v>
      </c>
      <c r="K124" s="85">
        <f>SUM((('Worker Premium Calc'!I53*'Worker Premium Calc'!B53*'Worker Premium Calc'!K53*policy_term)/1000*$K$73)+SUM(('Worker Premium Calc'!I53*'Worker Premium Calc'!B53*'Worker Premium Calc'!L53*policy_term)/1000*$L$73)+SUM(('Worker Premium Calc'!I53*'Worker Premium Calc'!B53*'Worker Premium Calc'!M53*policy_term)/1000*$M$73))</f>
        <v>0</v>
      </c>
      <c r="L124" s="46">
        <f>SUM((('Worker Premium Calc'!J53*'Worker Premium Calc'!B53*'Worker Premium Calc'!N53*policy_term)/1000*$K$73)+SUM(('Worker Premium Calc'!J53*'Worker Premium Calc'!B53*'Worker Premium Calc'!O53*policy_term)/1000*$L$73)+SUM(('Worker Premium Calc'!J53*'Worker Premium Calc'!B53*'Worker Premium Calc'!P53*policy_term)/1000*$M$73))</f>
        <v>0</v>
      </c>
      <c r="M124" s="85">
        <f t="shared" si="34"/>
        <v>0</v>
      </c>
      <c r="N124" s="46">
        <f t="shared" si="43"/>
        <v>0</v>
      </c>
      <c r="O124" s="46">
        <f t="shared" si="44"/>
        <v>0</v>
      </c>
      <c r="P124" s="85">
        <f t="shared" si="45"/>
        <v>0</v>
      </c>
      <c r="Q124" s="85">
        <f t="shared" si="37"/>
        <v>0</v>
      </c>
      <c r="S124" s="85">
        <f>SUM((('Worker Premium Calc'!I53*'Worker Premium Calc'!B53*'Worker Premium Calc'!K53*policy_term)/1000*$S$73)+SUM(('Worker Premium Calc'!I53*'Worker Premium Calc'!B53*'Worker Premium Calc'!L53*policy_term)/1000*$T$73)+SUM(('Worker Premium Calc'!I53*'Worker Premium Calc'!B53*'Worker Premium Calc'!M53*policy_term)/1000*$U$73))</f>
        <v>0</v>
      </c>
      <c r="T124" s="46">
        <f>SUM((('Worker Premium Calc'!J53*'Worker Premium Calc'!B53*'Worker Premium Calc'!N53*policy_term)/1000*$S$73)+SUM(('Worker Premium Calc'!J53*'Worker Premium Calc'!B53*'Worker Premium Calc'!O53*policy_term)/1000*$T$73)+SUM(('Worker Premium Calc'!J53*'Worker Premium Calc'!B53*'Worker Premium Calc'!P53*policy_term)/1000*$U$73))</f>
        <v>0</v>
      </c>
      <c r="U124" s="85">
        <f t="shared" si="38"/>
        <v>0</v>
      </c>
      <c r="V124" s="85">
        <f t="shared" si="46"/>
        <v>0</v>
      </c>
      <c r="W124" s="46">
        <f t="shared" si="47"/>
        <v>0</v>
      </c>
      <c r="X124" s="85">
        <f t="shared" si="48"/>
        <v>0</v>
      </c>
      <c r="Y124" s="85">
        <f t="shared" si="39"/>
        <v>0</v>
      </c>
    </row>
    <row r="125" spans="3:25" x14ac:dyDescent="0.3">
      <c r="C125" s="85">
        <f>SUM((('Worker Premium Calc'!I54*'Worker Premium Calc'!B54*'Worker Premium Calc'!K54*policy_term)/1000*$C$73)+SUM(('Worker Premium Calc'!I54*'Worker Premium Calc'!B54*'Worker Premium Calc'!L54*policy_term)/1000*$D$73)+SUM(('Worker Premium Calc'!I54*'Worker Premium Calc'!B54*'Worker Premium Calc'!M54*policy_term)/1000*$E$73))</f>
        <v>0</v>
      </c>
      <c r="D125" s="46">
        <f>SUM((('Worker Premium Calc'!J54*'Worker Premium Calc'!B54*'Worker Premium Calc'!N54*policy_term)/1000*$C$73)+SUM(('Worker Premium Calc'!J54*'Worker Premium Calc'!B54*'Worker Premium Calc'!O54*policy_term)/1000*$D$73)+SUM(('Worker Premium Calc'!J54*'Worker Premium Calc'!B54*'Worker Premium Calc'!P54*policy_term)/1000*$E$73))</f>
        <v>0</v>
      </c>
      <c r="E125" s="85">
        <f t="shared" si="32"/>
        <v>0</v>
      </c>
      <c r="F125" s="46">
        <f t="shared" si="40"/>
        <v>0</v>
      </c>
      <c r="G125" s="46">
        <f t="shared" si="41"/>
        <v>0</v>
      </c>
      <c r="H125" s="85">
        <f t="shared" si="42"/>
        <v>0</v>
      </c>
      <c r="I125" s="85">
        <f t="shared" si="33"/>
        <v>0</v>
      </c>
      <c r="K125" s="85">
        <f>SUM((('Worker Premium Calc'!I54*'Worker Premium Calc'!B54*'Worker Premium Calc'!K54*policy_term)/1000*$K$73)+SUM(('Worker Premium Calc'!I54*'Worker Premium Calc'!B54*'Worker Premium Calc'!L54*policy_term)/1000*$L$73)+SUM(('Worker Premium Calc'!I54*'Worker Premium Calc'!B54*'Worker Premium Calc'!M54*policy_term)/1000*$M$73))</f>
        <v>0</v>
      </c>
      <c r="L125" s="46">
        <f>SUM((('Worker Premium Calc'!J54*'Worker Premium Calc'!B54*'Worker Premium Calc'!N54*policy_term)/1000*$K$73)+SUM(('Worker Premium Calc'!J54*'Worker Premium Calc'!B54*'Worker Premium Calc'!O54*policy_term)/1000*$L$73)+SUM(('Worker Premium Calc'!J54*'Worker Premium Calc'!B54*'Worker Premium Calc'!P54*policy_term)/1000*$M$73))</f>
        <v>0</v>
      </c>
      <c r="M125" s="85">
        <f t="shared" si="34"/>
        <v>0</v>
      </c>
      <c r="N125" s="46">
        <f t="shared" si="43"/>
        <v>0</v>
      </c>
      <c r="O125" s="46">
        <f t="shared" si="44"/>
        <v>0</v>
      </c>
      <c r="P125" s="85">
        <f t="shared" si="45"/>
        <v>0</v>
      </c>
      <c r="Q125" s="85">
        <f t="shared" si="37"/>
        <v>0</v>
      </c>
      <c r="S125" s="85">
        <f>SUM((('Worker Premium Calc'!I54*'Worker Premium Calc'!B54*'Worker Premium Calc'!K54*policy_term)/1000*$S$73)+SUM(('Worker Premium Calc'!I54*'Worker Premium Calc'!B54*'Worker Premium Calc'!L54*policy_term)/1000*$T$73)+SUM(('Worker Premium Calc'!I54*'Worker Premium Calc'!B54*'Worker Premium Calc'!M54*policy_term)/1000*$U$73))</f>
        <v>0</v>
      </c>
      <c r="T125" s="46">
        <f>SUM((('Worker Premium Calc'!J54*'Worker Premium Calc'!B54*'Worker Premium Calc'!N54*policy_term)/1000*$S$73)+SUM(('Worker Premium Calc'!J54*'Worker Premium Calc'!B54*'Worker Premium Calc'!O54*policy_term)/1000*$T$73)+SUM(('Worker Premium Calc'!J54*'Worker Premium Calc'!B54*'Worker Premium Calc'!P54*policy_term)/1000*$U$73))</f>
        <v>0</v>
      </c>
      <c r="U125" s="85">
        <f t="shared" si="38"/>
        <v>0</v>
      </c>
      <c r="V125" s="85">
        <f t="shared" si="46"/>
        <v>0</v>
      </c>
      <c r="W125" s="46">
        <f t="shared" si="47"/>
        <v>0</v>
      </c>
      <c r="X125" s="85">
        <f t="shared" si="48"/>
        <v>0</v>
      </c>
      <c r="Y125" s="85">
        <f t="shared" si="3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C2:R31"/>
  <sheetViews>
    <sheetView showGridLines="0" topLeftCell="A10" workbookViewId="0">
      <selection activeCell="J24" sqref="J24"/>
    </sheetView>
  </sheetViews>
  <sheetFormatPr defaultRowHeight="14.4" x14ac:dyDescent="0.3"/>
  <cols>
    <col min="1" max="3" width="8.88671875" style="6"/>
    <col min="4" max="4" width="22.88671875" style="6" bestFit="1" customWidth="1"/>
    <col min="5" max="5" width="8.88671875" style="6"/>
    <col min="6" max="6" width="65.109375" style="6" customWidth="1"/>
    <col min="7" max="8" width="8.88671875" style="6"/>
    <col min="9" max="9" width="11.5546875" style="6" bestFit="1" customWidth="1"/>
    <col min="10" max="10" width="8.44140625" style="6" bestFit="1" customWidth="1"/>
    <col min="11" max="11" width="31.109375" style="6" customWidth="1"/>
    <col min="12" max="16" width="8.88671875" style="6"/>
    <col min="17" max="17" width="35.33203125" style="6" bestFit="1" customWidth="1"/>
    <col min="18" max="16384" width="8.88671875" style="6"/>
  </cols>
  <sheetData>
    <row r="2" spans="3:18" x14ac:dyDescent="0.3">
      <c r="I2" s="124"/>
      <c r="O2" s="124"/>
    </row>
    <row r="4" spans="3:18" ht="15.6" x14ac:dyDescent="0.3">
      <c r="C4" s="23" t="s">
        <v>201</v>
      </c>
      <c r="D4" s="23" t="s">
        <v>202</v>
      </c>
      <c r="E4" s="23" t="s">
        <v>203</v>
      </c>
      <c r="F4" s="23" t="s">
        <v>204</v>
      </c>
      <c r="H4" s="169"/>
      <c r="I4" s="169"/>
      <c r="J4" s="169"/>
      <c r="K4" s="169"/>
      <c r="L4" s="141"/>
      <c r="M4" s="141"/>
      <c r="N4" s="169"/>
      <c r="O4" s="169"/>
      <c r="P4" s="169"/>
      <c r="Q4" s="169"/>
      <c r="R4" s="141"/>
    </row>
    <row r="5" spans="3:18" x14ac:dyDescent="0.3">
      <c r="C5" s="24">
        <v>1</v>
      </c>
      <c r="D5" s="13" t="s">
        <v>205</v>
      </c>
      <c r="E5" s="13">
        <f>IFERROR(IF(loss_history="Yes",1,0),0)</f>
        <v>0</v>
      </c>
      <c r="F5" s="13" t="str">
        <f>IF(E5=1,"This is a claim case, please refer to UW","")</f>
        <v/>
      </c>
      <c r="G5" s="6" t="str">
        <f ca="1">IF(AND(F5&lt;&gt;"",COUNTA(F6:$F$26)-COUNTBLANK(F6:$F$26)&gt;0)," | | ","")</f>
        <v/>
      </c>
      <c r="L5" s="167"/>
      <c r="M5" s="168"/>
      <c r="R5" s="6" t="str">
        <f>IF(AND(Q5&lt;&gt;"",COUNTA(Q6:$Q$6)-COUNTBLANK(Q6:$Q$6)&gt;0)," | | ","")</f>
        <v/>
      </c>
    </row>
    <row r="6" spans="3:18" x14ac:dyDescent="0.3">
      <c r="C6" s="24">
        <v>2</v>
      </c>
      <c r="D6" s="13" t="s">
        <v>206</v>
      </c>
      <c r="E6" s="13">
        <f>IFERROR(IF(medex_option="&gt; 1,00,000",1,0),0)</f>
        <v>0</v>
      </c>
      <c r="F6" s="13" t="str">
        <f>IF(E6=1,"Medex Limits are outside PUP, please refer to UW.","")</f>
        <v/>
      </c>
      <c r="G6" s="6" t="str">
        <f ca="1">IF(AND(F6&lt;&gt;"",COUNTA(F7:$F$26)-COUNTBLANK(F7:$F$26)&gt;0)," | | ","")</f>
        <v/>
      </c>
      <c r="L6" s="167"/>
      <c r="R6" s="6" t="str">
        <f>IF(AND(Q6&lt;&gt;"",COUNTA(Q$6:$Q7)-COUNTBLANK(Q$6:$Q7)&gt;0)," | | ","")</f>
        <v/>
      </c>
    </row>
    <row r="7" spans="3:18" x14ac:dyDescent="0.3">
      <c r="C7" s="24">
        <v>3</v>
      </c>
      <c r="D7" s="13" t="s">
        <v>13082</v>
      </c>
      <c r="E7" s="13">
        <f>IF(Quote!D124=1,1,0)</f>
        <v>0</v>
      </c>
      <c r="F7" s="13" t="str">
        <f>IF(E7=1,"Selected Trade Category is a NON-PUP, please refer to UW.","")</f>
        <v/>
      </c>
      <c r="G7" s="6" t="str">
        <f ca="1">IF(AND(F7&lt;&gt;"",COUNTA(F8:$F$26)-COUNTBLANK(F8:$F$26)&gt;0)," | | ","")</f>
        <v/>
      </c>
      <c r="L7" s="167"/>
      <c r="R7" s="6" t="str">
        <f>IF(AND(Q7&lt;&gt;"",COUNTA(Q$6:$Q8)-COUNTBLANK(Q$6:$Q8)&gt;0)," | | ","")</f>
        <v/>
      </c>
    </row>
    <row r="8" spans="3:18" x14ac:dyDescent="0.3">
      <c r="C8" s="24">
        <v>4</v>
      </c>
      <c r="D8" s="13" t="s">
        <v>45</v>
      </c>
      <c r="E8" s="13">
        <f>IFERROR(IF(VLOOKUP(Quote!F114,'Trade Category'!$A$2:$D$830,4,0)="NON-PUP",1,0),0)</f>
        <v>0</v>
      </c>
      <c r="F8" s="13" t="str">
        <f>IF(E8=1,"This is not a PUP trade category, please refer the case to UW.","")</f>
        <v/>
      </c>
      <c r="G8" s="6" t="str">
        <f ca="1">IF(AND(F8&lt;&gt;"",COUNTA(F9:$F$26)-COUNTBLANK(F9:$F$26)&gt;0)," | | ","")</f>
        <v/>
      </c>
      <c r="L8" s="167"/>
      <c r="R8" s="6" t="str">
        <f>IF(AND(Q8&lt;&gt;"",COUNTA(Q$6:$Q9)-COUNTBLANK(Q$6:$Q9)&gt;0)," | | ","")</f>
        <v/>
      </c>
    </row>
    <row r="9" spans="3:18" x14ac:dyDescent="0.3">
      <c r="C9" s="24">
        <v>5</v>
      </c>
      <c r="D9" s="13" t="s">
        <v>67</v>
      </c>
      <c r="E9" s="13">
        <f>IFERROR(IF(total_workers&gt;200,1,0),0)</f>
        <v>0</v>
      </c>
      <c r="F9" s="13" t="str">
        <f>IF(E9=1,"The number of workers exceeds 200, please refer the case to the UW.","")</f>
        <v/>
      </c>
      <c r="G9" s="6" t="str">
        <f ca="1">IF(AND(F9&lt;&gt;"",COUNTA(F10:$F$26)-COUNTBLANK(F10:$F$26)&gt;0)," | | ","")</f>
        <v/>
      </c>
      <c r="L9" s="167"/>
      <c r="R9" s="6" t="str">
        <f>IF(AND(Q9&lt;&gt;"",COUNTA(Q$6:$Q10)-COUNTBLANK(Q$6:$Q10)&gt;0)," | | ","")</f>
        <v/>
      </c>
    </row>
    <row r="10" spans="3:18" x14ac:dyDescent="0.3">
      <c r="C10" s="24">
        <v>6</v>
      </c>
      <c r="D10" s="13" t="s">
        <v>70</v>
      </c>
      <c r="E10" s="13">
        <f>IFERROR(IF(worker_total_wages&gt;30000000,1,0),0)</f>
        <v>0</v>
      </c>
      <c r="F10" s="13" t="str">
        <f>IF(E10=1,"The total wages exceeds 3crs, please refer the case to the UW.","")</f>
        <v/>
      </c>
      <c r="G10" s="6" t="str">
        <f ca="1">IF(AND(F10&lt;&gt;"",COUNTA(F11:$F$26)-COUNTBLANK(F11:$F$26)&gt;0)," | | ","")</f>
        <v/>
      </c>
      <c r="L10" s="167"/>
    </row>
    <row r="11" spans="3:18" x14ac:dyDescent="0.3">
      <c r="C11" s="24">
        <v>7</v>
      </c>
      <c r="D11" s="13" t="s">
        <v>207</v>
      </c>
      <c r="E11" s="13">
        <f ca="1">IFERROR(IF(OR(final_load_disc&gt;85%,final_load_disc&lt;-70%),1,0),0)</f>
        <v>0</v>
      </c>
      <c r="F11" s="13" t="str">
        <f ca="1">IF(E11=1,"The maximum loading cannot exceed 85% and the maximum discount cannot exceed 70%.","")</f>
        <v/>
      </c>
      <c r="G11" s="6" t="str">
        <f ca="1">IF(AND(F11&lt;&gt;"",COUNTA(F12:$F$26)-COUNTBLANK(F12:$F$26)&gt;0)," | | ","")</f>
        <v/>
      </c>
      <c r="L11" s="167"/>
    </row>
    <row r="12" spans="3:18" x14ac:dyDescent="0.3">
      <c r="C12" s="24">
        <v>8</v>
      </c>
      <c r="D12" s="13" t="s">
        <v>208</v>
      </c>
      <c r="E12" s="13">
        <f ca="1">IF(total_disc&lt;pup_dl,1,0)</f>
        <v>0</v>
      </c>
      <c r="F12" s="13" t="str">
        <f ca="1">IF(E12=1,"The discount exceeds the PUP limit, please refer to the UW.","")</f>
        <v/>
      </c>
      <c r="G12" s="6" t="str">
        <f ca="1">IF(AND(F12&lt;&gt;"",COUNTA(F13:$F$26)-COUNTBLANK(F13:$F$26)&gt;0)," | | ","")</f>
        <v/>
      </c>
      <c r="L12" s="167"/>
    </row>
    <row r="13" spans="3:18" x14ac:dyDescent="0.3">
      <c r="C13" s="24">
        <v>9</v>
      </c>
      <c r="D13" s="13" t="s">
        <v>11294</v>
      </c>
      <c r="E13" s="13">
        <f>IF(medex_actuals="yes",0,0)</f>
        <v>0</v>
      </c>
      <c r="F13" s="13" t="str">
        <f>IF(E13=1,"Actual Medex is outside PUP, please refer to UW.","")</f>
        <v/>
      </c>
      <c r="G13" s="6" t="str">
        <f ca="1">IF(AND(F13&lt;&gt;"",COUNTA(F14:$F$26)-COUNTBLANK(F14:$F$26)&gt;0)," | | ","")</f>
        <v/>
      </c>
      <c r="L13" s="167"/>
    </row>
    <row r="14" spans="3:18" x14ac:dyDescent="0.3">
      <c r="C14" s="24">
        <v>10</v>
      </c>
      <c r="D14" s="13" t="s">
        <v>16</v>
      </c>
      <c r="E14" s="13">
        <f>IF(AND(cl_zone="",location&lt;&gt;""),1,0)</f>
        <v>0</v>
      </c>
      <c r="F14" s="13" t="str">
        <f>IF(E14=1,"CL Zone is not available, please refer to UW.","")</f>
        <v/>
      </c>
      <c r="G14" s="6" t="str">
        <f ca="1">IF(AND(F14&lt;&gt;"",COUNTA(F15:$F$26)-COUNTBLANK(F15:$F$26)&gt;0)," | | ","")</f>
        <v/>
      </c>
      <c r="L14" s="167"/>
    </row>
    <row r="15" spans="3:18" x14ac:dyDescent="0.3">
      <c r="C15" s="24">
        <v>11</v>
      </c>
      <c r="D15" s="13" t="s">
        <v>11302</v>
      </c>
      <c r="E15" s="13">
        <f>IF(refer_to_uw="yes",1,0)</f>
        <v>0</v>
      </c>
      <c r="F15" s="13" t="str">
        <f>IF(E15=1,"STP case refer to UW","")</f>
        <v/>
      </c>
      <c r="G15" s="6" t="str">
        <f ca="1">IF(AND(F15&lt;&gt;"",COUNTA(F16:$F$26)-COUNTBLANK(F16:$F$26)&gt;0)," | | ","")</f>
        <v/>
      </c>
      <c r="L15" s="167"/>
    </row>
    <row r="16" spans="3:18" x14ac:dyDescent="0.3">
      <c r="C16" s="24">
        <v>12</v>
      </c>
      <c r="D16" s="13" t="s">
        <v>11461</v>
      </c>
      <c r="E16" s="13">
        <f>IF('Worker Premium Calc'!D87=1,0,0)</f>
        <v>0</v>
      </c>
      <c r="F16" s="13" t="str">
        <f>IF(E16=1,"Loading% / Discount% exceeded beyond the limit","")</f>
        <v/>
      </c>
      <c r="G16" s="6" t="str">
        <f ca="1">IF(AND(F16&lt;&gt;"",COUNTA(F17:$F$26)-COUNTBLANK(F17:$F$26)&gt;0)," | | ","")</f>
        <v/>
      </c>
      <c r="L16" s="168"/>
    </row>
    <row r="17" spans="3:11" x14ac:dyDescent="0.3">
      <c r="C17" s="24">
        <v>13</v>
      </c>
      <c r="D17" s="13" t="s">
        <v>12294</v>
      </c>
      <c r="E17" s="13">
        <f>IF(OR(proposer_pincode=246443,loc_1_pincode=246443,loc_2_pincode=246443,loc_3_pincode=246443,loc_4_pincode=246443,loc_5_pincode=246443),1,0)</f>
        <v>0</v>
      </c>
      <c r="F17" s="13" t="str">
        <f>IF(E17=1,"Restricted location Joshimath | Uttarakhand","")</f>
        <v/>
      </c>
      <c r="G17" s="6" t="str">
        <f ca="1">IF(AND(F17&lt;&gt;"",COUNTA(F18:$F$26)-COUNTBLANK(F18:$F$26)&gt;0)," | | ","")</f>
        <v/>
      </c>
    </row>
    <row r="18" spans="3:11" x14ac:dyDescent="0.3">
      <c r="C18" s="24">
        <v>14</v>
      </c>
      <c r="D18" s="13" t="s">
        <v>12302</v>
      </c>
      <c r="E18" s="13">
        <f ca="1">IF(AND(medex_location="",net_premium&gt;0),1,0)</f>
        <v>0</v>
      </c>
      <c r="F18" s="13" t="str">
        <f ca="1">IF(E18=1,"Pin code State &amp; City combination is not available. Please get the combination added in IPDS","")</f>
        <v/>
      </c>
      <c r="G18" s="6" t="str">
        <f ca="1">IF(AND(F18&lt;&gt;"",COUNTA(F19:$F$26)-COUNTBLANK(F19:$F$26)&gt;0)," | | ","")</f>
        <v/>
      </c>
    </row>
    <row r="19" spans="3:11" x14ac:dyDescent="0.3">
      <c r="C19" s="24">
        <v>15</v>
      </c>
      <c r="D19" s="13" t="s">
        <v>12319</v>
      </c>
      <c r="E19" s="13">
        <f ca="1">IF(net_premium=0,0,IF(AND(net_premium&lt;1000,medex_premium&gt;0),0,IF(net_premium&lt;500,0,0)))</f>
        <v>0</v>
      </c>
      <c r="F19" s="13" t="str">
        <f ca="1">IF(E19=1,"This is a Minimum Premium logic case","")</f>
        <v/>
      </c>
      <c r="G19" s="6" t="str">
        <f ca="1">IF(AND(F19&lt;&gt;"",COUNTA(F20:$F$26)-COUNTBLANK(F20:$F$26)&gt;0)," | | ","")</f>
        <v/>
      </c>
    </row>
    <row r="20" spans="3:11" x14ac:dyDescent="0.3">
      <c r="C20" s="24">
        <v>16</v>
      </c>
      <c r="D20" s="73" t="s">
        <v>12366</v>
      </c>
      <c r="E20" s="13">
        <f>IF(medex_per_person_limit&gt;medex_pp_flag,1,0)</f>
        <v>0</v>
      </c>
      <c r="F20" s="13" t="str">
        <f>IF(E20=1,"Medex Per Person Limit beyond the limit defined in the master.","")</f>
        <v/>
      </c>
      <c r="G20" s="6" t="str">
        <f>IF(AND(F20&lt;&gt;"",COUNTA(F21:$F$26)-COUNTBLANK(F21:$F$26)&gt;0)," | | ","")</f>
        <v/>
      </c>
    </row>
    <row r="21" spans="3:11" x14ac:dyDescent="0.3">
      <c r="C21" s="24">
        <v>17</v>
      </c>
      <c r="D21" s="13" t="s">
        <v>12367</v>
      </c>
      <c r="E21" s="13">
        <f>IF(medex_aggregate_limit&gt;medex_agg_flag,1,0)</f>
        <v>0</v>
      </c>
      <c r="F21" s="13" t="str">
        <f>IF(E21=1,"Medex Aggregate Limit Not as per the master.","")</f>
        <v/>
      </c>
      <c r="G21" s="6" t="str">
        <f>IF(AND(F21&lt;&gt;"",COUNTA(F22:$F$26)-COUNTBLANK(F22:$F$26)&gt;0)," | | ","")</f>
        <v/>
      </c>
      <c r="H21" s="141"/>
      <c r="I21" s="170"/>
    </row>
    <row r="22" spans="3:11" x14ac:dyDescent="0.3">
      <c r="C22" s="24">
        <v>18</v>
      </c>
      <c r="D22" s="13" t="s">
        <v>11383</v>
      </c>
      <c r="E22" s="13">
        <f>IF(AND(medex_act_flag="No",medex_actuals="Yes"),1,0)</f>
        <v>0</v>
      </c>
      <c r="F22" s="13" t="str">
        <f>IF(E22=1,"Medex Actuals is not as per the master.","")</f>
        <v/>
      </c>
      <c r="G22" s="6" t="str">
        <f>IF(AND(F22&lt;&gt;"",COUNTA(F23:$F$26)-COUNTBLANK(F23:$F$26)&gt;0)," | | ","")</f>
        <v/>
      </c>
      <c r="H22" s="141"/>
      <c r="I22" s="170"/>
    </row>
    <row r="23" spans="3:11" x14ac:dyDescent="0.3">
      <c r="C23" s="24">
        <v>19</v>
      </c>
      <c r="D23" s="13" t="s">
        <v>12368</v>
      </c>
      <c r="E23" s="13">
        <f>IF(od_per_person_limit&gt;od_pp_flag,1,0)</f>
        <v>0</v>
      </c>
      <c r="F23" s="13" t="str">
        <f>IF(E23=1,"OD Per Person Limit beyond the limit defined in the master.","")</f>
        <v/>
      </c>
      <c r="G23" s="6" t="str">
        <f>IF(AND(F23&lt;&gt;"",COUNTA(F24:$F$26)-COUNTBLANK(F24:$F$26)&gt;0)," | | ","")</f>
        <v/>
      </c>
    </row>
    <row r="24" spans="3:11" x14ac:dyDescent="0.3">
      <c r="C24" s="24">
        <v>20</v>
      </c>
      <c r="D24" s="13" t="s">
        <v>12369</v>
      </c>
      <c r="E24" s="13">
        <f>IF(od_aggregate_limit&gt;od_agg_flag,1,0)</f>
        <v>0</v>
      </c>
      <c r="F24" s="13" t="str">
        <f>IF(E24=1,"OD Aggregate Limit Not as per the master.","")</f>
        <v/>
      </c>
      <c r="G24" s="6" t="str">
        <f>IF(AND(F24&lt;&gt;"",COUNTA(F25:$F$26)-COUNTBLANK(F25:$F$26)&gt;0)," | | ","")</f>
        <v/>
      </c>
    </row>
    <row r="25" spans="3:11" x14ac:dyDescent="0.3">
      <c r="C25" s="24">
        <v>21</v>
      </c>
      <c r="D25" s="13" t="s">
        <v>12370</v>
      </c>
      <c r="E25" s="13">
        <f>IF(AND(od_act_flag="No",od_actuals="Yes"),1,0)</f>
        <v>0</v>
      </c>
      <c r="F25" s="13" t="str">
        <f>IF(E25=1,"OD Actuals is not as per the master.","")</f>
        <v/>
      </c>
      <c r="G25" s="6" t="str">
        <f>IF(AND(F25&lt;&gt;"",COUNTA(F26:$F$26)-COUNTBLANK(F26:$F$26)&gt;0)," | | ","")</f>
        <v/>
      </c>
      <c r="K25" s="51"/>
    </row>
    <row r="26" spans="3:11" x14ac:dyDescent="0.3">
      <c r="C26" s="24">
        <v>22</v>
      </c>
      <c r="D26" s="13" t="s">
        <v>13083</v>
      </c>
      <c r="E26" s="13">
        <f>IF(OR(loading_discount="",loading_discount=0),0,IF(AND(internal_uw_app&lt;&gt;1,OR(load_disc_perc&lt;producer_min_dis,load_disc_perc&gt;producer_max_load)),1,0))</f>
        <v>0</v>
      </c>
      <c r="F26" s="13" t="str">
        <f>IF(E26=1,"Producer L/D% beyond the limit defined in the master.","")</f>
        <v/>
      </c>
    </row>
    <row r="27" spans="3:11" x14ac:dyDescent="0.3">
      <c r="C27" s="24"/>
      <c r="D27" s="13"/>
      <c r="E27" s="13"/>
      <c r="F27" s="13"/>
    </row>
    <row r="28" spans="3:11" ht="57.6" x14ac:dyDescent="0.3">
      <c r="E28" s="153" t="s">
        <v>13237</v>
      </c>
      <c r="F28" s="19" t="str">
        <f ca="1">CONCATENATE(F5,G5,F6,G6,F7,G7,F8,G8,F9,G9,F10,G10,F11,G11,F12,G12,F13,G13,F14,G14,F15,G15,F16,G16,F17,G17,F18,G18,F19,G19,F20,G20,F21,G21,F22,G22,F23,G23,F24,G24,F25,G25,F26,IF(nstp_flag="Yes"," | | Since this is a underwriter referral case, hence all premium attributes are populated as Re.1",""))</f>
        <v/>
      </c>
    </row>
    <row r="31" spans="3:11" x14ac:dyDescent="0.3">
      <c r="C31" s="55" t="s">
        <v>11286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1A985-89D6-4B83-BDCF-8D147FABD3E8}">
  <dimension ref="B2:O61"/>
  <sheetViews>
    <sheetView topLeftCell="D1" workbookViewId="0">
      <selection activeCell="N21" sqref="N21"/>
    </sheetView>
  </sheetViews>
  <sheetFormatPr defaultRowHeight="14.4" x14ac:dyDescent="0.3"/>
  <cols>
    <col min="2" max="2" width="10.33203125" bestFit="1" customWidth="1"/>
    <col min="3" max="3" width="21.21875" customWidth="1"/>
    <col min="4" max="4" width="14" bestFit="1" customWidth="1"/>
    <col min="5" max="5" width="20.21875" bestFit="1" customWidth="1"/>
    <col min="6" max="7" width="20.21875" customWidth="1"/>
    <col min="8" max="8" width="10.33203125" bestFit="1" customWidth="1"/>
    <col min="9" max="9" width="20.6640625" bestFit="1" customWidth="1"/>
    <col min="11" max="11" width="12" bestFit="1" customWidth="1"/>
    <col min="12" max="12" width="33" customWidth="1"/>
    <col min="13" max="13" width="10.33203125" bestFit="1" customWidth="1"/>
    <col min="14" max="14" width="20.6640625" bestFit="1" customWidth="1"/>
  </cols>
  <sheetData>
    <row r="2" spans="2:15" x14ac:dyDescent="0.3">
      <c r="C2" s="159" t="s">
        <v>13238</v>
      </c>
      <c r="K2" s="159" t="s">
        <v>13239</v>
      </c>
    </row>
    <row r="4" spans="2:15" ht="15.6" x14ac:dyDescent="0.3">
      <c r="B4" s="161" t="s">
        <v>13297</v>
      </c>
      <c r="C4" s="164" t="s">
        <v>45</v>
      </c>
      <c r="D4" s="161" t="s">
        <v>13283</v>
      </c>
      <c r="E4" s="161" t="s">
        <v>13284</v>
      </c>
      <c r="F4" s="208" t="s">
        <v>202</v>
      </c>
      <c r="G4" s="209"/>
      <c r="H4" s="162" t="s">
        <v>203</v>
      </c>
      <c r="I4" s="162" t="s">
        <v>204</v>
      </c>
      <c r="K4" s="161" t="s">
        <v>13297</v>
      </c>
      <c r="L4" s="23" t="s">
        <v>202</v>
      </c>
      <c r="M4" s="23" t="s">
        <v>203</v>
      </c>
      <c r="N4" s="23" t="s">
        <v>204</v>
      </c>
    </row>
    <row r="5" spans="2:15" x14ac:dyDescent="0.3">
      <c r="B5" s="46">
        <v>1</v>
      </c>
      <c r="C5" s="47" t="str">
        <f>'Trade Category Identification'!F5</f>
        <v>-</v>
      </c>
      <c r="D5" s="13" t="str">
        <f>IFERROR(VLOOKUP(C5,'Trade Category Referral Masters'!J:O,5,0),"")</f>
        <v/>
      </c>
      <c r="E5" s="47" t="str">
        <f>IFERROR(VLOOKUP(C5,'Trade Category Referral Masters'!J:O,6,0),"")</f>
        <v/>
      </c>
      <c r="F5" s="46">
        <f>IF(AND(medex_actuals="Yes",'Renewal Policy Status'!D5="Yes"),1,0)</f>
        <v>0</v>
      </c>
      <c r="G5" s="13">
        <f t="shared" ref="G5:G36" si="0">IF(AND(E5="Yes",OR(od_per_person_limit&gt;0,od_aggregate_limit&gt;0,od_actuals="Yes")),1,0)</f>
        <v>0</v>
      </c>
      <c r="H5" s="46">
        <f>COUNTIF(F5:G5,1)</f>
        <v>0</v>
      </c>
      <c r="I5" s="47" t="str">
        <f t="shared" ref="I5:I36" si="1">IF(AND(D5="Yes",E5="Yes",H5=1),$C$61,IF(AND(D5="Yes",H5=1),$C$59,IF(AND(E5="Yes",H5=1),$C$60,"")))</f>
        <v/>
      </c>
      <c r="J5" s="160" t="str">
        <f>IF(AND(I5&lt;&gt;"",COUNTA(I6:$I$57)-COUNTBLANK(I6:$I$57)&gt;0),"||","")</f>
        <v/>
      </c>
      <c r="K5" s="13">
        <v>1</v>
      </c>
      <c r="L5" s="13" t="s">
        <v>13240</v>
      </c>
      <c r="M5" s="13">
        <f>IF(total_workers&gt;200,1,0)</f>
        <v>0</v>
      </c>
      <c r="N5" s="47" t="str">
        <f>IF(M5=1,"Policy declined due to total workers exceeded the limit","")</f>
        <v/>
      </c>
      <c r="O5" s="160" t="str">
        <f>IF(AND(N5&lt;&gt;"",COUNTA(N6:$N$9)-COUNTBLANK(N6:$N$9)&gt;0),"||","")</f>
        <v/>
      </c>
    </row>
    <row r="6" spans="2:15" x14ac:dyDescent="0.3">
      <c r="B6" s="46">
        <f>1+B5</f>
        <v>2</v>
      </c>
      <c r="C6" s="47" t="str">
        <f>'Trade Category Identification'!F6</f>
        <v>-</v>
      </c>
      <c r="D6" s="13" t="str">
        <f>IFERROR(VLOOKUP(C6,'Trade Category Referral Masters'!J:O,5,0),"")</f>
        <v/>
      </c>
      <c r="E6" s="47" t="str">
        <f>IFERROR(VLOOKUP(C6,'Trade Category Referral Masters'!J:O,6,0),"")</f>
        <v/>
      </c>
      <c r="F6" s="46">
        <f>IF(AND(medex_actuals="Yes",'Renewal Policy Status'!D6="Yes"),1,0)</f>
        <v>0</v>
      </c>
      <c r="G6" s="13">
        <f t="shared" si="0"/>
        <v>0</v>
      </c>
      <c r="H6" s="46">
        <f t="shared" ref="H6:H54" si="2">COUNTIF(F6:G6,1)</f>
        <v>0</v>
      </c>
      <c r="I6" s="47" t="str">
        <f t="shared" si="1"/>
        <v/>
      </c>
      <c r="J6" s="160" t="str">
        <f>IF(AND(I6&lt;&gt;"",COUNTA(I7:$I$57)-COUNTBLANK(I7:$I$57)&gt;0),"||","")</f>
        <v/>
      </c>
      <c r="K6" s="13">
        <v>2</v>
      </c>
      <c r="L6" s="13" t="s">
        <v>13247</v>
      </c>
      <c r="M6" s="13">
        <f>IF(medex_per_person_limit&lt;0,1,0)</f>
        <v>0</v>
      </c>
      <c r="N6" s="47" t="str">
        <f>IF(M6=1,"Policy declined due to Negative MedEx Per Person Limit","")</f>
        <v/>
      </c>
      <c r="O6" s="160" t="str">
        <f>IF(AND(N6&lt;&gt;"",COUNTA(N7:$N$9)-COUNTBLANK(N7:$N$9)&gt;0),"||","")</f>
        <v/>
      </c>
    </row>
    <row r="7" spans="2:15" x14ac:dyDescent="0.3">
      <c r="B7" s="46">
        <f t="shared" ref="B7:B57" si="3">1+B6</f>
        <v>3</v>
      </c>
      <c r="C7" s="47" t="str">
        <f>'Trade Category Identification'!F7</f>
        <v>-</v>
      </c>
      <c r="D7" s="13" t="str">
        <f>IFERROR(VLOOKUP(C7,'Trade Category Referral Masters'!J:O,5,0),"")</f>
        <v/>
      </c>
      <c r="E7" s="47" t="str">
        <f>IFERROR(VLOOKUP(C7,'Trade Category Referral Masters'!J:O,6,0),"")</f>
        <v/>
      </c>
      <c r="F7" s="46">
        <f>IF(AND(medex_actuals="Yes",'Renewal Policy Status'!D7="Yes"),1,0)</f>
        <v>0</v>
      </c>
      <c r="G7" s="13">
        <f t="shared" si="0"/>
        <v>0</v>
      </c>
      <c r="H7" s="46">
        <f t="shared" si="2"/>
        <v>0</v>
      </c>
      <c r="I7" s="47" t="str">
        <f t="shared" si="1"/>
        <v/>
      </c>
      <c r="J7" s="160" t="str">
        <f>IF(AND(I7&lt;&gt;"",COUNTA(I8:$I$57)-COUNTBLANK(I8:$I$57)&gt;0),"||","")</f>
        <v/>
      </c>
      <c r="K7" s="13">
        <v>3</v>
      </c>
      <c r="L7" s="13" t="s">
        <v>13248</v>
      </c>
      <c r="M7" s="13">
        <f>IF(medex_aggregate_limit&lt;0,1,0)</f>
        <v>0</v>
      </c>
      <c r="N7" s="47" t="str">
        <f>IF(M7=1,"Policy declined due to Negative MedEx Aggregate Limit","")</f>
        <v/>
      </c>
      <c r="O7" s="160" t="str">
        <f>IF(AND(N7&lt;&gt;"",COUNTA(N8:$N$9)-COUNTBLANK(N8:$N$9)&gt;0),"||","")</f>
        <v/>
      </c>
    </row>
    <row r="8" spans="2:15" x14ac:dyDescent="0.3">
      <c r="B8" s="46">
        <f t="shared" si="3"/>
        <v>4</v>
      </c>
      <c r="C8" s="47" t="str">
        <f>'Trade Category Identification'!F8</f>
        <v>-</v>
      </c>
      <c r="D8" s="13" t="str">
        <f>IFERROR(VLOOKUP(C8,'Trade Category Referral Masters'!J:O,5,0),"")</f>
        <v/>
      </c>
      <c r="E8" s="47" t="str">
        <f>IFERROR(VLOOKUP(C8,'Trade Category Referral Masters'!J:O,6,0),"")</f>
        <v/>
      </c>
      <c r="F8" s="46">
        <f>IF(AND(medex_actuals="Yes",'Renewal Policy Status'!D8="Yes"),1,0)</f>
        <v>0</v>
      </c>
      <c r="G8" s="13">
        <f t="shared" si="0"/>
        <v>0</v>
      </c>
      <c r="H8" s="46">
        <f t="shared" si="2"/>
        <v>0</v>
      </c>
      <c r="I8" s="47" t="str">
        <f t="shared" si="1"/>
        <v/>
      </c>
      <c r="J8" s="160" t="str">
        <f>IF(AND(I8&lt;&gt;"",COUNTA(I9:$I$57)-COUNTBLANK(I9:$I$57)&gt;0),"||","")</f>
        <v/>
      </c>
      <c r="K8" s="13">
        <v>4</v>
      </c>
      <c r="L8" s="13" t="s">
        <v>13249</v>
      </c>
      <c r="M8" s="13">
        <f>IF(od_per_person_limit&lt;0,1,0)</f>
        <v>0</v>
      </c>
      <c r="N8" s="47" t="str">
        <f>IF(M8=1,"Policy declined due to Negative OD Per Person Limit","")</f>
        <v/>
      </c>
      <c r="O8" s="160" t="str">
        <f>IF(AND(N8&lt;&gt;"",COUNTA(N9:$N$9)-COUNTBLANK(N9:$N$9)&gt;0),"||","")</f>
        <v/>
      </c>
    </row>
    <row r="9" spans="2:15" x14ac:dyDescent="0.3">
      <c r="B9" s="46">
        <f t="shared" si="3"/>
        <v>5</v>
      </c>
      <c r="C9" s="47" t="str">
        <f>'Trade Category Identification'!F9</f>
        <v>-</v>
      </c>
      <c r="D9" s="13" t="str">
        <f>IFERROR(VLOOKUP(C9,'Trade Category Referral Masters'!J:O,5,0),"")</f>
        <v/>
      </c>
      <c r="E9" s="47" t="str">
        <f>IFERROR(VLOOKUP(C9,'Trade Category Referral Masters'!J:O,6,0),"")</f>
        <v/>
      </c>
      <c r="F9" s="46">
        <f>IF(AND(medex_actuals="Yes",'Renewal Policy Status'!D9="Yes"),1,0)</f>
        <v>0</v>
      </c>
      <c r="G9" s="13">
        <f t="shared" si="0"/>
        <v>0</v>
      </c>
      <c r="H9" s="46">
        <f t="shared" si="2"/>
        <v>0</v>
      </c>
      <c r="I9" s="47" t="str">
        <f t="shared" si="1"/>
        <v/>
      </c>
      <c r="J9" s="160" t="str">
        <f>IF(AND(I9&lt;&gt;"",COUNTA(I10:$I$57)-COUNTBLANK(I10:$I$57)&gt;0),"||","")</f>
        <v/>
      </c>
      <c r="K9" s="13">
        <v>5</v>
      </c>
      <c r="L9" s="13" t="s">
        <v>13250</v>
      </c>
      <c r="M9" s="13">
        <f>IF(od_aggregate_limit&lt;0,1,0)</f>
        <v>0</v>
      </c>
      <c r="N9" s="47" t="str">
        <f>IF(M9=1,"Policy declined due to Negative OD Aggregate Limit","")</f>
        <v/>
      </c>
      <c r="O9" s="160" t="str">
        <f>IF(AND(N9&lt;&gt;"",COUNTA(N$9:$N10)-COUNTBLANK(N$9:$N10)&gt;0),"||","")</f>
        <v/>
      </c>
    </row>
    <row r="10" spans="2:15" x14ac:dyDescent="0.3">
      <c r="B10" s="46">
        <f t="shared" si="3"/>
        <v>6</v>
      </c>
      <c r="C10" s="47" t="str">
        <f>'Trade Category Identification'!F10</f>
        <v>-</v>
      </c>
      <c r="D10" s="13" t="str">
        <f>IFERROR(VLOOKUP(C10,'Trade Category Referral Masters'!J:O,5,0),"")</f>
        <v/>
      </c>
      <c r="E10" s="47" t="str">
        <f>IFERROR(VLOOKUP(C10,'Trade Category Referral Masters'!J:O,6,0),"")</f>
        <v/>
      </c>
      <c r="F10" s="46">
        <f>IF(AND(medex_actuals="Yes",'Renewal Policy Status'!D10="Yes"),1,0)</f>
        <v>0</v>
      </c>
      <c r="G10" s="13">
        <f t="shared" si="0"/>
        <v>0</v>
      </c>
      <c r="H10" s="46">
        <f t="shared" si="2"/>
        <v>0</v>
      </c>
      <c r="I10" s="47" t="str">
        <f t="shared" si="1"/>
        <v/>
      </c>
      <c r="J10" s="160" t="str">
        <f>IF(AND(I10&lt;&gt;"",COUNTA(I11:$I$57)-COUNTBLANK(I11:$I$57)&gt;0),"||","")</f>
        <v/>
      </c>
      <c r="K10" s="13">
        <v>6</v>
      </c>
      <c r="L10" s="13" t="s">
        <v>13322</v>
      </c>
      <c r="M10" s="13">
        <f>IF('Trade Category Identification'!G4&gt;0,1,0)</f>
        <v>0</v>
      </c>
      <c r="N10" s="47" t="str">
        <f>IF(M10=1,"Trade Category is not available","")</f>
        <v/>
      </c>
    </row>
    <row r="11" spans="2:15" x14ac:dyDescent="0.3">
      <c r="B11" s="46">
        <f t="shared" si="3"/>
        <v>7</v>
      </c>
      <c r="C11" s="47" t="str">
        <f>'Trade Category Identification'!F11</f>
        <v>-</v>
      </c>
      <c r="D11" s="13" t="str">
        <f>IFERROR(VLOOKUP(C11,'Trade Category Referral Masters'!J:O,5,0),"")</f>
        <v/>
      </c>
      <c r="E11" s="47" t="str">
        <f>IFERROR(VLOOKUP(C11,'Trade Category Referral Masters'!J:O,6,0),"")</f>
        <v/>
      </c>
      <c r="F11" s="46">
        <f>IF(AND(medex_actuals="Yes",'Renewal Policy Status'!D11="Yes"),1,0)</f>
        <v>0</v>
      </c>
      <c r="G11" s="13">
        <f t="shared" si="0"/>
        <v>0</v>
      </c>
      <c r="H11" s="46">
        <f t="shared" si="2"/>
        <v>0</v>
      </c>
      <c r="I11" s="47" t="str">
        <f t="shared" si="1"/>
        <v/>
      </c>
      <c r="J11" s="160" t="str">
        <f>IF(AND(I11&lt;&gt;"",COUNTA(I12:$I$57)-COUNTBLANK(I12:$I$57)&gt;0),"||","")</f>
        <v/>
      </c>
      <c r="K11" s="13">
        <v>7</v>
      </c>
      <c r="L11" s="13" t="s">
        <v>13225</v>
      </c>
      <c r="M11" s="13">
        <f>IF(old_new_uin="",1,0)</f>
        <v>1</v>
      </c>
      <c r="N11" s="47" t="str">
        <f>IF(M11=1,"UIN is not available","")</f>
        <v>UIN is not available</v>
      </c>
    </row>
    <row r="12" spans="2:15" x14ac:dyDescent="0.3">
      <c r="B12" s="46">
        <f t="shared" si="3"/>
        <v>8</v>
      </c>
      <c r="C12" s="47" t="str">
        <f>'Trade Category Identification'!F12</f>
        <v>-</v>
      </c>
      <c r="D12" s="13" t="str">
        <f>IFERROR(VLOOKUP(C12,'Trade Category Referral Masters'!J:O,5,0),"")</f>
        <v/>
      </c>
      <c r="E12" s="47" t="str">
        <f>IFERROR(VLOOKUP(C12,'Trade Category Referral Masters'!J:O,6,0),"")</f>
        <v/>
      </c>
      <c r="F12" s="46">
        <f>IF(AND(medex_actuals="Yes",'Renewal Policy Status'!D12="Yes"),1,0)</f>
        <v>0</v>
      </c>
      <c r="G12" s="13">
        <f t="shared" si="0"/>
        <v>0</v>
      </c>
      <c r="H12" s="46">
        <f t="shared" si="2"/>
        <v>0</v>
      </c>
      <c r="I12" s="47" t="str">
        <f t="shared" si="1"/>
        <v/>
      </c>
      <c r="J12" s="160" t="str">
        <f>IF(AND(I12&lt;&gt;"",COUNTA(I13:$I$57)-COUNTBLANK(I13:$I$57)&gt;0),"||","")</f>
        <v/>
      </c>
      <c r="K12" s="13">
        <v>8</v>
      </c>
      <c r="L12" s="13"/>
      <c r="M12" s="13"/>
      <c r="N12" s="47"/>
    </row>
    <row r="13" spans="2:15" x14ac:dyDescent="0.3">
      <c r="B13" s="46">
        <f t="shared" si="3"/>
        <v>9</v>
      </c>
      <c r="C13" s="47" t="str">
        <f>'Trade Category Identification'!F13</f>
        <v>-</v>
      </c>
      <c r="D13" s="13" t="str">
        <f>IFERROR(VLOOKUP(C13,'Trade Category Referral Masters'!J:O,5,0),"")</f>
        <v/>
      </c>
      <c r="E13" s="47" t="str">
        <f>IFERROR(VLOOKUP(C13,'Trade Category Referral Masters'!J:O,6,0),"")</f>
        <v/>
      </c>
      <c r="F13" s="46">
        <f>IF(AND(medex_actuals="Yes",'Renewal Policy Status'!D13="Yes"),1,0)</f>
        <v>0</v>
      </c>
      <c r="G13" s="13">
        <f t="shared" si="0"/>
        <v>0</v>
      </c>
      <c r="H13" s="46">
        <f t="shared" si="2"/>
        <v>0</v>
      </c>
      <c r="I13" s="47" t="str">
        <f t="shared" si="1"/>
        <v/>
      </c>
      <c r="J13" s="160" t="str">
        <f>IF(AND(I13&lt;&gt;"",COUNTA(I14:$I$57)-COUNTBLANK(I14:$I$57)&gt;0),"||","")</f>
        <v/>
      </c>
      <c r="K13" s="13"/>
      <c r="L13" s="13"/>
      <c r="M13" s="13"/>
      <c r="N13" s="47"/>
    </row>
    <row r="14" spans="2:15" x14ac:dyDescent="0.3">
      <c r="B14" s="46">
        <f t="shared" si="3"/>
        <v>10</v>
      </c>
      <c r="C14" s="47" t="str">
        <f>'Trade Category Identification'!F14</f>
        <v>-</v>
      </c>
      <c r="D14" s="13" t="str">
        <f>IFERROR(VLOOKUP(C14,'Trade Category Referral Masters'!J:O,5,0),"")</f>
        <v/>
      </c>
      <c r="E14" s="47" t="str">
        <f>IFERROR(VLOOKUP(C14,'Trade Category Referral Masters'!J:O,6,0),"")</f>
        <v/>
      </c>
      <c r="F14" s="46">
        <f>IF(AND(medex_actuals="Yes",'Renewal Policy Status'!D14="Yes"),1,0)</f>
        <v>0</v>
      </c>
      <c r="G14" s="13">
        <f t="shared" si="0"/>
        <v>0</v>
      </c>
      <c r="H14" s="46">
        <f t="shared" si="2"/>
        <v>0</v>
      </c>
      <c r="I14" s="47" t="str">
        <f t="shared" si="1"/>
        <v/>
      </c>
      <c r="J14" s="160" t="str">
        <f>IF(AND(I14&lt;&gt;"",COUNTA(I15:$I$57)-COUNTBLANK(I15:$I$57)&gt;0),"||","")</f>
        <v/>
      </c>
      <c r="K14" s="13"/>
      <c r="L14" s="13"/>
      <c r="M14" s="13"/>
      <c r="N14" s="47"/>
    </row>
    <row r="15" spans="2:15" x14ac:dyDescent="0.3">
      <c r="B15" s="46">
        <f t="shared" si="3"/>
        <v>11</v>
      </c>
      <c r="C15" s="47" t="str">
        <f>'Trade Category Identification'!F15</f>
        <v>-</v>
      </c>
      <c r="D15" s="13" t="str">
        <f>IFERROR(VLOOKUP(C15,'Trade Category Referral Masters'!J:O,5,0),"")</f>
        <v/>
      </c>
      <c r="E15" s="47" t="str">
        <f>IFERROR(VLOOKUP(C15,'Trade Category Referral Masters'!J:O,6,0),"")</f>
        <v/>
      </c>
      <c r="F15" s="46">
        <f>IF(AND(medex_actuals="Yes",'Renewal Policy Status'!D15="Yes"),1,0)</f>
        <v>0</v>
      </c>
      <c r="G15" s="13">
        <f t="shared" si="0"/>
        <v>0</v>
      </c>
      <c r="H15" s="46">
        <f t="shared" si="2"/>
        <v>0</v>
      </c>
      <c r="I15" s="47" t="str">
        <f t="shared" si="1"/>
        <v/>
      </c>
      <c r="J15" s="160" t="str">
        <f>IF(AND(I15&lt;&gt;"",COUNTA(I16:$I$57)-COUNTBLANK(I16:$I$57)&gt;0),"||","")</f>
        <v/>
      </c>
      <c r="K15" s="13"/>
      <c r="L15" s="13"/>
      <c r="M15" s="13"/>
      <c r="N15" s="47"/>
    </row>
    <row r="16" spans="2:15" x14ac:dyDescent="0.3">
      <c r="B16" s="46">
        <f t="shared" si="3"/>
        <v>12</v>
      </c>
      <c r="C16" s="47" t="str">
        <f>'Trade Category Identification'!F16</f>
        <v>-</v>
      </c>
      <c r="D16" s="13" t="str">
        <f>IFERROR(VLOOKUP(C16,'Trade Category Referral Masters'!J:O,5,0),"")</f>
        <v/>
      </c>
      <c r="E16" s="47" t="str">
        <f>IFERROR(VLOOKUP(C16,'Trade Category Referral Masters'!J:O,6,0),"")</f>
        <v/>
      </c>
      <c r="F16" s="46">
        <f>IF(AND(medex_actuals="Yes",'Renewal Policy Status'!D16="Yes"),1,0)</f>
        <v>0</v>
      </c>
      <c r="G16" s="13">
        <f t="shared" si="0"/>
        <v>0</v>
      </c>
      <c r="H16" s="46">
        <f t="shared" si="2"/>
        <v>0</v>
      </c>
      <c r="I16" s="47" t="str">
        <f t="shared" si="1"/>
        <v/>
      </c>
      <c r="J16" s="160" t="str">
        <f>IF(AND(I16&lt;&gt;"",COUNTA(I17:$I$57)-COUNTBLANK(I17:$I$57)&gt;0),"||","")</f>
        <v/>
      </c>
      <c r="K16" s="13"/>
      <c r="L16" s="13"/>
      <c r="M16" s="47"/>
      <c r="N16" s="47"/>
    </row>
    <row r="17" spans="2:14" x14ac:dyDescent="0.3">
      <c r="B17" s="46">
        <f t="shared" si="3"/>
        <v>13</v>
      </c>
      <c r="C17" s="47" t="str">
        <f>'Trade Category Identification'!F17</f>
        <v>-</v>
      </c>
      <c r="D17" s="13" t="str">
        <f>IFERROR(VLOOKUP(C17,'Trade Category Referral Masters'!J:O,5,0),"")</f>
        <v/>
      </c>
      <c r="E17" s="47" t="str">
        <f>IFERROR(VLOOKUP(C17,'Trade Category Referral Masters'!J:O,6,0),"")</f>
        <v/>
      </c>
      <c r="F17" s="46">
        <f>IF(AND(medex_actuals="Yes",'Renewal Policy Status'!D17="Yes"),1,0)</f>
        <v>0</v>
      </c>
      <c r="G17" s="13">
        <f t="shared" si="0"/>
        <v>0</v>
      </c>
      <c r="H17" s="46">
        <f t="shared" si="2"/>
        <v>0</v>
      </c>
      <c r="I17" s="47" t="str">
        <f t="shared" si="1"/>
        <v/>
      </c>
      <c r="J17" s="160" t="str">
        <f>IF(AND(I17&lt;&gt;"",COUNTA(I18:$I$57)-COUNTBLANK(I18:$I$57)&gt;0),"||","")</f>
        <v/>
      </c>
      <c r="M17" s="163" t="str">
        <f>IF(SUM(M5:M16)&gt;0,"Yes","No")</f>
        <v>Yes</v>
      </c>
      <c r="N17" s="165" t="str">
        <f>CONCATENATE(N5,O5,N6,O6,N7,O7,N8,O8,N9,O9,N10,O10,N11,O11)</f>
        <v>UIN is not available</v>
      </c>
    </row>
    <row r="18" spans="2:14" x14ac:dyDescent="0.3">
      <c r="B18" s="46">
        <f t="shared" si="3"/>
        <v>14</v>
      </c>
      <c r="C18" s="47" t="str">
        <f>'Trade Category Identification'!F18</f>
        <v>-</v>
      </c>
      <c r="D18" s="13" t="str">
        <f>IFERROR(VLOOKUP(C18,'Trade Category Referral Masters'!J:O,5,0),"")</f>
        <v/>
      </c>
      <c r="E18" s="47" t="str">
        <f>IFERROR(VLOOKUP(C18,'Trade Category Referral Masters'!J:O,6,0),"")</f>
        <v/>
      </c>
      <c r="F18" s="46">
        <f>IF(AND(medex_actuals="Yes",'Renewal Policy Status'!D18="Yes"),1,0)</f>
        <v>0</v>
      </c>
      <c r="G18" s="13">
        <f t="shared" si="0"/>
        <v>0</v>
      </c>
      <c r="H18" s="46">
        <f t="shared" si="2"/>
        <v>0</v>
      </c>
      <c r="I18" s="47" t="str">
        <f t="shared" si="1"/>
        <v/>
      </c>
      <c r="J18" s="160" t="str">
        <f>IF(AND(I18&lt;&gt;"",COUNTA(I19:$I$57)-COUNTBLANK(I19:$I$57)&gt;0),"||","")</f>
        <v/>
      </c>
    </row>
    <row r="19" spans="2:14" x14ac:dyDescent="0.3">
      <c r="B19" s="46">
        <f t="shared" si="3"/>
        <v>15</v>
      </c>
      <c r="C19" s="47" t="str">
        <f>'Trade Category Identification'!F19</f>
        <v>-</v>
      </c>
      <c r="D19" s="13" t="str">
        <f>IFERROR(VLOOKUP(C19,'Trade Category Referral Masters'!J:O,5,0),"")</f>
        <v/>
      </c>
      <c r="E19" s="47" t="str">
        <f>IFERROR(VLOOKUP(C19,'Trade Category Referral Masters'!J:O,6,0),"")</f>
        <v/>
      </c>
      <c r="F19" s="46">
        <f>IF(AND(medex_actuals="Yes",'Renewal Policy Status'!D19="Yes"),1,0)</f>
        <v>0</v>
      </c>
      <c r="G19" s="13">
        <f t="shared" si="0"/>
        <v>0</v>
      </c>
      <c r="H19" s="46">
        <f t="shared" si="2"/>
        <v>0</v>
      </c>
      <c r="I19" s="47" t="str">
        <f t="shared" si="1"/>
        <v/>
      </c>
      <c r="J19" s="160" t="str">
        <f>IF(AND(I19&lt;&gt;"",COUNTA(I20:$I$57)-COUNTBLANK(I20:$I$57)&gt;0),"||","")</f>
        <v/>
      </c>
    </row>
    <row r="20" spans="2:14" x14ac:dyDescent="0.3">
      <c r="B20" s="46">
        <f t="shared" si="3"/>
        <v>16</v>
      </c>
      <c r="C20" s="47" t="str">
        <f>'Trade Category Identification'!F20</f>
        <v>-</v>
      </c>
      <c r="D20" s="13" t="str">
        <f>IFERROR(VLOOKUP(C20,'Trade Category Referral Masters'!J:O,5,0),"")</f>
        <v/>
      </c>
      <c r="E20" s="47" t="str">
        <f>IFERROR(VLOOKUP(C20,'Trade Category Referral Masters'!J:O,6,0),"")</f>
        <v/>
      </c>
      <c r="F20" s="46">
        <f>IF(AND(medex_actuals="Yes",'Renewal Policy Status'!D20="Yes"),1,0)</f>
        <v>0</v>
      </c>
      <c r="G20" s="13">
        <f t="shared" si="0"/>
        <v>0</v>
      </c>
      <c r="H20" s="46">
        <f t="shared" si="2"/>
        <v>0</v>
      </c>
      <c r="I20" s="47" t="str">
        <f t="shared" si="1"/>
        <v/>
      </c>
      <c r="J20" s="160" t="str">
        <f>IF(AND(I20&lt;&gt;"",COUNTA(I21:$I$57)-COUNTBLANK(I21:$I$57)&gt;0),"||","")</f>
        <v/>
      </c>
    </row>
    <row r="21" spans="2:14" x14ac:dyDescent="0.3">
      <c r="B21" s="46">
        <f t="shared" si="3"/>
        <v>17</v>
      </c>
      <c r="C21" s="47" t="str">
        <f>'Trade Category Identification'!F21</f>
        <v>-</v>
      </c>
      <c r="D21" s="13" t="str">
        <f>IFERROR(VLOOKUP(C21,'Trade Category Referral Masters'!J:O,5,0),"")</f>
        <v/>
      </c>
      <c r="E21" s="47" t="str">
        <f>IFERROR(VLOOKUP(C21,'Trade Category Referral Masters'!J:O,6,0),"")</f>
        <v/>
      </c>
      <c r="F21" s="46">
        <f>IF(AND(medex_actuals="Yes",'Renewal Policy Status'!D21="Yes"),1,0)</f>
        <v>0</v>
      </c>
      <c r="G21" s="13">
        <f t="shared" si="0"/>
        <v>0</v>
      </c>
      <c r="H21" s="46">
        <f t="shared" si="2"/>
        <v>0</v>
      </c>
      <c r="I21" s="47" t="str">
        <f t="shared" si="1"/>
        <v/>
      </c>
      <c r="J21" s="160" t="str">
        <f>IF(AND(I21&lt;&gt;"",COUNTA(I22:$I$57)-COUNTBLANK(I22:$I$57)&gt;0),"||","")</f>
        <v/>
      </c>
    </row>
    <row r="22" spans="2:14" x14ac:dyDescent="0.3">
      <c r="B22" s="46">
        <f t="shared" si="3"/>
        <v>18</v>
      </c>
      <c r="C22" s="47" t="str">
        <f>'Trade Category Identification'!F22</f>
        <v>-</v>
      </c>
      <c r="D22" s="13" t="str">
        <f>IFERROR(VLOOKUP(C22,'Trade Category Referral Masters'!J:O,5,0),"")</f>
        <v/>
      </c>
      <c r="E22" s="47" t="str">
        <f>IFERROR(VLOOKUP(C22,'Trade Category Referral Masters'!J:O,6,0),"")</f>
        <v/>
      </c>
      <c r="F22" s="46">
        <f>IF(AND(medex_actuals="Yes",'Renewal Policy Status'!D22="Yes"),1,0)</f>
        <v>0</v>
      </c>
      <c r="G22" s="13">
        <f t="shared" si="0"/>
        <v>0</v>
      </c>
      <c r="H22" s="46">
        <f t="shared" si="2"/>
        <v>0</v>
      </c>
      <c r="I22" s="47" t="str">
        <f t="shared" si="1"/>
        <v/>
      </c>
      <c r="J22" s="160" t="str">
        <f>IF(AND(I22&lt;&gt;"",COUNTA(I23:$I$57)-COUNTBLANK(I23:$I$57)&gt;0),"||","")</f>
        <v/>
      </c>
      <c r="K22" s="13" t="s">
        <v>13241</v>
      </c>
      <c r="L22" s="166" t="str">
        <f>IF(M17="Yes","Decline",IF(H58="Yes","Referral","Accept"))</f>
        <v>Decline</v>
      </c>
    </row>
    <row r="23" spans="2:14" x14ac:dyDescent="0.3">
      <c r="B23" s="46">
        <f t="shared" si="3"/>
        <v>19</v>
      </c>
      <c r="C23" s="47" t="str">
        <f>'Trade Category Identification'!F23</f>
        <v>-</v>
      </c>
      <c r="D23" s="13" t="str">
        <f>IFERROR(VLOOKUP(C23,'Trade Category Referral Masters'!J:O,5,0),"")</f>
        <v/>
      </c>
      <c r="E23" s="47" t="str">
        <f>IFERROR(VLOOKUP(C23,'Trade Category Referral Masters'!J:O,6,0),"")</f>
        <v/>
      </c>
      <c r="F23" s="46">
        <f>IF(AND(medex_actuals="Yes",'Renewal Policy Status'!D23="Yes"),1,0)</f>
        <v>0</v>
      </c>
      <c r="G23" s="13">
        <f t="shared" si="0"/>
        <v>0</v>
      </c>
      <c r="H23" s="46">
        <f t="shared" si="2"/>
        <v>0</v>
      </c>
      <c r="I23" s="47" t="str">
        <f t="shared" si="1"/>
        <v/>
      </c>
      <c r="J23" s="160" t="str">
        <f>IF(AND(I23&lt;&gt;"",COUNTA(I24:$I$57)-COUNTBLANK(I24:$I$57)&gt;0),"||","")</f>
        <v/>
      </c>
      <c r="K23" s="13" t="s">
        <v>13242</v>
      </c>
      <c r="L23" s="166" t="str">
        <f>IF(L22="Decline",N17,IF(L22="Referral",I58,"Policy falls under Accept Category"))</f>
        <v>UIN is not available</v>
      </c>
    </row>
    <row r="24" spans="2:14" x14ac:dyDescent="0.3">
      <c r="B24" s="46">
        <f t="shared" si="3"/>
        <v>20</v>
      </c>
      <c r="C24" s="47" t="str">
        <f>'Trade Category Identification'!F24</f>
        <v>-</v>
      </c>
      <c r="D24" s="13" t="str">
        <f>IFERROR(VLOOKUP(C24,'Trade Category Referral Masters'!J:O,5,0),"")</f>
        <v/>
      </c>
      <c r="E24" s="47" t="str">
        <f>IFERROR(VLOOKUP(C24,'Trade Category Referral Masters'!J:O,6,0),"")</f>
        <v/>
      </c>
      <c r="F24" s="46">
        <f>IF(AND(medex_actuals="Yes",'Renewal Policy Status'!D24="Yes"),1,0)</f>
        <v>0</v>
      </c>
      <c r="G24" s="13">
        <f t="shared" si="0"/>
        <v>0</v>
      </c>
      <c r="H24" s="46">
        <f t="shared" si="2"/>
        <v>0</v>
      </c>
      <c r="I24" s="47" t="str">
        <f t="shared" si="1"/>
        <v/>
      </c>
      <c r="J24" s="160" t="str">
        <f>IF(AND(I24&lt;&gt;"",COUNTA(I25:$I$57)-COUNTBLANK(I25:$I$57)&gt;0),"||","")</f>
        <v/>
      </c>
    </row>
    <row r="25" spans="2:14" x14ac:dyDescent="0.3">
      <c r="B25" s="46">
        <f t="shared" si="3"/>
        <v>21</v>
      </c>
      <c r="C25" s="47" t="str">
        <f>'Trade Category Identification'!F25</f>
        <v>-</v>
      </c>
      <c r="D25" s="13" t="str">
        <f>IFERROR(VLOOKUP(C25,'Trade Category Referral Masters'!J:O,5,0),"")</f>
        <v/>
      </c>
      <c r="E25" s="47" t="str">
        <f>IFERROR(VLOOKUP(C25,'Trade Category Referral Masters'!J:O,6,0),"")</f>
        <v/>
      </c>
      <c r="F25" s="46">
        <f>IF(AND(medex_actuals="Yes",'Renewal Policy Status'!D25="Yes"),1,0)</f>
        <v>0</v>
      </c>
      <c r="G25" s="13">
        <f t="shared" si="0"/>
        <v>0</v>
      </c>
      <c r="H25" s="46">
        <f t="shared" si="2"/>
        <v>0</v>
      </c>
      <c r="I25" s="47" t="str">
        <f t="shared" si="1"/>
        <v/>
      </c>
      <c r="J25" s="160" t="str">
        <f>IF(AND(I25&lt;&gt;"",COUNTA(I26:$I$57)-COUNTBLANK(I26:$I$57)&gt;0),"||","")</f>
        <v/>
      </c>
    </row>
    <row r="26" spans="2:14" x14ac:dyDescent="0.3">
      <c r="B26" s="46">
        <f t="shared" si="3"/>
        <v>22</v>
      </c>
      <c r="C26" s="47" t="str">
        <f>'Trade Category Identification'!F26</f>
        <v>-</v>
      </c>
      <c r="D26" s="13" t="str">
        <f>IFERROR(VLOOKUP(C26,'Trade Category Referral Masters'!J:O,5,0),"")</f>
        <v/>
      </c>
      <c r="E26" s="47" t="str">
        <f>IFERROR(VLOOKUP(C26,'Trade Category Referral Masters'!J:O,6,0),"")</f>
        <v/>
      </c>
      <c r="F26" s="46">
        <f>IF(AND(medex_actuals="Yes",'Renewal Policy Status'!D26="Yes"),1,0)</f>
        <v>0</v>
      </c>
      <c r="G26" s="13">
        <f t="shared" si="0"/>
        <v>0</v>
      </c>
      <c r="H26" s="46">
        <f t="shared" si="2"/>
        <v>0</v>
      </c>
      <c r="I26" s="47" t="str">
        <f t="shared" si="1"/>
        <v/>
      </c>
      <c r="J26" s="160" t="str">
        <f>IF(AND(I26&lt;&gt;"",COUNTA(I27:$I$57)-COUNTBLANK(I27:$I$57)&gt;0),"||","")</f>
        <v/>
      </c>
    </row>
    <row r="27" spans="2:14" x14ac:dyDescent="0.3">
      <c r="B27" s="46">
        <f t="shared" si="3"/>
        <v>23</v>
      </c>
      <c r="C27" s="47" t="str">
        <f>'Trade Category Identification'!F27</f>
        <v>-</v>
      </c>
      <c r="D27" s="13" t="str">
        <f>IFERROR(VLOOKUP(C27,'Trade Category Referral Masters'!J:O,5,0),"")</f>
        <v/>
      </c>
      <c r="E27" s="47" t="str">
        <f>IFERROR(VLOOKUP(C27,'Trade Category Referral Masters'!J:O,6,0),"")</f>
        <v/>
      </c>
      <c r="F27" s="46">
        <f>IF(AND(medex_actuals="Yes",'Renewal Policy Status'!D27="Yes"),1,0)</f>
        <v>0</v>
      </c>
      <c r="G27" s="13">
        <f t="shared" si="0"/>
        <v>0</v>
      </c>
      <c r="H27" s="46">
        <f t="shared" si="2"/>
        <v>0</v>
      </c>
      <c r="I27" s="47" t="str">
        <f t="shared" si="1"/>
        <v/>
      </c>
      <c r="J27" s="160" t="str">
        <f>IF(AND(I27&lt;&gt;"",COUNTA(I28:$I$57)-COUNTBLANK(I28:$I$57)&gt;0),"||","")</f>
        <v/>
      </c>
    </row>
    <row r="28" spans="2:14" x14ac:dyDescent="0.3">
      <c r="B28" s="46">
        <f t="shared" si="3"/>
        <v>24</v>
      </c>
      <c r="C28" s="47" t="str">
        <f>'Trade Category Identification'!F28</f>
        <v>-</v>
      </c>
      <c r="D28" s="13" t="str">
        <f>IFERROR(VLOOKUP(C28,'Trade Category Referral Masters'!J:O,5,0),"")</f>
        <v/>
      </c>
      <c r="E28" s="47" t="str">
        <f>IFERROR(VLOOKUP(C28,'Trade Category Referral Masters'!J:O,6,0),"")</f>
        <v/>
      </c>
      <c r="F28" s="46">
        <f>IF(AND(medex_actuals="Yes",'Renewal Policy Status'!D28="Yes"),1,0)</f>
        <v>0</v>
      </c>
      <c r="G28" s="13">
        <f t="shared" si="0"/>
        <v>0</v>
      </c>
      <c r="H28" s="46">
        <f t="shared" si="2"/>
        <v>0</v>
      </c>
      <c r="I28" s="47" t="str">
        <f t="shared" si="1"/>
        <v/>
      </c>
      <c r="J28" s="160" t="str">
        <f>IF(AND(I28&lt;&gt;"",COUNTA(I29:$I$57)-COUNTBLANK(I29:$I$57)&gt;0),"||","")</f>
        <v/>
      </c>
    </row>
    <row r="29" spans="2:14" x14ac:dyDescent="0.3">
      <c r="B29" s="46">
        <f t="shared" si="3"/>
        <v>25</v>
      </c>
      <c r="C29" s="47" t="str">
        <f>'Trade Category Identification'!F29</f>
        <v>-</v>
      </c>
      <c r="D29" s="13" t="str">
        <f>IFERROR(VLOOKUP(C29,'Trade Category Referral Masters'!J:O,5,0),"")</f>
        <v/>
      </c>
      <c r="E29" s="47" t="str">
        <f>IFERROR(VLOOKUP(C29,'Trade Category Referral Masters'!J:O,6,0),"")</f>
        <v/>
      </c>
      <c r="F29" s="46">
        <f>IF(AND(medex_actuals="Yes",'Renewal Policy Status'!D29="Yes"),1,0)</f>
        <v>0</v>
      </c>
      <c r="G29" s="13">
        <f t="shared" si="0"/>
        <v>0</v>
      </c>
      <c r="H29" s="46">
        <f t="shared" si="2"/>
        <v>0</v>
      </c>
      <c r="I29" s="47" t="str">
        <f t="shared" si="1"/>
        <v/>
      </c>
      <c r="J29" s="160" t="str">
        <f>IF(AND(I29&lt;&gt;"",COUNTA(I30:$I$57)-COUNTBLANK(I30:$I$57)&gt;0),"||","")</f>
        <v/>
      </c>
    </row>
    <row r="30" spans="2:14" x14ac:dyDescent="0.3">
      <c r="B30" s="46">
        <f t="shared" si="3"/>
        <v>26</v>
      </c>
      <c r="C30" s="47" t="str">
        <f>'Trade Category Identification'!F30</f>
        <v>-</v>
      </c>
      <c r="D30" s="13" t="str">
        <f>IFERROR(VLOOKUP(C30,'Trade Category Referral Masters'!J:O,5,0),"")</f>
        <v/>
      </c>
      <c r="E30" s="47" t="str">
        <f>IFERROR(VLOOKUP(C30,'Trade Category Referral Masters'!J:O,6,0),"")</f>
        <v/>
      </c>
      <c r="F30" s="46">
        <f>IF(AND(medex_actuals="Yes",'Renewal Policy Status'!D30="Yes"),1,0)</f>
        <v>0</v>
      </c>
      <c r="G30" s="13">
        <f t="shared" si="0"/>
        <v>0</v>
      </c>
      <c r="H30" s="46">
        <f t="shared" si="2"/>
        <v>0</v>
      </c>
      <c r="I30" s="47" t="str">
        <f t="shared" si="1"/>
        <v/>
      </c>
      <c r="J30" s="160" t="str">
        <f>IF(AND(I30&lt;&gt;"",COUNTA(I31:$I$57)-COUNTBLANK(I31:$I$57)&gt;0),"||","")</f>
        <v/>
      </c>
    </row>
    <row r="31" spans="2:14" x14ac:dyDescent="0.3">
      <c r="B31" s="46">
        <f t="shared" si="3"/>
        <v>27</v>
      </c>
      <c r="C31" s="47" t="str">
        <f>'Trade Category Identification'!F31</f>
        <v>-</v>
      </c>
      <c r="D31" s="13" t="str">
        <f>IFERROR(VLOOKUP(C31,'Trade Category Referral Masters'!J:O,5,0),"")</f>
        <v/>
      </c>
      <c r="E31" s="47" t="str">
        <f>IFERROR(VLOOKUP(C31,'Trade Category Referral Masters'!J:O,6,0),"")</f>
        <v/>
      </c>
      <c r="F31" s="46">
        <f>IF(AND(medex_actuals="Yes",'Renewal Policy Status'!D31="Yes"),1,0)</f>
        <v>0</v>
      </c>
      <c r="G31" s="13">
        <f t="shared" si="0"/>
        <v>0</v>
      </c>
      <c r="H31" s="46">
        <f t="shared" si="2"/>
        <v>0</v>
      </c>
      <c r="I31" s="47" t="str">
        <f t="shared" si="1"/>
        <v/>
      </c>
      <c r="J31" s="160" t="str">
        <f>IF(AND(I31&lt;&gt;"",COUNTA(I32:$I$57)-COUNTBLANK(I32:$I$57)&gt;0),"||","")</f>
        <v/>
      </c>
    </row>
    <row r="32" spans="2:14" x14ac:dyDescent="0.3">
      <c r="B32" s="46">
        <f t="shared" si="3"/>
        <v>28</v>
      </c>
      <c r="C32" s="47" t="str">
        <f>'Trade Category Identification'!F32</f>
        <v>-</v>
      </c>
      <c r="D32" s="13" t="str">
        <f>IFERROR(VLOOKUP(C32,'Trade Category Referral Masters'!J:O,5,0),"")</f>
        <v/>
      </c>
      <c r="E32" s="47" t="str">
        <f>IFERROR(VLOOKUP(C32,'Trade Category Referral Masters'!J:O,6,0),"")</f>
        <v/>
      </c>
      <c r="F32" s="46">
        <f>IF(AND(medex_actuals="Yes",'Renewal Policy Status'!D32="Yes"),1,0)</f>
        <v>0</v>
      </c>
      <c r="G32" s="13">
        <f t="shared" si="0"/>
        <v>0</v>
      </c>
      <c r="H32" s="46">
        <f t="shared" si="2"/>
        <v>0</v>
      </c>
      <c r="I32" s="47" t="str">
        <f t="shared" si="1"/>
        <v/>
      </c>
      <c r="J32" s="160" t="str">
        <f>IF(AND(I32&lt;&gt;"",COUNTA(I33:$I$57)-COUNTBLANK(I33:$I$57)&gt;0),"||","")</f>
        <v/>
      </c>
    </row>
    <row r="33" spans="2:10" x14ac:dyDescent="0.3">
      <c r="B33" s="46">
        <f t="shared" si="3"/>
        <v>29</v>
      </c>
      <c r="C33" s="47" t="str">
        <f>'Trade Category Identification'!F33</f>
        <v>-</v>
      </c>
      <c r="D33" s="13" t="str">
        <f>IFERROR(VLOOKUP(C33,'Trade Category Referral Masters'!J:O,5,0),"")</f>
        <v/>
      </c>
      <c r="E33" s="47" t="str">
        <f>IFERROR(VLOOKUP(C33,'Trade Category Referral Masters'!J:O,6,0),"")</f>
        <v/>
      </c>
      <c r="F33" s="46">
        <f>IF(AND(medex_actuals="Yes",'Renewal Policy Status'!D33="Yes"),1,0)</f>
        <v>0</v>
      </c>
      <c r="G33" s="13">
        <f t="shared" si="0"/>
        <v>0</v>
      </c>
      <c r="H33" s="46">
        <f t="shared" si="2"/>
        <v>0</v>
      </c>
      <c r="I33" s="47" t="str">
        <f t="shared" si="1"/>
        <v/>
      </c>
      <c r="J33" s="160" t="str">
        <f>IF(AND(I33&lt;&gt;"",COUNTA(I34:$I$57)-COUNTBLANK(I34:$I$57)&gt;0),"||","")</f>
        <v/>
      </c>
    </row>
    <row r="34" spans="2:10" x14ac:dyDescent="0.3">
      <c r="B34" s="46">
        <f t="shared" si="3"/>
        <v>30</v>
      </c>
      <c r="C34" s="47" t="str">
        <f>'Trade Category Identification'!F34</f>
        <v>-</v>
      </c>
      <c r="D34" s="13" t="str">
        <f>IFERROR(VLOOKUP(C34,'Trade Category Referral Masters'!J:O,5,0),"")</f>
        <v/>
      </c>
      <c r="E34" s="47" t="str">
        <f>IFERROR(VLOOKUP(C34,'Trade Category Referral Masters'!J:O,6,0),"")</f>
        <v/>
      </c>
      <c r="F34" s="46">
        <f>IF(AND(medex_actuals="Yes",'Renewal Policy Status'!D34="Yes"),1,0)</f>
        <v>0</v>
      </c>
      <c r="G34" s="13">
        <f t="shared" si="0"/>
        <v>0</v>
      </c>
      <c r="H34" s="46">
        <f t="shared" si="2"/>
        <v>0</v>
      </c>
      <c r="I34" s="47" t="str">
        <f t="shared" si="1"/>
        <v/>
      </c>
      <c r="J34" s="160" t="str">
        <f>IF(AND(I34&lt;&gt;"",COUNTA(I35:$I$57)-COUNTBLANK(I35:$I$57)&gt;0),"||","")</f>
        <v/>
      </c>
    </row>
    <row r="35" spans="2:10" x14ac:dyDescent="0.3">
      <c r="B35" s="46">
        <f t="shared" si="3"/>
        <v>31</v>
      </c>
      <c r="C35" s="47" t="str">
        <f>'Trade Category Identification'!F35</f>
        <v>-</v>
      </c>
      <c r="D35" s="13" t="str">
        <f>IFERROR(VLOOKUP(C35,'Trade Category Referral Masters'!J:O,5,0),"")</f>
        <v/>
      </c>
      <c r="E35" s="47" t="str">
        <f>IFERROR(VLOOKUP(C35,'Trade Category Referral Masters'!J:O,6,0),"")</f>
        <v/>
      </c>
      <c r="F35" s="46">
        <f>IF(AND(medex_actuals="Yes",'Renewal Policy Status'!D35="Yes"),1,0)</f>
        <v>0</v>
      </c>
      <c r="G35" s="13">
        <f t="shared" si="0"/>
        <v>0</v>
      </c>
      <c r="H35" s="46">
        <f t="shared" si="2"/>
        <v>0</v>
      </c>
      <c r="I35" s="47" t="str">
        <f t="shared" si="1"/>
        <v/>
      </c>
      <c r="J35" s="160" t="str">
        <f>IF(AND(I35&lt;&gt;"",COUNTA(I36:$I$57)-COUNTBLANK(I36:$I$57)&gt;0),"||","")</f>
        <v/>
      </c>
    </row>
    <row r="36" spans="2:10" x14ac:dyDescent="0.3">
      <c r="B36" s="46">
        <f t="shared" si="3"/>
        <v>32</v>
      </c>
      <c r="C36" s="47" t="str">
        <f>'Trade Category Identification'!F36</f>
        <v>-</v>
      </c>
      <c r="D36" s="13" t="str">
        <f>IFERROR(VLOOKUP(C36,'Trade Category Referral Masters'!J:O,5,0),"")</f>
        <v/>
      </c>
      <c r="E36" s="47" t="str">
        <f>IFERROR(VLOOKUP(C36,'Trade Category Referral Masters'!J:O,6,0),"")</f>
        <v/>
      </c>
      <c r="F36" s="46">
        <f>IF(AND(medex_actuals="Yes",'Renewal Policy Status'!D36="Yes"),1,0)</f>
        <v>0</v>
      </c>
      <c r="G36" s="13">
        <f t="shared" si="0"/>
        <v>0</v>
      </c>
      <c r="H36" s="46">
        <f t="shared" si="2"/>
        <v>0</v>
      </c>
      <c r="I36" s="47" t="str">
        <f t="shared" si="1"/>
        <v/>
      </c>
      <c r="J36" s="160" t="str">
        <f>IF(AND(I36&lt;&gt;"",COUNTA(I37:$I$57)-COUNTBLANK(I37:$I$57)&gt;0),"||","")</f>
        <v/>
      </c>
    </row>
    <row r="37" spans="2:10" x14ac:dyDescent="0.3">
      <c r="B37" s="46">
        <f t="shared" si="3"/>
        <v>33</v>
      </c>
      <c r="C37" s="47" t="str">
        <f>'Trade Category Identification'!F37</f>
        <v>-</v>
      </c>
      <c r="D37" s="13" t="str">
        <f>IFERROR(VLOOKUP(C37,'Trade Category Referral Masters'!J:O,5,0),"")</f>
        <v/>
      </c>
      <c r="E37" s="47" t="str">
        <f>IFERROR(VLOOKUP(C37,'Trade Category Referral Masters'!J:O,6,0),"")</f>
        <v/>
      </c>
      <c r="F37" s="46">
        <f>IF(AND(medex_actuals="Yes",'Renewal Policy Status'!D37="Yes"),1,0)</f>
        <v>0</v>
      </c>
      <c r="G37" s="13">
        <f t="shared" ref="G37:G54" si="4">IF(AND(E37="Yes",OR(od_per_person_limit&gt;0,od_aggregate_limit&gt;0,od_actuals="Yes")),1,0)</f>
        <v>0</v>
      </c>
      <c r="H37" s="46">
        <f t="shared" si="2"/>
        <v>0</v>
      </c>
      <c r="I37" s="47" t="str">
        <f t="shared" ref="I37:I54" si="5">IF(AND(D37="Yes",E37="Yes",H37=1),$C$61,IF(AND(D37="Yes",H37=1),$C$59,IF(AND(E37="Yes",H37=1),$C$60,"")))</f>
        <v/>
      </c>
      <c r="J37" s="160" t="str">
        <f>IF(AND(I37&lt;&gt;"",COUNTA(I38:$I$57)-COUNTBLANK(I38:$I$57)&gt;0),"||","")</f>
        <v/>
      </c>
    </row>
    <row r="38" spans="2:10" x14ac:dyDescent="0.3">
      <c r="B38" s="46">
        <f t="shared" si="3"/>
        <v>34</v>
      </c>
      <c r="C38" s="47" t="str">
        <f>'Trade Category Identification'!F38</f>
        <v>-</v>
      </c>
      <c r="D38" s="13" t="str">
        <f>IFERROR(VLOOKUP(C38,'Trade Category Referral Masters'!J:O,5,0),"")</f>
        <v/>
      </c>
      <c r="E38" s="47" t="str">
        <f>IFERROR(VLOOKUP(C38,'Trade Category Referral Masters'!J:O,6,0),"")</f>
        <v/>
      </c>
      <c r="F38" s="46">
        <f>IF(AND(medex_actuals="Yes",'Renewal Policy Status'!D38="Yes"),1,0)</f>
        <v>0</v>
      </c>
      <c r="G38" s="13">
        <f t="shared" si="4"/>
        <v>0</v>
      </c>
      <c r="H38" s="46">
        <f t="shared" si="2"/>
        <v>0</v>
      </c>
      <c r="I38" s="47" t="str">
        <f t="shared" si="5"/>
        <v/>
      </c>
      <c r="J38" s="160" t="str">
        <f>IF(AND(I38&lt;&gt;"",COUNTA(I39:$I$57)-COUNTBLANK(I39:$I$57)&gt;0),"||","")</f>
        <v/>
      </c>
    </row>
    <row r="39" spans="2:10" x14ac:dyDescent="0.3">
      <c r="B39" s="46">
        <f t="shared" si="3"/>
        <v>35</v>
      </c>
      <c r="C39" s="47" t="str">
        <f>'Trade Category Identification'!F39</f>
        <v>-</v>
      </c>
      <c r="D39" s="13" t="str">
        <f>IFERROR(VLOOKUP(C39,'Trade Category Referral Masters'!J:O,5,0),"")</f>
        <v/>
      </c>
      <c r="E39" s="47" t="str">
        <f>IFERROR(VLOOKUP(C39,'Trade Category Referral Masters'!J:O,6,0),"")</f>
        <v/>
      </c>
      <c r="F39" s="46">
        <f>IF(AND(medex_actuals="Yes",'Renewal Policy Status'!D39="Yes"),1,0)</f>
        <v>0</v>
      </c>
      <c r="G39" s="13">
        <f t="shared" si="4"/>
        <v>0</v>
      </c>
      <c r="H39" s="46">
        <f t="shared" si="2"/>
        <v>0</v>
      </c>
      <c r="I39" s="47" t="str">
        <f t="shared" si="5"/>
        <v/>
      </c>
      <c r="J39" s="160" t="str">
        <f>IF(AND(I39&lt;&gt;"",COUNTA(I40:$I$57)-COUNTBLANK(I40:$I$57)&gt;0),"||","")</f>
        <v/>
      </c>
    </row>
    <row r="40" spans="2:10" x14ac:dyDescent="0.3">
      <c r="B40" s="46">
        <f t="shared" si="3"/>
        <v>36</v>
      </c>
      <c r="C40" s="47" t="str">
        <f>'Trade Category Identification'!F40</f>
        <v>-</v>
      </c>
      <c r="D40" s="13" t="str">
        <f>IFERROR(VLOOKUP(C40,'Trade Category Referral Masters'!J:O,5,0),"")</f>
        <v/>
      </c>
      <c r="E40" s="47" t="str">
        <f>IFERROR(VLOOKUP(C40,'Trade Category Referral Masters'!J:O,6,0),"")</f>
        <v/>
      </c>
      <c r="F40" s="46">
        <f>IF(AND(medex_actuals="Yes",'Renewal Policy Status'!D40="Yes"),1,0)</f>
        <v>0</v>
      </c>
      <c r="G40" s="13">
        <f t="shared" si="4"/>
        <v>0</v>
      </c>
      <c r="H40" s="46">
        <f t="shared" si="2"/>
        <v>0</v>
      </c>
      <c r="I40" s="47" t="str">
        <f t="shared" si="5"/>
        <v/>
      </c>
      <c r="J40" s="160" t="str">
        <f>IF(AND(I40&lt;&gt;"",COUNTA(I41:$I$57)-COUNTBLANK(I41:$I$57)&gt;0),"||","")</f>
        <v/>
      </c>
    </row>
    <row r="41" spans="2:10" x14ac:dyDescent="0.3">
      <c r="B41" s="46">
        <f t="shared" si="3"/>
        <v>37</v>
      </c>
      <c r="C41" s="47" t="str">
        <f>'Trade Category Identification'!F41</f>
        <v>-</v>
      </c>
      <c r="D41" s="13" t="str">
        <f>IFERROR(VLOOKUP(C41,'Trade Category Referral Masters'!J:O,5,0),"")</f>
        <v/>
      </c>
      <c r="E41" s="47" t="str">
        <f>IFERROR(VLOOKUP(C41,'Trade Category Referral Masters'!J:O,6,0),"")</f>
        <v/>
      </c>
      <c r="F41" s="46">
        <f>IF(AND(medex_actuals="Yes",'Renewal Policy Status'!D41="Yes"),1,0)</f>
        <v>0</v>
      </c>
      <c r="G41" s="13">
        <f t="shared" si="4"/>
        <v>0</v>
      </c>
      <c r="H41" s="46">
        <f t="shared" si="2"/>
        <v>0</v>
      </c>
      <c r="I41" s="47" t="str">
        <f t="shared" si="5"/>
        <v/>
      </c>
      <c r="J41" s="160" t="str">
        <f>IF(AND(I41&lt;&gt;"",COUNTA(I42:$I$57)-COUNTBLANK(I42:$I$57)&gt;0),"||","")</f>
        <v/>
      </c>
    </row>
    <row r="42" spans="2:10" x14ac:dyDescent="0.3">
      <c r="B42" s="46">
        <f t="shared" si="3"/>
        <v>38</v>
      </c>
      <c r="C42" s="47" t="str">
        <f>'Trade Category Identification'!F42</f>
        <v>-</v>
      </c>
      <c r="D42" s="13" t="str">
        <f>IFERROR(VLOOKUP(C42,'Trade Category Referral Masters'!J:O,5,0),"")</f>
        <v/>
      </c>
      <c r="E42" s="47" t="str">
        <f>IFERROR(VLOOKUP(C42,'Trade Category Referral Masters'!J:O,6,0),"")</f>
        <v/>
      </c>
      <c r="F42" s="46">
        <f>IF(AND(medex_actuals="Yes",'Renewal Policy Status'!D42="Yes"),1,0)</f>
        <v>0</v>
      </c>
      <c r="G42" s="13">
        <f t="shared" si="4"/>
        <v>0</v>
      </c>
      <c r="H42" s="46">
        <f t="shared" si="2"/>
        <v>0</v>
      </c>
      <c r="I42" s="47" t="str">
        <f t="shared" si="5"/>
        <v/>
      </c>
      <c r="J42" s="160" t="str">
        <f>IF(AND(I42&lt;&gt;"",COUNTA(I43:$I$57)-COUNTBLANK(I43:$I$57)&gt;0),"||","")</f>
        <v/>
      </c>
    </row>
    <row r="43" spans="2:10" x14ac:dyDescent="0.3">
      <c r="B43" s="46">
        <f t="shared" si="3"/>
        <v>39</v>
      </c>
      <c r="C43" s="47" t="str">
        <f>'Trade Category Identification'!F43</f>
        <v>-</v>
      </c>
      <c r="D43" s="13" t="str">
        <f>IFERROR(VLOOKUP(C43,'Trade Category Referral Masters'!J:O,5,0),"")</f>
        <v/>
      </c>
      <c r="E43" s="47" t="str">
        <f>IFERROR(VLOOKUP(C43,'Trade Category Referral Masters'!J:O,6,0),"")</f>
        <v/>
      </c>
      <c r="F43" s="46">
        <f>IF(AND(medex_actuals="Yes",'Renewal Policy Status'!D43="Yes"),1,0)</f>
        <v>0</v>
      </c>
      <c r="G43" s="13">
        <f t="shared" si="4"/>
        <v>0</v>
      </c>
      <c r="H43" s="46">
        <f t="shared" si="2"/>
        <v>0</v>
      </c>
      <c r="I43" s="47" t="str">
        <f t="shared" si="5"/>
        <v/>
      </c>
      <c r="J43" s="160" t="str">
        <f>IF(AND(I43&lt;&gt;"",COUNTA(I44:$I$57)-COUNTBLANK(I44:$I$57)&gt;0),"||","")</f>
        <v/>
      </c>
    </row>
    <row r="44" spans="2:10" x14ac:dyDescent="0.3">
      <c r="B44" s="46">
        <f t="shared" si="3"/>
        <v>40</v>
      </c>
      <c r="C44" s="47" t="str">
        <f>'Trade Category Identification'!F44</f>
        <v>-</v>
      </c>
      <c r="D44" s="13" t="str">
        <f>IFERROR(VLOOKUP(C44,'Trade Category Referral Masters'!J:O,5,0),"")</f>
        <v/>
      </c>
      <c r="E44" s="47" t="str">
        <f>IFERROR(VLOOKUP(C44,'Trade Category Referral Masters'!J:O,6,0),"")</f>
        <v/>
      </c>
      <c r="F44" s="46">
        <f>IF(AND(medex_actuals="Yes",'Renewal Policy Status'!D44="Yes"),1,0)</f>
        <v>0</v>
      </c>
      <c r="G44" s="13">
        <f t="shared" si="4"/>
        <v>0</v>
      </c>
      <c r="H44" s="46">
        <f t="shared" si="2"/>
        <v>0</v>
      </c>
      <c r="I44" s="47" t="str">
        <f t="shared" si="5"/>
        <v/>
      </c>
      <c r="J44" s="160" t="str">
        <f>IF(AND(I44&lt;&gt;"",COUNTA(I45:$I$57)-COUNTBLANK(I45:$I$57)&gt;0),"||","")</f>
        <v/>
      </c>
    </row>
    <row r="45" spans="2:10" x14ac:dyDescent="0.3">
      <c r="B45" s="46">
        <f>1+B44</f>
        <v>41</v>
      </c>
      <c r="C45" s="47" t="str">
        <f>'Trade Category Identification'!F45</f>
        <v>-</v>
      </c>
      <c r="D45" s="13" t="str">
        <f>IFERROR(VLOOKUP(C45,'Trade Category Referral Masters'!J:O,5,0),"")</f>
        <v/>
      </c>
      <c r="E45" s="47" t="str">
        <f>IFERROR(VLOOKUP(C45,'Trade Category Referral Masters'!J:O,6,0),"")</f>
        <v/>
      </c>
      <c r="F45" s="46">
        <f>IF(AND(medex_actuals="Yes",'Renewal Policy Status'!D45="Yes"),1,0)</f>
        <v>0</v>
      </c>
      <c r="G45" s="13">
        <f t="shared" si="4"/>
        <v>0</v>
      </c>
      <c r="H45" s="46">
        <f t="shared" si="2"/>
        <v>0</v>
      </c>
      <c r="I45" s="47" t="str">
        <f t="shared" si="5"/>
        <v/>
      </c>
      <c r="J45" s="160" t="str">
        <f>IF(AND(I45&lt;&gt;"",COUNTA(I46:$I$57)-COUNTBLANK(I46:$I$57)&gt;0),"||","")</f>
        <v/>
      </c>
    </row>
    <row r="46" spans="2:10" x14ac:dyDescent="0.3">
      <c r="B46" s="46">
        <f t="shared" si="3"/>
        <v>42</v>
      </c>
      <c r="C46" s="47" t="str">
        <f>'Trade Category Identification'!F46</f>
        <v>-</v>
      </c>
      <c r="D46" s="13" t="str">
        <f>IFERROR(VLOOKUP(C46,'Trade Category Referral Masters'!J:O,5,0),"")</f>
        <v/>
      </c>
      <c r="E46" s="47" t="str">
        <f>IFERROR(VLOOKUP(C46,'Trade Category Referral Masters'!J:O,6,0),"")</f>
        <v/>
      </c>
      <c r="F46" s="46">
        <f>IF(AND(medex_actuals="Yes",'Renewal Policy Status'!D46="Yes"),1,0)</f>
        <v>0</v>
      </c>
      <c r="G46" s="13">
        <f t="shared" si="4"/>
        <v>0</v>
      </c>
      <c r="H46" s="46">
        <f t="shared" si="2"/>
        <v>0</v>
      </c>
      <c r="I46" s="47" t="str">
        <f t="shared" si="5"/>
        <v/>
      </c>
      <c r="J46" s="160" t="str">
        <f>IF(AND(I46&lt;&gt;"",COUNTA(I47:$I$57)-COUNTBLANK(I47:$I$57)&gt;0),"||","")</f>
        <v/>
      </c>
    </row>
    <row r="47" spans="2:10" x14ac:dyDescent="0.3">
      <c r="B47" s="46">
        <f t="shared" si="3"/>
        <v>43</v>
      </c>
      <c r="C47" s="47" t="str">
        <f>'Trade Category Identification'!F47</f>
        <v>-</v>
      </c>
      <c r="D47" s="13" t="str">
        <f>IFERROR(VLOOKUP(C47,'Trade Category Referral Masters'!J:O,5,0),"")</f>
        <v/>
      </c>
      <c r="E47" s="47" t="str">
        <f>IFERROR(VLOOKUP(C47,'Trade Category Referral Masters'!J:O,6,0),"")</f>
        <v/>
      </c>
      <c r="F47" s="46">
        <f>IF(AND(medex_actuals="Yes",'Renewal Policy Status'!D47="Yes"),1,0)</f>
        <v>0</v>
      </c>
      <c r="G47" s="13">
        <f t="shared" si="4"/>
        <v>0</v>
      </c>
      <c r="H47" s="46">
        <f t="shared" si="2"/>
        <v>0</v>
      </c>
      <c r="I47" s="47" t="str">
        <f t="shared" si="5"/>
        <v/>
      </c>
      <c r="J47" s="160" t="str">
        <f>IF(AND(I47&lt;&gt;"",COUNTA(I48:$I$57)-COUNTBLANK(I48:$I$57)&gt;0),"||","")</f>
        <v/>
      </c>
    </row>
    <row r="48" spans="2:10" x14ac:dyDescent="0.3">
      <c r="B48" s="46">
        <f t="shared" si="3"/>
        <v>44</v>
      </c>
      <c r="C48" s="47" t="str">
        <f>'Trade Category Identification'!F48</f>
        <v>-</v>
      </c>
      <c r="D48" s="13" t="str">
        <f>IFERROR(VLOOKUP(C48,'Trade Category Referral Masters'!J:O,5,0),"")</f>
        <v/>
      </c>
      <c r="E48" s="47" t="str">
        <f>IFERROR(VLOOKUP(C48,'Trade Category Referral Masters'!J:O,6,0),"")</f>
        <v/>
      </c>
      <c r="F48" s="46">
        <f>IF(AND(medex_actuals="Yes",'Renewal Policy Status'!D48="Yes"),1,0)</f>
        <v>0</v>
      </c>
      <c r="G48" s="13">
        <f t="shared" si="4"/>
        <v>0</v>
      </c>
      <c r="H48" s="46">
        <f t="shared" si="2"/>
        <v>0</v>
      </c>
      <c r="I48" s="47" t="str">
        <f t="shared" si="5"/>
        <v/>
      </c>
      <c r="J48" s="160" t="str">
        <f>IF(AND(I48&lt;&gt;"",COUNTA(I49:$I$57)-COUNTBLANK(I49:$I$57)&gt;0),"||","")</f>
        <v/>
      </c>
    </row>
    <row r="49" spans="2:10" x14ac:dyDescent="0.3">
      <c r="B49" s="46">
        <f t="shared" si="3"/>
        <v>45</v>
      </c>
      <c r="C49" s="47" t="str">
        <f>'Trade Category Identification'!F49</f>
        <v>-</v>
      </c>
      <c r="D49" s="13" t="str">
        <f>IFERROR(VLOOKUP(C49,'Trade Category Referral Masters'!J:O,5,0),"")</f>
        <v/>
      </c>
      <c r="E49" s="47" t="str">
        <f>IFERROR(VLOOKUP(C49,'Trade Category Referral Masters'!J:O,6,0),"")</f>
        <v/>
      </c>
      <c r="F49" s="46">
        <f>IF(AND(medex_actuals="Yes",'Renewal Policy Status'!D49="Yes"),1,0)</f>
        <v>0</v>
      </c>
      <c r="G49" s="13">
        <f t="shared" si="4"/>
        <v>0</v>
      </c>
      <c r="H49" s="46">
        <f t="shared" si="2"/>
        <v>0</v>
      </c>
      <c r="I49" s="47" t="str">
        <f t="shared" si="5"/>
        <v/>
      </c>
      <c r="J49" s="160" t="str">
        <f>IF(AND(I49&lt;&gt;"",COUNTA(I50:$I$57)-COUNTBLANK(I50:$I$57)&gt;0),"||","")</f>
        <v/>
      </c>
    </row>
    <row r="50" spans="2:10" x14ac:dyDescent="0.3">
      <c r="B50" s="46">
        <f t="shared" si="3"/>
        <v>46</v>
      </c>
      <c r="C50" s="47" t="str">
        <f>'Trade Category Identification'!F50</f>
        <v>-</v>
      </c>
      <c r="D50" s="13" t="str">
        <f>IFERROR(VLOOKUP(C50,'Trade Category Referral Masters'!J:O,5,0),"")</f>
        <v/>
      </c>
      <c r="E50" s="47" t="str">
        <f>IFERROR(VLOOKUP(C50,'Trade Category Referral Masters'!J:O,6,0),"")</f>
        <v/>
      </c>
      <c r="F50" s="46">
        <f>IF(AND(medex_actuals="Yes",'Renewal Policy Status'!D50="Yes"),1,0)</f>
        <v>0</v>
      </c>
      <c r="G50" s="13">
        <f t="shared" si="4"/>
        <v>0</v>
      </c>
      <c r="H50" s="46">
        <f t="shared" si="2"/>
        <v>0</v>
      </c>
      <c r="I50" s="47" t="str">
        <f t="shared" si="5"/>
        <v/>
      </c>
      <c r="J50" s="160" t="str">
        <f>IF(AND(I50&lt;&gt;"",COUNTA(I51:$I$57)-COUNTBLANK(I51:$I$57)&gt;0),"||","")</f>
        <v/>
      </c>
    </row>
    <row r="51" spans="2:10" x14ac:dyDescent="0.3">
      <c r="B51" s="46">
        <f t="shared" si="3"/>
        <v>47</v>
      </c>
      <c r="C51" s="47" t="str">
        <f>'Trade Category Identification'!F51</f>
        <v>-</v>
      </c>
      <c r="D51" s="13" t="str">
        <f>IFERROR(VLOOKUP(C51,'Trade Category Referral Masters'!J:O,5,0),"")</f>
        <v/>
      </c>
      <c r="E51" s="47" t="str">
        <f>IFERROR(VLOOKUP(C51,'Trade Category Referral Masters'!J:O,6,0),"")</f>
        <v/>
      </c>
      <c r="F51" s="46">
        <f>IF(AND(medex_actuals="Yes",'Renewal Policy Status'!D51="Yes"),1,0)</f>
        <v>0</v>
      </c>
      <c r="G51" s="13">
        <f t="shared" si="4"/>
        <v>0</v>
      </c>
      <c r="H51" s="46">
        <f t="shared" si="2"/>
        <v>0</v>
      </c>
      <c r="I51" s="47" t="str">
        <f t="shared" si="5"/>
        <v/>
      </c>
      <c r="J51" s="160" t="str">
        <f>IF(AND(I51&lt;&gt;"",COUNTA(I52:$I$57)-COUNTBLANK(I52:$I$57)&gt;0),"||","")</f>
        <v/>
      </c>
    </row>
    <row r="52" spans="2:10" x14ac:dyDescent="0.3">
      <c r="B52" s="46">
        <f>1+B51</f>
        <v>48</v>
      </c>
      <c r="C52" s="47" t="str">
        <f>'Trade Category Identification'!F52</f>
        <v>-</v>
      </c>
      <c r="D52" s="13" t="str">
        <f>IFERROR(VLOOKUP(C52,'Trade Category Referral Masters'!J:O,5,0),"")</f>
        <v/>
      </c>
      <c r="E52" s="47" t="str">
        <f>IFERROR(VLOOKUP(C52,'Trade Category Referral Masters'!J:O,6,0),"")</f>
        <v/>
      </c>
      <c r="F52" s="46">
        <f>IF(AND(medex_actuals="Yes",'Renewal Policy Status'!D52="Yes"),1,0)</f>
        <v>0</v>
      </c>
      <c r="G52" s="13">
        <f t="shared" si="4"/>
        <v>0</v>
      </c>
      <c r="H52" s="46">
        <f t="shared" si="2"/>
        <v>0</v>
      </c>
      <c r="I52" s="47" t="str">
        <f t="shared" si="5"/>
        <v/>
      </c>
      <c r="J52" s="160" t="str">
        <f>IF(AND(I52&lt;&gt;"",COUNTA(I53:$I$57)-COUNTBLANK(I53:$I$57)&gt;0),"||","")</f>
        <v/>
      </c>
    </row>
    <row r="53" spans="2:10" x14ac:dyDescent="0.3">
      <c r="B53" s="46">
        <f t="shared" si="3"/>
        <v>49</v>
      </c>
      <c r="C53" s="47" t="str">
        <f>'Trade Category Identification'!F53</f>
        <v>-</v>
      </c>
      <c r="D53" s="13" t="str">
        <f>IFERROR(VLOOKUP(C53,'Trade Category Referral Masters'!J:O,5,0),"")</f>
        <v/>
      </c>
      <c r="E53" s="47" t="str">
        <f>IFERROR(VLOOKUP(C53,'Trade Category Referral Masters'!J:O,6,0),"")</f>
        <v/>
      </c>
      <c r="F53" s="46">
        <f>IF(AND(medex_actuals="Yes",'Renewal Policy Status'!D53="Yes"),1,0)</f>
        <v>0</v>
      </c>
      <c r="G53" s="13">
        <f t="shared" si="4"/>
        <v>0</v>
      </c>
      <c r="H53" s="46">
        <f t="shared" si="2"/>
        <v>0</v>
      </c>
      <c r="I53" s="47" t="str">
        <f t="shared" si="5"/>
        <v/>
      </c>
      <c r="J53" s="160" t="str">
        <f>IF(AND(I53&lt;&gt;"",COUNTA(I54:$I$57)-COUNTBLANK(I54:$I$57)&gt;0),"||","")</f>
        <v/>
      </c>
    </row>
    <row r="54" spans="2:10" x14ac:dyDescent="0.3">
      <c r="B54" s="46">
        <f t="shared" si="3"/>
        <v>50</v>
      </c>
      <c r="C54" s="47" t="str">
        <f>'Trade Category Identification'!F54</f>
        <v>-</v>
      </c>
      <c r="D54" s="13" t="str">
        <f>IFERROR(VLOOKUP(C54,'Trade Category Referral Masters'!J:O,5,0),"")</f>
        <v/>
      </c>
      <c r="E54" s="47" t="str">
        <f>IFERROR(VLOOKUP(C54,'Trade Category Referral Masters'!J:O,6,0),"")</f>
        <v/>
      </c>
      <c r="F54" s="46">
        <f>IF(AND(medex_actuals="Yes",'Renewal Policy Status'!D54="Yes"),1,0)</f>
        <v>0</v>
      </c>
      <c r="G54" s="13">
        <f t="shared" si="4"/>
        <v>0</v>
      </c>
      <c r="H54" s="46">
        <f t="shared" si="2"/>
        <v>0</v>
      </c>
      <c r="I54" s="47" t="str">
        <f t="shared" si="5"/>
        <v/>
      </c>
      <c r="J54" s="160" t="str">
        <f>IF(AND(I54&lt;&gt;"",COUNTA(I56:$I$57)-COUNTBLANK(I56:$I$57)&gt;0),"||","")</f>
        <v/>
      </c>
    </row>
    <row r="55" spans="2:10" x14ac:dyDescent="0.3">
      <c r="B55" s="46">
        <f t="shared" si="3"/>
        <v>51</v>
      </c>
      <c r="C55" s="47"/>
      <c r="D55" s="13"/>
      <c r="E55" s="47"/>
      <c r="F55" s="46"/>
      <c r="G55" s="118" t="s">
        <v>13321</v>
      </c>
      <c r="H55" s="46">
        <f>IF(worker_total_wages&gt;10000000000,1,0)</f>
        <v>0</v>
      </c>
      <c r="I55" s="47" t="str">
        <f>IF(H55=1,"Total Wages Exceeds the Max Limit","")</f>
        <v/>
      </c>
      <c r="J55" s="160" t="str">
        <f>IF(AND(I55&lt;&gt;"",COUNTA(I57:$I$57)-COUNTBLANK(I57:$I$57)&gt;0),"||","")</f>
        <v/>
      </c>
    </row>
    <row r="56" spans="2:10" x14ac:dyDescent="0.3">
      <c r="B56" s="46">
        <f t="shared" si="3"/>
        <v>52</v>
      </c>
      <c r="C56" s="47"/>
      <c r="D56" s="47"/>
      <c r="E56" s="47"/>
      <c r="F56" s="47"/>
      <c r="G56" s="135" t="s">
        <v>13234</v>
      </c>
      <c r="H56" s="46">
        <f>IF(open_claims&gt;0,1,0)</f>
        <v>0</v>
      </c>
      <c r="I56" s="47" t="str">
        <f>IF(H56=1,"Policy referred due to Open claim","")</f>
        <v/>
      </c>
      <c r="J56" s="160" t="str">
        <f>IF(AND(I56&lt;&gt;"",COUNTA(I57:$I$57)-COUNTBLANK(I57:$I$57)&gt;0),"||","")</f>
        <v/>
      </c>
    </row>
    <row r="57" spans="2:10" x14ac:dyDescent="0.3">
      <c r="B57" s="46">
        <f t="shared" si="3"/>
        <v>53</v>
      </c>
      <c r="C57" s="47"/>
      <c r="D57" s="47"/>
      <c r="E57" s="47"/>
      <c r="F57" s="47"/>
      <c r="G57" s="135" t="s">
        <v>13298</v>
      </c>
      <c r="H57" s="46">
        <f>IF(claim_refferal="NON PUP",1,0)</f>
        <v>0</v>
      </c>
      <c r="I57" s="47" t="str">
        <f>IF(H57=1,"Policy referred due to Non-PUP","")</f>
        <v/>
      </c>
    </row>
    <row r="58" spans="2:10" x14ac:dyDescent="0.3">
      <c r="H58" s="163" t="str">
        <f>IF(SUM(H5:H57)&gt;0,"Yes","No")</f>
        <v>No</v>
      </c>
      <c r="I58" s="47" t="str">
        <f>CONCATENATE(I5,J5,I6,J6,I7,J7,I8,J8,I9,J9,I10,J10,I11,J11,I12,J12,I13,J13,I14,J14,I15,J15,I16,J16,I17,J17,I18,J18,I19,J19,I20,J20,I21,J21,I22,J22,I23,J23,I24,J24,I25,J25,I26,J26,I27,J27,I28,J28,I29,J29,I30,J30,I31,J31,I32,J32,I33,J33,I34,J34,I35,J35,I36,J36,I37,J37,I38,J38,I39,J39,I40,J40,I41,J41,I42,J42,I43,J43,I44,J44,I45,J45,I46,J46,I47,J47,I48,J48,I49,J49,I50,J50,I51,J51,I52,J52,I53,J53,I54,J54,I55,J55,I56,J56,I57)</f>
        <v/>
      </c>
    </row>
    <row r="59" spans="2:10" x14ac:dyDescent="0.3">
      <c r="C59" t="s">
        <v>13299</v>
      </c>
    </row>
    <row r="60" spans="2:10" x14ac:dyDescent="0.3">
      <c r="C60" t="s">
        <v>13295</v>
      </c>
    </row>
    <row r="61" spans="2:10" x14ac:dyDescent="0.3">
      <c r="C61" t="s">
        <v>13293</v>
      </c>
    </row>
  </sheetData>
  <mergeCells count="1">
    <mergeCell ref="F4:G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974F6-9728-403C-A7A4-AAD703BD2037}">
  <dimension ref="A1:U804"/>
  <sheetViews>
    <sheetView zoomScaleNormal="100" workbookViewId="0">
      <selection activeCell="H27" sqref="H27"/>
    </sheetView>
  </sheetViews>
  <sheetFormatPr defaultRowHeight="14.4" x14ac:dyDescent="0.3"/>
  <cols>
    <col min="1" max="1" width="10.33203125" bestFit="1" customWidth="1"/>
    <col min="8" max="8" width="19.44140625" bestFit="1" customWidth="1"/>
    <col min="9" max="9" width="100.44140625" customWidth="1"/>
    <col min="10" max="10" width="29.109375" customWidth="1"/>
    <col min="20" max="20" width="91.44140625" bestFit="1" customWidth="1"/>
    <col min="21" max="21" width="13.5546875" bestFit="1" customWidth="1"/>
  </cols>
  <sheetData>
    <row r="1" spans="1:21" x14ac:dyDescent="0.3">
      <c r="A1" s="135" t="s">
        <v>13273</v>
      </c>
      <c r="B1" s="135" t="s">
        <v>11445</v>
      </c>
      <c r="C1" s="135" t="s">
        <v>13274</v>
      </c>
      <c r="D1" s="135" t="s">
        <v>196</v>
      </c>
      <c r="E1" s="135" t="s">
        <v>13275</v>
      </c>
      <c r="F1" s="135" t="s">
        <v>13276</v>
      </c>
      <c r="G1" s="135" t="s">
        <v>13277</v>
      </c>
      <c r="H1" s="157" t="s">
        <v>13278</v>
      </c>
      <c r="I1" s="157" t="s">
        <v>13279</v>
      </c>
      <c r="J1" s="157" t="s">
        <v>13296</v>
      </c>
      <c r="K1" s="135" t="s">
        <v>13280</v>
      </c>
      <c r="L1" s="135" t="s">
        <v>13281</v>
      </c>
      <c r="M1" s="135" t="s">
        <v>13282</v>
      </c>
      <c r="N1" s="157" t="s">
        <v>13283</v>
      </c>
      <c r="O1" s="157" t="s">
        <v>13284</v>
      </c>
      <c r="P1" s="135" t="s">
        <v>13285</v>
      </c>
      <c r="Q1" s="135" t="s">
        <v>13286</v>
      </c>
      <c r="R1" s="135" t="s">
        <v>13287</v>
      </c>
      <c r="S1" s="135" t="s">
        <v>13288</v>
      </c>
      <c r="T1" s="135" t="s">
        <v>13289</v>
      </c>
      <c r="U1" s="135" t="s">
        <v>13290</v>
      </c>
    </row>
    <row r="2" spans="1:21" x14ac:dyDescent="0.3">
      <c r="A2" s="46">
        <v>1</v>
      </c>
      <c r="B2" s="47" t="s">
        <v>13291</v>
      </c>
      <c r="C2" s="47" t="s">
        <v>13291</v>
      </c>
      <c r="D2" s="47" t="s">
        <v>13291</v>
      </c>
      <c r="E2" s="47" t="s">
        <v>13291</v>
      </c>
      <c r="F2" s="47" t="s">
        <v>13291</v>
      </c>
      <c r="G2" s="47" t="s">
        <v>13291</v>
      </c>
      <c r="H2" s="158">
        <v>1109</v>
      </c>
      <c r="I2" s="156" t="s">
        <v>5362</v>
      </c>
      <c r="J2" s="156" t="s">
        <v>11474</v>
      </c>
      <c r="K2" s="47"/>
      <c r="L2" s="47"/>
      <c r="M2" s="47"/>
      <c r="N2" s="156" t="s">
        <v>157</v>
      </c>
      <c r="O2" s="156" t="s">
        <v>157</v>
      </c>
      <c r="P2" s="47"/>
      <c r="Q2" s="47"/>
      <c r="R2" s="47"/>
      <c r="S2" s="47" t="s">
        <v>13292</v>
      </c>
      <c r="T2" s="47" t="s">
        <v>13293</v>
      </c>
      <c r="U2" s="47"/>
    </row>
    <row r="3" spans="1:21" x14ac:dyDescent="0.3">
      <c r="A3" s="46">
        <v>2</v>
      </c>
      <c r="B3" s="47" t="s">
        <v>13291</v>
      </c>
      <c r="C3" s="47" t="s">
        <v>13291</v>
      </c>
      <c r="D3" s="47" t="s">
        <v>13291</v>
      </c>
      <c r="E3" s="47" t="s">
        <v>13291</v>
      </c>
      <c r="F3" s="47" t="s">
        <v>13291</v>
      </c>
      <c r="G3" s="47" t="s">
        <v>13291</v>
      </c>
      <c r="H3" s="158">
        <v>1110</v>
      </c>
      <c r="I3" s="156" t="s">
        <v>5363</v>
      </c>
      <c r="J3" s="156" t="s">
        <v>11716</v>
      </c>
      <c r="K3" s="47"/>
      <c r="L3" s="47"/>
      <c r="M3" s="47"/>
      <c r="N3" s="156" t="s">
        <v>157</v>
      </c>
      <c r="O3" s="156" t="s">
        <v>157</v>
      </c>
      <c r="P3" s="47"/>
      <c r="Q3" s="47"/>
      <c r="R3" s="47"/>
      <c r="S3" s="47" t="s">
        <v>13292</v>
      </c>
      <c r="T3" s="47" t="s">
        <v>13294</v>
      </c>
      <c r="U3" s="47"/>
    </row>
    <row r="4" spans="1:21" x14ac:dyDescent="0.3">
      <c r="A4" s="46">
        <v>3</v>
      </c>
      <c r="B4" s="47" t="s">
        <v>13291</v>
      </c>
      <c r="C4" s="47" t="s">
        <v>13291</v>
      </c>
      <c r="D4" s="47" t="s">
        <v>13291</v>
      </c>
      <c r="E4" s="47" t="s">
        <v>13291</v>
      </c>
      <c r="F4" s="47" t="s">
        <v>13291</v>
      </c>
      <c r="G4" s="47" t="s">
        <v>13291</v>
      </c>
      <c r="H4" s="158">
        <v>1444</v>
      </c>
      <c r="I4" s="156" t="s">
        <v>5572</v>
      </c>
      <c r="J4" s="156" t="s">
        <v>11591</v>
      </c>
      <c r="K4" s="47"/>
      <c r="L4" s="47"/>
      <c r="M4" s="47"/>
      <c r="N4" s="156" t="s">
        <v>157</v>
      </c>
      <c r="O4" s="156" t="s">
        <v>157</v>
      </c>
      <c r="P4" s="47"/>
      <c r="Q4" s="47"/>
      <c r="R4" s="47"/>
      <c r="S4" s="47" t="s">
        <v>13292</v>
      </c>
      <c r="T4" s="47" t="s">
        <v>13294</v>
      </c>
      <c r="U4" s="47"/>
    </row>
    <row r="5" spans="1:21" x14ac:dyDescent="0.3">
      <c r="A5" s="46">
        <v>4</v>
      </c>
      <c r="B5" s="47" t="s">
        <v>13291</v>
      </c>
      <c r="C5" s="47" t="s">
        <v>13291</v>
      </c>
      <c r="D5" s="47" t="s">
        <v>13291</v>
      </c>
      <c r="E5" s="47" t="s">
        <v>13291</v>
      </c>
      <c r="F5" s="47" t="s">
        <v>13291</v>
      </c>
      <c r="G5" s="47" t="s">
        <v>13291</v>
      </c>
      <c r="H5" s="158">
        <v>1468</v>
      </c>
      <c r="I5" s="156" t="s">
        <v>5583</v>
      </c>
      <c r="J5" s="156" t="s">
        <v>11989</v>
      </c>
      <c r="K5" s="47"/>
      <c r="L5" s="47"/>
      <c r="M5" s="47"/>
      <c r="N5" s="156" t="s">
        <v>157</v>
      </c>
      <c r="O5" s="156" t="s">
        <v>157</v>
      </c>
      <c r="P5" s="47"/>
      <c r="Q5" s="47"/>
      <c r="R5" s="47"/>
      <c r="S5" s="47" t="s">
        <v>13292</v>
      </c>
      <c r="T5" s="47" t="s">
        <v>13294</v>
      </c>
      <c r="U5" s="47"/>
    </row>
    <row r="6" spans="1:21" x14ac:dyDescent="0.3">
      <c r="A6" s="46">
        <v>5</v>
      </c>
      <c r="B6" s="47" t="s">
        <v>13291</v>
      </c>
      <c r="C6" s="47" t="s">
        <v>13291</v>
      </c>
      <c r="D6" s="47" t="s">
        <v>13291</v>
      </c>
      <c r="E6" s="47" t="s">
        <v>13291</v>
      </c>
      <c r="F6" s="47" t="s">
        <v>13291</v>
      </c>
      <c r="G6" s="47" t="s">
        <v>13291</v>
      </c>
      <c r="H6" s="158">
        <v>1527</v>
      </c>
      <c r="I6" s="156" t="s">
        <v>5616</v>
      </c>
      <c r="J6" s="156" t="s">
        <v>11541</v>
      </c>
      <c r="K6" s="47"/>
      <c r="L6" s="47"/>
      <c r="M6" s="47"/>
      <c r="N6" s="156" t="s">
        <v>157</v>
      </c>
      <c r="O6" s="156" t="s">
        <v>157</v>
      </c>
      <c r="P6" s="47"/>
      <c r="Q6" s="47"/>
      <c r="R6" s="47"/>
      <c r="S6" s="47" t="s">
        <v>13292</v>
      </c>
      <c r="T6" s="47" t="s">
        <v>13294</v>
      </c>
      <c r="U6" s="47"/>
    </row>
    <row r="7" spans="1:21" x14ac:dyDescent="0.3">
      <c r="A7" s="46">
        <v>6</v>
      </c>
      <c r="B7" s="47" t="s">
        <v>13291</v>
      </c>
      <c r="C7" s="47" t="s">
        <v>13291</v>
      </c>
      <c r="D7" s="47" t="s">
        <v>13291</v>
      </c>
      <c r="E7" s="47" t="s">
        <v>13291</v>
      </c>
      <c r="F7" s="47" t="s">
        <v>13291</v>
      </c>
      <c r="G7" s="47" t="s">
        <v>13291</v>
      </c>
      <c r="H7" s="158">
        <v>1001</v>
      </c>
      <c r="I7" s="156" t="s">
        <v>93</v>
      </c>
      <c r="J7" s="156" t="s">
        <v>12032</v>
      </c>
      <c r="K7" s="47"/>
      <c r="L7" s="47"/>
      <c r="M7" s="47"/>
      <c r="N7" s="156"/>
      <c r="O7" s="156" t="s">
        <v>157</v>
      </c>
      <c r="P7" s="47"/>
      <c r="Q7" s="47"/>
      <c r="R7" s="47"/>
      <c r="S7" s="47" t="s">
        <v>13292</v>
      </c>
      <c r="T7" s="47" t="s">
        <v>13295</v>
      </c>
      <c r="U7" s="47"/>
    </row>
    <row r="8" spans="1:21" x14ac:dyDescent="0.3">
      <c r="A8" s="46">
        <v>7</v>
      </c>
      <c r="B8" s="47" t="s">
        <v>13291</v>
      </c>
      <c r="C8" s="47" t="s">
        <v>13291</v>
      </c>
      <c r="D8" s="47" t="s">
        <v>13291</v>
      </c>
      <c r="E8" s="47" t="s">
        <v>13291</v>
      </c>
      <c r="F8" s="47" t="s">
        <v>13291</v>
      </c>
      <c r="G8" s="47" t="s">
        <v>13291</v>
      </c>
      <c r="H8" s="158">
        <v>1002</v>
      </c>
      <c r="I8" s="156" t="s">
        <v>98</v>
      </c>
      <c r="J8" s="156" t="s">
        <v>11655</v>
      </c>
      <c r="K8" s="47"/>
      <c r="L8" s="47"/>
      <c r="M8" s="47"/>
      <c r="N8" s="156"/>
      <c r="O8" s="156" t="s">
        <v>157</v>
      </c>
      <c r="P8" s="47"/>
      <c r="Q8" s="47"/>
      <c r="R8" s="47"/>
      <c r="S8" s="47" t="s">
        <v>13292</v>
      </c>
      <c r="T8" s="47" t="s">
        <v>13295</v>
      </c>
      <c r="U8" s="47"/>
    </row>
    <row r="9" spans="1:21" x14ac:dyDescent="0.3">
      <c r="A9" s="46">
        <v>8</v>
      </c>
      <c r="B9" s="47" t="s">
        <v>13291</v>
      </c>
      <c r="C9" s="47" t="s">
        <v>13291</v>
      </c>
      <c r="D9" s="47" t="s">
        <v>13291</v>
      </c>
      <c r="E9" s="47" t="s">
        <v>13291</v>
      </c>
      <c r="F9" s="47" t="s">
        <v>13291</v>
      </c>
      <c r="G9" s="47" t="s">
        <v>13291</v>
      </c>
      <c r="H9" s="158">
        <v>1003</v>
      </c>
      <c r="I9" s="156" t="s">
        <v>100</v>
      </c>
      <c r="J9" s="156" t="s">
        <v>11974</v>
      </c>
      <c r="K9" s="47"/>
      <c r="L9" s="47"/>
      <c r="M9" s="47"/>
      <c r="N9" s="156"/>
      <c r="O9" s="156" t="s">
        <v>157</v>
      </c>
      <c r="P9" s="47"/>
      <c r="Q9" s="47"/>
      <c r="R9" s="47"/>
      <c r="S9" s="47" t="s">
        <v>13292</v>
      </c>
      <c r="T9" s="47" t="s">
        <v>13295</v>
      </c>
      <c r="U9" s="47"/>
    </row>
    <row r="10" spans="1:21" x14ac:dyDescent="0.3">
      <c r="A10" s="46">
        <v>9</v>
      </c>
      <c r="B10" s="47" t="s">
        <v>13291</v>
      </c>
      <c r="C10" s="47" t="s">
        <v>13291</v>
      </c>
      <c r="D10" s="47" t="s">
        <v>13291</v>
      </c>
      <c r="E10" s="47" t="s">
        <v>13291</v>
      </c>
      <c r="F10" s="47" t="s">
        <v>13291</v>
      </c>
      <c r="G10" s="47" t="s">
        <v>13291</v>
      </c>
      <c r="H10" s="158">
        <v>1004</v>
      </c>
      <c r="I10" s="156" t="s">
        <v>10954</v>
      </c>
      <c r="J10" s="156" t="s">
        <v>11656</v>
      </c>
      <c r="K10" s="47"/>
      <c r="L10" s="47"/>
      <c r="M10" s="47"/>
      <c r="N10" s="156"/>
      <c r="O10" s="156" t="s">
        <v>157</v>
      </c>
      <c r="P10" s="47"/>
      <c r="Q10" s="47"/>
      <c r="R10" s="47"/>
      <c r="S10" s="47" t="s">
        <v>13292</v>
      </c>
      <c r="T10" s="47" t="s">
        <v>13295</v>
      </c>
      <c r="U10" s="47"/>
    </row>
    <row r="11" spans="1:21" x14ac:dyDescent="0.3">
      <c r="A11" s="46">
        <v>10</v>
      </c>
      <c r="B11" s="47" t="s">
        <v>13291</v>
      </c>
      <c r="C11" s="47" t="s">
        <v>13291</v>
      </c>
      <c r="D11" s="47" t="s">
        <v>13291</v>
      </c>
      <c r="E11" s="47" t="s">
        <v>13291</v>
      </c>
      <c r="F11" s="47" t="s">
        <v>13291</v>
      </c>
      <c r="G11" s="47" t="s">
        <v>13291</v>
      </c>
      <c r="H11" s="158">
        <v>1005</v>
      </c>
      <c r="I11" s="156" t="s">
        <v>102</v>
      </c>
      <c r="J11" s="156" t="s">
        <v>11627</v>
      </c>
      <c r="K11" s="47"/>
      <c r="L11" s="47"/>
      <c r="M11" s="47"/>
      <c r="N11" s="156"/>
      <c r="O11" s="156" t="s">
        <v>157</v>
      </c>
      <c r="P11" s="47"/>
      <c r="Q11" s="47"/>
      <c r="R11" s="47"/>
      <c r="S11" s="47" t="s">
        <v>13292</v>
      </c>
      <c r="T11" s="47" t="s">
        <v>13295</v>
      </c>
      <c r="U11" s="47"/>
    </row>
    <row r="12" spans="1:21" x14ac:dyDescent="0.3">
      <c r="A12" s="46">
        <v>11</v>
      </c>
      <c r="B12" s="47" t="s">
        <v>13291</v>
      </c>
      <c r="C12" s="47" t="s">
        <v>13291</v>
      </c>
      <c r="D12" s="47" t="s">
        <v>13291</v>
      </c>
      <c r="E12" s="47" t="s">
        <v>13291</v>
      </c>
      <c r="F12" s="47" t="s">
        <v>13291</v>
      </c>
      <c r="G12" s="47" t="s">
        <v>13291</v>
      </c>
      <c r="H12" s="158">
        <v>1006</v>
      </c>
      <c r="I12" s="156" t="s">
        <v>104</v>
      </c>
      <c r="J12" s="156" t="s">
        <v>11657</v>
      </c>
      <c r="K12" s="47"/>
      <c r="L12" s="47"/>
      <c r="M12" s="47"/>
      <c r="N12" s="156"/>
      <c r="O12" s="156" t="s">
        <v>157</v>
      </c>
      <c r="P12" s="47"/>
      <c r="Q12" s="47"/>
      <c r="R12" s="47"/>
      <c r="S12" s="47" t="s">
        <v>13292</v>
      </c>
      <c r="T12" s="47" t="s">
        <v>13295</v>
      </c>
      <c r="U12" s="47"/>
    </row>
    <row r="13" spans="1:21" x14ac:dyDescent="0.3">
      <c r="A13" s="46">
        <v>12</v>
      </c>
      <c r="B13" s="47" t="s">
        <v>13291</v>
      </c>
      <c r="C13" s="47" t="s">
        <v>13291</v>
      </c>
      <c r="D13" s="47" t="s">
        <v>13291</v>
      </c>
      <c r="E13" s="47" t="s">
        <v>13291</v>
      </c>
      <c r="F13" s="47" t="s">
        <v>13291</v>
      </c>
      <c r="G13" s="47" t="s">
        <v>13291</v>
      </c>
      <c r="H13" s="158">
        <v>1007</v>
      </c>
      <c r="I13" s="156" t="s">
        <v>105</v>
      </c>
      <c r="J13" s="156" t="s">
        <v>11658</v>
      </c>
      <c r="K13" s="47"/>
      <c r="L13" s="47"/>
      <c r="M13" s="47"/>
      <c r="N13" s="156"/>
      <c r="O13" s="156" t="s">
        <v>157</v>
      </c>
      <c r="P13" s="47"/>
      <c r="Q13" s="47"/>
      <c r="R13" s="47"/>
      <c r="S13" s="47" t="s">
        <v>13292</v>
      </c>
      <c r="T13" s="47" t="s">
        <v>13295</v>
      </c>
      <c r="U13" s="47"/>
    </row>
    <row r="14" spans="1:21" x14ac:dyDescent="0.3">
      <c r="A14" s="46">
        <v>13</v>
      </c>
      <c r="B14" s="47" t="s">
        <v>13291</v>
      </c>
      <c r="C14" s="47" t="s">
        <v>13291</v>
      </c>
      <c r="D14" s="47" t="s">
        <v>13291</v>
      </c>
      <c r="E14" s="47" t="s">
        <v>13291</v>
      </c>
      <c r="F14" s="47" t="s">
        <v>13291</v>
      </c>
      <c r="G14" s="47" t="s">
        <v>13291</v>
      </c>
      <c r="H14" s="158">
        <v>1008</v>
      </c>
      <c r="I14" s="156" t="s">
        <v>106</v>
      </c>
      <c r="J14" s="156" t="s">
        <v>11659</v>
      </c>
      <c r="K14" s="47"/>
      <c r="L14" s="47"/>
      <c r="M14" s="47"/>
      <c r="N14" s="156"/>
      <c r="O14" s="156" t="s">
        <v>157</v>
      </c>
      <c r="P14" s="47"/>
      <c r="Q14" s="47"/>
      <c r="R14" s="47"/>
      <c r="S14" s="47" t="s">
        <v>13292</v>
      </c>
      <c r="T14" s="47" t="s">
        <v>13295</v>
      </c>
      <c r="U14" s="47"/>
    </row>
    <row r="15" spans="1:21" x14ac:dyDescent="0.3">
      <c r="A15" s="46">
        <v>14</v>
      </c>
      <c r="B15" s="47" t="s">
        <v>13291</v>
      </c>
      <c r="C15" s="47" t="s">
        <v>13291</v>
      </c>
      <c r="D15" s="47" t="s">
        <v>13291</v>
      </c>
      <c r="E15" s="47" t="s">
        <v>13291</v>
      </c>
      <c r="F15" s="47" t="s">
        <v>13291</v>
      </c>
      <c r="G15" s="47" t="s">
        <v>13291</v>
      </c>
      <c r="H15" s="158">
        <v>1009</v>
      </c>
      <c r="I15" s="156" t="s">
        <v>107</v>
      </c>
      <c r="J15" s="156" t="s">
        <v>11660</v>
      </c>
      <c r="K15" s="47"/>
      <c r="L15" s="47"/>
      <c r="M15" s="47"/>
      <c r="N15" s="156"/>
      <c r="O15" s="156" t="s">
        <v>157</v>
      </c>
      <c r="P15" s="47"/>
      <c r="Q15" s="47"/>
      <c r="R15" s="47"/>
      <c r="S15" s="47" t="s">
        <v>13292</v>
      </c>
      <c r="T15" s="47" t="s">
        <v>13295</v>
      </c>
      <c r="U15" s="47"/>
    </row>
    <row r="16" spans="1:21" x14ac:dyDescent="0.3">
      <c r="A16" s="46">
        <v>15</v>
      </c>
      <c r="B16" s="47" t="s">
        <v>13291</v>
      </c>
      <c r="C16" s="47" t="s">
        <v>13291</v>
      </c>
      <c r="D16" s="47" t="s">
        <v>13291</v>
      </c>
      <c r="E16" s="47" t="s">
        <v>13291</v>
      </c>
      <c r="F16" s="47" t="s">
        <v>13291</v>
      </c>
      <c r="G16" s="47" t="s">
        <v>13291</v>
      </c>
      <c r="H16" s="158">
        <v>1010</v>
      </c>
      <c r="I16" s="156" t="s">
        <v>108</v>
      </c>
      <c r="J16" s="156" t="s">
        <v>11661</v>
      </c>
      <c r="K16" s="47"/>
      <c r="L16" s="47"/>
      <c r="M16" s="47"/>
      <c r="N16" s="156"/>
      <c r="O16" s="156" t="s">
        <v>157</v>
      </c>
      <c r="P16" s="47"/>
      <c r="Q16" s="47"/>
      <c r="R16" s="47"/>
      <c r="S16" s="47" t="s">
        <v>13292</v>
      </c>
      <c r="T16" s="47" t="s">
        <v>13295</v>
      </c>
      <c r="U16" s="47"/>
    </row>
    <row r="17" spans="1:21" x14ac:dyDescent="0.3">
      <c r="A17" s="46">
        <v>16</v>
      </c>
      <c r="B17" s="47" t="s">
        <v>13291</v>
      </c>
      <c r="C17" s="47" t="s">
        <v>13291</v>
      </c>
      <c r="D17" s="47" t="s">
        <v>13291</v>
      </c>
      <c r="E17" s="47" t="s">
        <v>13291</v>
      </c>
      <c r="F17" s="47" t="s">
        <v>13291</v>
      </c>
      <c r="G17" s="47" t="s">
        <v>13291</v>
      </c>
      <c r="H17" s="158">
        <v>1011</v>
      </c>
      <c r="I17" s="156" t="s">
        <v>109</v>
      </c>
      <c r="J17" s="156" t="s">
        <v>11975</v>
      </c>
      <c r="K17" s="47"/>
      <c r="L17" s="47"/>
      <c r="M17" s="47"/>
      <c r="N17" s="156"/>
      <c r="O17" s="156" t="s">
        <v>157</v>
      </c>
      <c r="P17" s="47"/>
      <c r="Q17" s="47"/>
      <c r="R17" s="47"/>
      <c r="S17" s="47" t="s">
        <v>13292</v>
      </c>
      <c r="T17" s="47" t="s">
        <v>13295</v>
      </c>
      <c r="U17" s="47"/>
    </row>
    <row r="18" spans="1:21" x14ac:dyDescent="0.3">
      <c r="A18" s="46">
        <v>17</v>
      </c>
      <c r="B18" s="47" t="s">
        <v>13291</v>
      </c>
      <c r="C18" s="47" t="s">
        <v>13291</v>
      </c>
      <c r="D18" s="47" t="s">
        <v>13291</v>
      </c>
      <c r="E18" s="47" t="s">
        <v>13291</v>
      </c>
      <c r="F18" s="47" t="s">
        <v>13291</v>
      </c>
      <c r="G18" s="47" t="s">
        <v>13291</v>
      </c>
      <c r="H18" s="158">
        <v>1012</v>
      </c>
      <c r="I18" s="156" t="s">
        <v>110</v>
      </c>
      <c r="J18" s="156" t="s">
        <v>11934</v>
      </c>
      <c r="K18" s="47"/>
      <c r="L18" s="47"/>
      <c r="M18" s="47"/>
      <c r="N18" s="156"/>
      <c r="O18" s="156" t="s">
        <v>157</v>
      </c>
      <c r="P18" s="47"/>
      <c r="Q18" s="47"/>
      <c r="R18" s="47"/>
      <c r="S18" s="47" t="s">
        <v>13292</v>
      </c>
      <c r="T18" s="47" t="s">
        <v>13295</v>
      </c>
      <c r="U18" s="47"/>
    </row>
    <row r="19" spans="1:21" x14ac:dyDescent="0.3">
      <c r="A19" s="46">
        <v>18</v>
      </c>
      <c r="B19" s="47" t="s">
        <v>13291</v>
      </c>
      <c r="C19" s="47" t="s">
        <v>13291</v>
      </c>
      <c r="D19" s="47" t="s">
        <v>13291</v>
      </c>
      <c r="E19" s="47" t="s">
        <v>13291</v>
      </c>
      <c r="F19" s="47" t="s">
        <v>13291</v>
      </c>
      <c r="G19" s="47" t="s">
        <v>13291</v>
      </c>
      <c r="H19" s="158">
        <v>1013</v>
      </c>
      <c r="I19" s="156" t="s">
        <v>112</v>
      </c>
      <c r="J19" s="156" t="s">
        <v>12033</v>
      </c>
      <c r="K19" s="47"/>
      <c r="L19" s="47"/>
      <c r="M19" s="47"/>
      <c r="N19" s="156"/>
      <c r="O19" s="156" t="s">
        <v>157</v>
      </c>
      <c r="P19" s="47"/>
      <c r="Q19" s="47"/>
      <c r="R19" s="47"/>
      <c r="S19" s="47" t="s">
        <v>13292</v>
      </c>
      <c r="T19" s="47" t="s">
        <v>13295</v>
      </c>
      <c r="U19" s="47"/>
    </row>
    <row r="20" spans="1:21" x14ac:dyDescent="0.3">
      <c r="A20" s="46">
        <v>19</v>
      </c>
      <c r="B20" s="47" t="s">
        <v>13291</v>
      </c>
      <c r="C20" s="47" t="s">
        <v>13291</v>
      </c>
      <c r="D20" s="47" t="s">
        <v>13291</v>
      </c>
      <c r="E20" s="47" t="s">
        <v>13291</v>
      </c>
      <c r="F20" s="47" t="s">
        <v>13291</v>
      </c>
      <c r="G20" s="47" t="s">
        <v>13291</v>
      </c>
      <c r="H20" s="158">
        <v>1014</v>
      </c>
      <c r="I20" s="156" t="s">
        <v>113</v>
      </c>
      <c r="J20" s="156" t="s">
        <v>11491</v>
      </c>
      <c r="K20" s="47"/>
      <c r="L20" s="47"/>
      <c r="M20" s="47"/>
      <c r="N20" s="156"/>
      <c r="O20" s="156" t="s">
        <v>157</v>
      </c>
      <c r="P20" s="47"/>
      <c r="Q20" s="47"/>
      <c r="R20" s="47"/>
      <c r="S20" s="47" t="s">
        <v>13292</v>
      </c>
      <c r="T20" s="47" t="s">
        <v>13295</v>
      </c>
      <c r="U20" s="47"/>
    </row>
    <row r="21" spans="1:21" x14ac:dyDescent="0.3">
      <c r="A21" s="46">
        <v>20</v>
      </c>
      <c r="B21" s="47" t="s">
        <v>13291</v>
      </c>
      <c r="C21" s="47" t="s">
        <v>13291</v>
      </c>
      <c r="D21" s="47" t="s">
        <v>13291</v>
      </c>
      <c r="E21" s="47" t="s">
        <v>13291</v>
      </c>
      <c r="F21" s="47" t="s">
        <v>13291</v>
      </c>
      <c r="G21" s="47" t="s">
        <v>13291</v>
      </c>
      <c r="H21" s="158">
        <v>1015</v>
      </c>
      <c r="I21" s="156" t="s">
        <v>115</v>
      </c>
      <c r="J21" s="156" t="s">
        <v>11492</v>
      </c>
      <c r="K21" s="47"/>
      <c r="L21" s="47"/>
      <c r="M21" s="47"/>
      <c r="N21" s="156"/>
      <c r="O21" s="156" t="s">
        <v>157</v>
      </c>
      <c r="P21" s="47"/>
      <c r="Q21" s="47"/>
      <c r="R21" s="47"/>
      <c r="S21" s="47" t="s">
        <v>13292</v>
      </c>
      <c r="T21" s="47" t="s">
        <v>13295</v>
      </c>
      <c r="U21" s="47"/>
    </row>
    <row r="22" spans="1:21" x14ac:dyDescent="0.3">
      <c r="A22" s="46">
        <v>21</v>
      </c>
      <c r="B22" s="47" t="s">
        <v>13291</v>
      </c>
      <c r="C22" s="47" t="s">
        <v>13291</v>
      </c>
      <c r="D22" s="47" t="s">
        <v>13291</v>
      </c>
      <c r="E22" s="47" t="s">
        <v>13291</v>
      </c>
      <c r="F22" s="47" t="s">
        <v>13291</v>
      </c>
      <c r="G22" s="47" t="s">
        <v>13291</v>
      </c>
      <c r="H22" s="158">
        <v>1016</v>
      </c>
      <c r="I22" s="156" t="s">
        <v>116</v>
      </c>
      <c r="J22" s="156" t="s">
        <v>11628</v>
      </c>
      <c r="K22" s="47"/>
      <c r="L22" s="47"/>
      <c r="M22" s="47"/>
      <c r="N22" s="156"/>
      <c r="O22" s="156" t="s">
        <v>157</v>
      </c>
      <c r="P22" s="47"/>
      <c r="Q22" s="47"/>
      <c r="R22" s="47"/>
      <c r="S22" s="47" t="s">
        <v>13292</v>
      </c>
      <c r="T22" s="47" t="s">
        <v>13295</v>
      </c>
      <c r="U22" s="47"/>
    </row>
    <row r="23" spans="1:21" x14ac:dyDescent="0.3">
      <c r="A23" s="46">
        <v>22</v>
      </c>
      <c r="B23" s="47" t="s">
        <v>13291</v>
      </c>
      <c r="C23" s="47" t="s">
        <v>13291</v>
      </c>
      <c r="D23" s="47" t="s">
        <v>13291</v>
      </c>
      <c r="E23" s="47" t="s">
        <v>13291</v>
      </c>
      <c r="F23" s="47" t="s">
        <v>13291</v>
      </c>
      <c r="G23" s="47" t="s">
        <v>13291</v>
      </c>
      <c r="H23" s="158">
        <v>1017</v>
      </c>
      <c r="I23" s="156" t="s">
        <v>10955</v>
      </c>
      <c r="J23" s="156" t="s">
        <v>11662</v>
      </c>
      <c r="K23" s="47"/>
      <c r="L23" s="47"/>
      <c r="M23" s="47"/>
      <c r="N23" s="156"/>
      <c r="O23" s="156" t="s">
        <v>157</v>
      </c>
      <c r="P23" s="47"/>
      <c r="Q23" s="47"/>
      <c r="R23" s="47"/>
      <c r="S23" s="47" t="s">
        <v>13292</v>
      </c>
      <c r="T23" s="47" t="s">
        <v>13295</v>
      </c>
      <c r="U23" s="47"/>
    </row>
    <row r="24" spans="1:21" x14ac:dyDescent="0.3">
      <c r="A24" s="46">
        <v>23</v>
      </c>
      <c r="B24" s="47" t="s">
        <v>13291</v>
      </c>
      <c r="C24" s="47" t="s">
        <v>13291</v>
      </c>
      <c r="D24" s="47" t="s">
        <v>13291</v>
      </c>
      <c r="E24" s="47" t="s">
        <v>13291</v>
      </c>
      <c r="F24" s="47" t="s">
        <v>13291</v>
      </c>
      <c r="G24" s="47" t="s">
        <v>13291</v>
      </c>
      <c r="H24" s="158">
        <v>1018</v>
      </c>
      <c r="I24" s="156" t="s">
        <v>10956</v>
      </c>
      <c r="J24" s="156" t="s">
        <v>11663</v>
      </c>
      <c r="K24" s="47"/>
      <c r="L24" s="47"/>
      <c r="M24" s="47"/>
      <c r="N24" s="156"/>
      <c r="O24" s="156" t="s">
        <v>157</v>
      </c>
      <c r="P24" s="47"/>
      <c r="Q24" s="47"/>
      <c r="R24" s="47"/>
      <c r="S24" s="47" t="s">
        <v>13292</v>
      </c>
      <c r="T24" s="47" t="s">
        <v>13295</v>
      </c>
      <c r="U24" s="47"/>
    </row>
    <row r="25" spans="1:21" x14ac:dyDescent="0.3">
      <c r="A25" s="46">
        <v>24</v>
      </c>
      <c r="B25" s="47" t="s">
        <v>13291</v>
      </c>
      <c r="C25" s="47" t="s">
        <v>13291</v>
      </c>
      <c r="D25" s="47" t="s">
        <v>13291</v>
      </c>
      <c r="E25" s="47" t="s">
        <v>13291</v>
      </c>
      <c r="F25" s="47" t="s">
        <v>13291</v>
      </c>
      <c r="G25" s="47" t="s">
        <v>13291</v>
      </c>
      <c r="H25" s="158">
        <v>1019</v>
      </c>
      <c r="I25" s="156" t="s">
        <v>117</v>
      </c>
      <c r="J25" s="156" t="s">
        <v>11664</v>
      </c>
      <c r="K25" s="47"/>
      <c r="L25" s="47"/>
      <c r="M25" s="47"/>
      <c r="N25" s="156"/>
      <c r="O25" s="156" t="s">
        <v>157</v>
      </c>
      <c r="P25" s="47"/>
      <c r="Q25" s="47"/>
      <c r="R25" s="47"/>
      <c r="S25" s="47" t="s">
        <v>13292</v>
      </c>
      <c r="T25" s="47" t="s">
        <v>13295</v>
      </c>
      <c r="U25" s="47"/>
    </row>
    <row r="26" spans="1:21" x14ac:dyDescent="0.3">
      <c r="A26" s="46">
        <v>25</v>
      </c>
      <c r="B26" s="47" t="s">
        <v>13291</v>
      </c>
      <c r="C26" s="47" t="s">
        <v>13291</v>
      </c>
      <c r="D26" s="47" t="s">
        <v>13291</v>
      </c>
      <c r="E26" s="47" t="s">
        <v>13291</v>
      </c>
      <c r="F26" s="47" t="s">
        <v>13291</v>
      </c>
      <c r="G26" s="47" t="s">
        <v>13291</v>
      </c>
      <c r="H26" s="158">
        <v>1020</v>
      </c>
      <c r="I26" s="156" t="s">
        <v>118</v>
      </c>
      <c r="J26" s="156" t="s">
        <v>11471</v>
      </c>
      <c r="K26" s="47"/>
      <c r="L26" s="47"/>
      <c r="M26" s="47"/>
      <c r="N26" s="156"/>
      <c r="O26" s="156" t="s">
        <v>157</v>
      </c>
      <c r="P26" s="47"/>
      <c r="Q26" s="47"/>
      <c r="R26" s="47"/>
      <c r="S26" s="47" t="s">
        <v>13292</v>
      </c>
      <c r="T26" s="47" t="s">
        <v>13295</v>
      </c>
      <c r="U26" s="47"/>
    </row>
    <row r="27" spans="1:21" x14ac:dyDescent="0.3">
      <c r="A27" s="46">
        <v>26</v>
      </c>
      <c r="B27" s="47" t="s">
        <v>13291</v>
      </c>
      <c r="C27" s="47" t="s">
        <v>13291</v>
      </c>
      <c r="D27" s="47" t="s">
        <v>13291</v>
      </c>
      <c r="E27" s="47" t="s">
        <v>13291</v>
      </c>
      <c r="F27" s="47" t="s">
        <v>13291</v>
      </c>
      <c r="G27" s="47" t="s">
        <v>13291</v>
      </c>
      <c r="H27" s="158">
        <v>1021</v>
      </c>
      <c r="I27" s="156" t="s">
        <v>11135</v>
      </c>
      <c r="J27" s="156" t="s">
        <v>12034</v>
      </c>
      <c r="K27" s="47"/>
      <c r="L27" s="47"/>
      <c r="M27" s="47"/>
      <c r="N27" s="156"/>
      <c r="O27" s="156" t="s">
        <v>157</v>
      </c>
      <c r="P27" s="47"/>
      <c r="Q27" s="47"/>
      <c r="R27" s="47"/>
      <c r="S27" s="47" t="s">
        <v>13292</v>
      </c>
      <c r="T27" s="47" t="s">
        <v>13295</v>
      </c>
      <c r="U27" s="47"/>
    </row>
    <row r="28" spans="1:21" x14ac:dyDescent="0.3">
      <c r="A28" s="46">
        <v>27</v>
      </c>
      <c r="B28" s="47" t="s">
        <v>13291</v>
      </c>
      <c r="C28" s="47" t="s">
        <v>13291</v>
      </c>
      <c r="D28" s="47" t="s">
        <v>13291</v>
      </c>
      <c r="E28" s="47" t="s">
        <v>13291</v>
      </c>
      <c r="F28" s="47" t="s">
        <v>13291</v>
      </c>
      <c r="G28" s="47" t="s">
        <v>13291</v>
      </c>
      <c r="H28" s="158">
        <v>1022</v>
      </c>
      <c r="I28" s="156" t="s">
        <v>5301</v>
      </c>
      <c r="J28" s="156" t="s">
        <v>12035</v>
      </c>
      <c r="K28" s="47"/>
      <c r="L28" s="47"/>
      <c r="M28" s="47"/>
      <c r="N28" s="156"/>
      <c r="O28" s="156" t="s">
        <v>157</v>
      </c>
      <c r="P28" s="47"/>
      <c r="Q28" s="47"/>
      <c r="R28" s="47"/>
      <c r="S28" s="47" t="s">
        <v>13292</v>
      </c>
      <c r="T28" s="47" t="s">
        <v>13295</v>
      </c>
      <c r="U28" s="47"/>
    </row>
    <row r="29" spans="1:21" x14ac:dyDescent="0.3">
      <c r="A29" s="46">
        <v>28</v>
      </c>
      <c r="B29" s="47" t="s">
        <v>13291</v>
      </c>
      <c r="C29" s="47" t="s">
        <v>13291</v>
      </c>
      <c r="D29" s="47" t="s">
        <v>13291</v>
      </c>
      <c r="E29" s="47" t="s">
        <v>13291</v>
      </c>
      <c r="F29" s="47" t="s">
        <v>13291</v>
      </c>
      <c r="G29" s="47" t="s">
        <v>13291</v>
      </c>
      <c r="H29" s="158">
        <v>1023</v>
      </c>
      <c r="I29" s="156" t="s">
        <v>11136</v>
      </c>
      <c r="J29" s="156" t="s">
        <v>12036</v>
      </c>
      <c r="K29" s="47"/>
      <c r="L29" s="47"/>
      <c r="M29" s="47"/>
      <c r="N29" s="156"/>
      <c r="O29" s="156" t="s">
        <v>157</v>
      </c>
      <c r="P29" s="47"/>
      <c r="Q29" s="47"/>
      <c r="R29" s="47"/>
      <c r="S29" s="47" t="s">
        <v>13292</v>
      </c>
      <c r="T29" s="47" t="s">
        <v>13295</v>
      </c>
      <c r="U29" s="47"/>
    </row>
    <row r="30" spans="1:21" x14ac:dyDescent="0.3">
      <c r="A30" s="46">
        <v>29</v>
      </c>
      <c r="B30" s="47" t="s">
        <v>13291</v>
      </c>
      <c r="C30" s="47" t="s">
        <v>13291</v>
      </c>
      <c r="D30" s="47" t="s">
        <v>13291</v>
      </c>
      <c r="E30" s="47" t="s">
        <v>13291</v>
      </c>
      <c r="F30" s="47" t="s">
        <v>13291</v>
      </c>
      <c r="G30" s="47" t="s">
        <v>13291</v>
      </c>
      <c r="H30" s="158">
        <v>1024</v>
      </c>
      <c r="I30" s="156" t="s">
        <v>5302</v>
      </c>
      <c r="J30" s="156" t="s">
        <v>12037</v>
      </c>
      <c r="K30" s="47"/>
      <c r="L30" s="47"/>
      <c r="M30" s="47"/>
      <c r="N30" s="156"/>
      <c r="O30" s="156" t="s">
        <v>157</v>
      </c>
      <c r="P30" s="47"/>
      <c r="Q30" s="47"/>
      <c r="R30" s="47"/>
      <c r="S30" s="47" t="s">
        <v>13292</v>
      </c>
      <c r="T30" s="47" t="s">
        <v>13295</v>
      </c>
      <c r="U30" s="47"/>
    </row>
    <row r="31" spans="1:21" x14ac:dyDescent="0.3">
      <c r="A31" s="46">
        <v>30</v>
      </c>
      <c r="B31" s="47" t="s">
        <v>13291</v>
      </c>
      <c r="C31" s="47" t="s">
        <v>13291</v>
      </c>
      <c r="D31" s="47" t="s">
        <v>13291</v>
      </c>
      <c r="E31" s="47" t="s">
        <v>13291</v>
      </c>
      <c r="F31" s="47" t="s">
        <v>13291</v>
      </c>
      <c r="G31" s="47" t="s">
        <v>13291</v>
      </c>
      <c r="H31" s="158">
        <v>1025</v>
      </c>
      <c r="I31" s="156" t="s">
        <v>5303</v>
      </c>
      <c r="J31" s="156" t="s">
        <v>12038</v>
      </c>
      <c r="K31" s="47"/>
      <c r="L31" s="47"/>
      <c r="M31" s="47"/>
      <c r="N31" s="156"/>
      <c r="O31" s="156" t="s">
        <v>157</v>
      </c>
      <c r="P31" s="47"/>
      <c r="Q31" s="47"/>
      <c r="R31" s="47"/>
      <c r="S31" s="47" t="s">
        <v>13292</v>
      </c>
      <c r="T31" s="47" t="s">
        <v>13295</v>
      </c>
      <c r="U31" s="47"/>
    </row>
    <row r="32" spans="1:21" x14ac:dyDescent="0.3">
      <c r="A32" s="46">
        <v>31</v>
      </c>
      <c r="B32" s="47" t="s">
        <v>13291</v>
      </c>
      <c r="C32" s="47" t="s">
        <v>13291</v>
      </c>
      <c r="D32" s="47" t="s">
        <v>13291</v>
      </c>
      <c r="E32" s="47" t="s">
        <v>13291</v>
      </c>
      <c r="F32" s="47" t="s">
        <v>13291</v>
      </c>
      <c r="G32" s="47" t="s">
        <v>13291</v>
      </c>
      <c r="H32" s="158">
        <v>1026</v>
      </c>
      <c r="I32" s="156" t="s">
        <v>5304</v>
      </c>
      <c r="J32" s="156" t="s">
        <v>11629</v>
      </c>
      <c r="K32" s="47"/>
      <c r="L32" s="47"/>
      <c r="M32" s="47"/>
      <c r="N32" s="156"/>
      <c r="O32" s="156" t="s">
        <v>157</v>
      </c>
      <c r="P32" s="47"/>
      <c r="Q32" s="47"/>
      <c r="R32" s="47"/>
      <c r="S32" s="47" t="s">
        <v>13292</v>
      </c>
      <c r="T32" s="47" t="s">
        <v>13295</v>
      </c>
      <c r="U32" s="47"/>
    </row>
    <row r="33" spans="1:21" x14ac:dyDescent="0.3">
      <c r="A33" s="46">
        <v>32</v>
      </c>
      <c r="B33" s="47" t="s">
        <v>13291</v>
      </c>
      <c r="C33" s="47" t="s">
        <v>13291</v>
      </c>
      <c r="D33" s="47" t="s">
        <v>13291</v>
      </c>
      <c r="E33" s="47" t="s">
        <v>13291</v>
      </c>
      <c r="F33" s="47" t="s">
        <v>13291</v>
      </c>
      <c r="G33" s="47" t="s">
        <v>13291</v>
      </c>
      <c r="H33" s="158">
        <v>1027</v>
      </c>
      <c r="I33" s="156" t="s">
        <v>5305</v>
      </c>
      <c r="J33" s="156" t="s">
        <v>11665</v>
      </c>
      <c r="K33" s="47"/>
      <c r="L33" s="47"/>
      <c r="M33" s="47"/>
      <c r="N33" s="156"/>
      <c r="O33" s="156" t="s">
        <v>157</v>
      </c>
      <c r="P33" s="47"/>
      <c r="Q33" s="47"/>
      <c r="R33" s="47"/>
      <c r="S33" s="47" t="s">
        <v>13292</v>
      </c>
      <c r="T33" s="47" t="s">
        <v>13295</v>
      </c>
      <c r="U33" s="47"/>
    </row>
    <row r="34" spans="1:21" x14ac:dyDescent="0.3">
      <c r="A34" s="46">
        <v>33</v>
      </c>
      <c r="B34" s="47" t="s">
        <v>13291</v>
      </c>
      <c r="C34" s="47" t="s">
        <v>13291</v>
      </c>
      <c r="D34" s="47" t="s">
        <v>13291</v>
      </c>
      <c r="E34" s="47" t="s">
        <v>13291</v>
      </c>
      <c r="F34" s="47" t="s">
        <v>13291</v>
      </c>
      <c r="G34" s="47" t="s">
        <v>13291</v>
      </c>
      <c r="H34" s="158">
        <v>1028</v>
      </c>
      <c r="I34" s="156" t="s">
        <v>5306</v>
      </c>
      <c r="J34" s="156" t="s">
        <v>11666</v>
      </c>
      <c r="K34" s="47"/>
      <c r="L34" s="47"/>
      <c r="M34" s="47"/>
      <c r="N34" s="156"/>
      <c r="O34" s="156" t="s">
        <v>157</v>
      </c>
      <c r="P34" s="47"/>
      <c r="Q34" s="47"/>
      <c r="R34" s="47"/>
      <c r="S34" s="47" t="s">
        <v>13292</v>
      </c>
      <c r="T34" s="47" t="s">
        <v>13295</v>
      </c>
      <c r="U34" s="47"/>
    </row>
    <row r="35" spans="1:21" x14ac:dyDescent="0.3">
      <c r="A35" s="46">
        <v>34</v>
      </c>
      <c r="B35" s="47" t="s">
        <v>13291</v>
      </c>
      <c r="C35" s="47" t="s">
        <v>13291</v>
      </c>
      <c r="D35" s="47" t="s">
        <v>13291</v>
      </c>
      <c r="E35" s="47" t="s">
        <v>13291</v>
      </c>
      <c r="F35" s="47" t="s">
        <v>13291</v>
      </c>
      <c r="G35" s="47" t="s">
        <v>13291</v>
      </c>
      <c r="H35" s="158">
        <v>1029</v>
      </c>
      <c r="I35" s="156" t="s">
        <v>5307</v>
      </c>
      <c r="J35" s="156" t="s">
        <v>11667</v>
      </c>
      <c r="K35" s="47"/>
      <c r="L35" s="47"/>
      <c r="M35" s="47"/>
      <c r="N35" s="156"/>
      <c r="O35" s="156" t="s">
        <v>157</v>
      </c>
      <c r="P35" s="47"/>
      <c r="Q35" s="47"/>
      <c r="R35" s="47"/>
      <c r="S35" s="47" t="s">
        <v>13292</v>
      </c>
      <c r="T35" s="47" t="s">
        <v>13295</v>
      </c>
      <c r="U35" s="47"/>
    </row>
    <row r="36" spans="1:21" x14ac:dyDescent="0.3">
      <c r="A36" s="46">
        <v>35</v>
      </c>
      <c r="B36" s="47" t="s">
        <v>13291</v>
      </c>
      <c r="C36" s="47" t="s">
        <v>13291</v>
      </c>
      <c r="D36" s="47" t="s">
        <v>13291</v>
      </c>
      <c r="E36" s="47" t="s">
        <v>13291</v>
      </c>
      <c r="F36" s="47" t="s">
        <v>13291</v>
      </c>
      <c r="G36" s="47" t="s">
        <v>13291</v>
      </c>
      <c r="H36" s="158">
        <v>1030</v>
      </c>
      <c r="I36" s="156" t="s">
        <v>10957</v>
      </c>
      <c r="J36" s="156" t="s">
        <v>11668</v>
      </c>
      <c r="K36" s="47"/>
      <c r="L36" s="47"/>
      <c r="M36" s="47"/>
      <c r="N36" s="156"/>
      <c r="O36" s="156" t="s">
        <v>157</v>
      </c>
      <c r="P36" s="47"/>
      <c r="Q36" s="47"/>
      <c r="R36" s="47"/>
      <c r="S36" s="47" t="s">
        <v>13292</v>
      </c>
      <c r="T36" s="47" t="s">
        <v>13295</v>
      </c>
      <c r="U36" s="47"/>
    </row>
    <row r="37" spans="1:21" x14ac:dyDescent="0.3">
      <c r="A37" s="46">
        <v>36</v>
      </c>
      <c r="B37" s="47" t="s">
        <v>13291</v>
      </c>
      <c r="C37" s="47" t="s">
        <v>13291</v>
      </c>
      <c r="D37" s="47" t="s">
        <v>13291</v>
      </c>
      <c r="E37" s="47" t="s">
        <v>13291</v>
      </c>
      <c r="F37" s="47" t="s">
        <v>13291</v>
      </c>
      <c r="G37" s="47" t="s">
        <v>13291</v>
      </c>
      <c r="H37" s="158">
        <v>1031</v>
      </c>
      <c r="I37" s="156" t="s">
        <v>5308</v>
      </c>
      <c r="J37" s="156" t="s">
        <v>11669</v>
      </c>
      <c r="K37" s="47"/>
      <c r="L37" s="47"/>
      <c r="M37" s="47"/>
      <c r="N37" s="156"/>
      <c r="O37" s="156" t="s">
        <v>157</v>
      </c>
      <c r="P37" s="47"/>
      <c r="Q37" s="47"/>
      <c r="R37" s="47"/>
      <c r="S37" s="47" t="s">
        <v>13292</v>
      </c>
      <c r="T37" s="47" t="s">
        <v>13295</v>
      </c>
      <c r="U37" s="47"/>
    </row>
    <row r="38" spans="1:21" x14ac:dyDescent="0.3">
      <c r="A38" s="46">
        <v>37</v>
      </c>
      <c r="B38" s="47" t="s">
        <v>13291</v>
      </c>
      <c r="C38" s="47" t="s">
        <v>13291</v>
      </c>
      <c r="D38" s="47" t="s">
        <v>13291</v>
      </c>
      <c r="E38" s="47" t="s">
        <v>13291</v>
      </c>
      <c r="F38" s="47" t="s">
        <v>13291</v>
      </c>
      <c r="G38" s="47" t="s">
        <v>13291</v>
      </c>
      <c r="H38" s="158">
        <v>1032</v>
      </c>
      <c r="I38" s="156" t="s">
        <v>10915</v>
      </c>
      <c r="J38" s="156" t="s">
        <v>11493</v>
      </c>
      <c r="K38" s="47"/>
      <c r="L38" s="47"/>
      <c r="M38" s="47"/>
      <c r="N38" s="156"/>
      <c r="O38" s="156" t="s">
        <v>157</v>
      </c>
      <c r="P38" s="47"/>
      <c r="Q38" s="47"/>
      <c r="R38" s="47"/>
      <c r="S38" s="47" t="s">
        <v>13292</v>
      </c>
      <c r="T38" s="47" t="s">
        <v>13295</v>
      </c>
      <c r="U38" s="47"/>
    </row>
    <row r="39" spans="1:21" x14ac:dyDescent="0.3">
      <c r="A39" s="46">
        <v>38</v>
      </c>
      <c r="B39" s="47" t="s">
        <v>13291</v>
      </c>
      <c r="C39" s="47" t="s">
        <v>13291</v>
      </c>
      <c r="D39" s="47" t="s">
        <v>13291</v>
      </c>
      <c r="E39" s="47" t="s">
        <v>13291</v>
      </c>
      <c r="F39" s="47" t="s">
        <v>13291</v>
      </c>
      <c r="G39" s="47" t="s">
        <v>13291</v>
      </c>
      <c r="H39" s="158">
        <v>1033</v>
      </c>
      <c r="I39" s="156" t="s">
        <v>5309</v>
      </c>
      <c r="J39" s="156" t="s">
        <v>11670</v>
      </c>
      <c r="K39" s="47"/>
      <c r="L39" s="47"/>
      <c r="M39" s="47"/>
      <c r="N39" s="156"/>
      <c r="O39" s="156" t="s">
        <v>157</v>
      </c>
      <c r="P39" s="47"/>
      <c r="Q39" s="47"/>
      <c r="R39" s="47"/>
      <c r="S39" s="47" t="s">
        <v>13292</v>
      </c>
      <c r="T39" s="47" t="s">
        <v>13295</v>
      </c>
      <c r="U39" s="47"/>
    </row>
    <row r="40" spans="1:21" x14ac:dyDescent="0.3">
      <c r="A40" s="46">
        <v>39</v>
      </c>
      <c r="B40" s="47" t="s">
        <v>13291</v>
      </c>
      <c r="C40" s="47" t="s">
        <v>13291</v>
      </c>
      <c r="D40" s="47" t="s">
        <v>13291</v>
      </c>
      <c r="E40" s="47" t="s">
        <v>13291</v>
      </c>
      <c r="F40" s="47" t="s">
        <v>13291</v>
      </c>
      <c r="G40" s="47" t="s">
        <v>13291</v>
      </c>
      <c r="H40" s="158">
        <v>1034</v>
      </c>
      <c r="I40" s="156" t="s">
        <v>5310</v>
      </c>
      <c r="J40" s="156" t="s">
        <v>11671</v>
      </c>
      <c r="K40" s="47"/>
      <c r="L40" s="47"/>
      <c r="M40" s="47"/>
      <c r="N40" s="156"/>
      <c r="O40" s="156" t="s">
        <v>157</v>
      </c>
      <c r="P40" s="47"/>
      <c r="Q40" s="47"/>
      <c r="R40" s="47"/>
      <c r="S40" s="47" t="s">
        <v>13292</v>
      </c>
      <c r="T40" s="47" t="s">
        <v>13295</v>
      </c>
      <c r="U40" s="47"/>
    </row>
    <row r="41" spans="1:21" x14ac:dyDescent="0.3">
      <c r="A41" s="46">
        <v>40</v>
      </c>
      <c r="B41" s="47" t="s">
        <v>13291</v>
      </c>
      <c r="C41" s="47" t="s">
        <v>13291</v>
      </c>
      <c r="D41" s="47" t="s">
        <v>13291</v>
      </c>
      <c r="E41" s="47" t="s">
        <v>13291</v>
      </c>
      <c r="F41" s="47" t="s">
        <v>13291</v>
      </c>
      <c r="G41" s="47" t="s">
        <v>13291</v>
      </c>
      <c r="H41" s="158">
        <v>1035</v>
      </c>
      <c r="I41" s="156" t="s">
        <v>10958</v>
      </c>
      <c r="J41" s="156" t="s">
        <v>11672</v>
      </c>
      <c r="K41" s="47"/>
      <c r="L41" s="47"/>
      <c r="M41" s="47"/>
      <c r="N41" s="156"/>
      <c r="O41" s="156" t="s">
        <v>157</v>
      </c>
      <c r="P41" s="47"/>
      <c r="Q41" s="47"/>
      <c r="R41" s="47"/>
      <c r="S41" s="47" t="s">
        <v>13292</v>
      </c>
      <c r="T41" s="47" t="s">
        <v>13295</v>
      </c>
      <c r="U41" s="47"/>
    </row>
    <row r="42" spans="1:21" x14ac:dyDescent="0.3">
      <c r="A42" s="46">
        <v>41</v>
      </c>
      <c r="B42" s="47" t="s">
        <v>13291</v>
      </c>
      <c r="C42" s="47" t="s">
        <v>13291</v>
      </c>
      <c r="D42" s="47" t="s">
        <v>13291</v>
      </c>
      <c r="E42" s="47" t="s">
        <v>13291</v>
      </c>
      <c r="F42" s="47" t="s">
        <v>13291</v>
      </c>
      <c r="G42" s="47" t="s">
        <v>13291</v>
      </c>
      <c r="H42" s="158">
        <v>1036</v>
      </c>
      <c r="I42" s="156" t="s">
        <v>10959</v>
      </c>
      <c r="J42" s="156" t="s">
        <v>11673</v>
      </c>
      <c r="K42" s="47"/>
      <c r="L42" s="47"/>
      <c r="M42" s="47"/>
      <c r="N42" s="156"/>
      <c r="O42" s="156" t="s">
        <v>157</v>
      </c>
      <c r="P42" s="47"/>
      <c r="Q42" s="47"/>
      <c r="R42" s="47"/>
      <c r="S42" s="47" t="s">
        <v>13292</v>
      </c>
      <c r="T42" s="47" t="s">
        <v>13295</v>
      </c>
      <c r="U42" s="47"/>
    </row>
    <row r="43" spans="1:21" x14ac:dyDescent="0.3">
      <c r="A43" s="46">
        <v>42</v>
      </c>
      <c r="B43" s="47" t="s">
        <v>13291</v>
      </c>
      <c r="C43" s="47" t="s">
        <v>13291</v>
      </c>
      <c r="D43" s="47" t="s">
        <v>13291</v>
      </c>
      <c r="E43" s="47" t="s">
        <v>13291</v>
      </c>
      <c r="F43" s="47" t="s">
        <v>13291</v>
      </c>
      <c r="G43" s="47" t="s">
        <v>13291</v>
      </c>
      <c r="H43" s="158">
        <v>1037</v>
      </c>
      <c r="I43" s="156" t="s">
        <v>5311</v>
      </c>
      <c r="J43" s="156" t="s">
        <v>11674</v>
      </c>
      <c r="K43" s="47"/>
      <c r="L43" s="47"/>
      <c r="M43" s="47"/>
      <c r="N43" s="156"/>
      <c r="O43" s="156" t="s">
        <v>157</v>
      </c>
      <c r="P43" s="47"/>
      <c r="Q43" s="47"/>
      <c r="R43" s="47"/>
      <c r="S43" s="47" t="s">
        <v>13292</v>
      </c>
      <c r="T43" s="47" t="s">
        <v>13295</v>
      </c>
      <c r="U43" s="47"/>
    </row>
    <row r="44" spans="1:21" x14ac:dyDescent="0.3">
      <c r="A44" s="46">
        <v>43</v>
      </c>
      <c r="B44" s="47" t="s">
        <v>13291</v>
      </c>
      <c r="C44" s="47" t="s">
        <v>13291</v>
      </c>
      <c r="D44" s="47" t="s">
        <v>13291</v>
      </c>
      <c r="E44" s="47" t="s">
        <v>13291</v>
      </c>
      <c r="F44" s="47" t="s">
        <v>13291</v>
      </c>
      <c r="G44" s="47" t="s">
        <v>13291</v>
      </c>
      <c r="H44" s="158">
        <v>1038</v>
      </c>
      <c r="I44" s="156" t="s">
        <v>5312</v>
      </c>
      <c r="J44" s="156" t="s">
        <v>12039</v>
      </c>
      <c r="K44" s="47"/>
      <c r="L44" s="47"/>
      <c r="M44" s="47"/>
      <c r="N44" s="156"/>
      <c r="O44" s="156" t="s">
        <v>157</v>
      </c>
      <c r="P44" s="47"/>
      <c r="Q44" s="47"/>
      <c r="R44" s="47"/>
      <c r="S44" s="47" t="s">
        <v>13292</v>
      </c>
      <c r="T44" s="47" t="s">
        <v>13295</v>
      </c>
      <c r="U44" s="47"/>
    </row>
    <row r="45" spans="1:21" x14ac:dyDescent="0.3">
      <c r="A45" s="46">
        <v>44</v>
      </c>
      <c r="B45" s="47" t="s">
        <v>13291</v>
      </c>
      <c r="C45" s="47" t="s">
        <v>13291</v>
      </c>
      <c r="D45" s="47" t="s">
        <v>13291</v>
      </c>
      <c r="E45" s="47" t="s">
        <v>13291</v>
      </c>
      <c r="F45" s="47" t="s">
        <v>13291</v>
      </c>
      <c r="G45" s="47" t="s">
        <v>13291</v>
      </c>
      <c r="H45" s="158">
        <v>1039</v>
      </c>
      <c r="I45" s="156" t="s">
        <v>5313</v>
      </c>
      <c r="J45" s="156" t="s">
        <v>11675</v>
      </c>
      <c r="K45" s="47"/>
      <c r="L45" s="47"/>
      <c r="M45" s="47"/>
      <c r="N45" s="156"/>
      <c r="O45" s="156" t="s">
        <v>157</v>
      </c>
      <c r="P45" s="47"/>
      <c r="Q45" s="47"/>
      <c r="R45" s="47"/>
      <c r="S45" s="47" t="s">
        <v>13292</v>
      </c>
      <c r="T45" s="47" t="s">
        <v>13295</v>
      </c>
      <c r="U45" s="47"/>
    </row>
    <row r="46" spans="1:21" x14ac:dyDescent="0.3">
      <c r="A46" s="46">
        <v>45</v>
      </c>
      <c r="B46" s="47" t="s">
        <v>13291</v>
      </c>
      <c r="C46" s="47" t="s">
        <v>13291</v>
      </c>
      <c r="D46" s="47" t="s">
        <v>13291</v>
      </c>
      <c r="E46" s="47" t="s">
        <v>13291</v>
      </c>
      <c r="F46" s="47" t="s">
        <v>13291</v>
      </c>
      <c r="G46" s="47" t="s">
        <v>13291</v>
      </c>
      <c r="H46" s="158">
        <v>1040</v>
      </c>
      <c r="I46" s="156" t="s">
        <v>5314</v>
      </c>
      <c r="J46" s="156" t="s">
        <v>11676</v>
      </c>
      <c r="K46" s="47"/>
      <c r="L46" s="47"/>
      <c r="M46" s="47"/>
      <c r="N46" s="156"/>
      <c r="O46" s="156" t="s">
        <v>157</v>
      </c>
      <c r="P46" s="47"/>
      <c r="Q46" s="47"/>
      <c r="R46" s="47"/>
      <c r="S46" s="47" t="s">
        <v>13292</v>
      </c>
      <c r="T46" s="47" t="s">
        <v>13295</v>
      </c>
      <c r="U46" s="47"/>
    </row>
    <row r="47" spans="1:21" x14ac:dyDescent="0.3">
      <c r="A47" s="46">
        <v>46</v>
      </c>
      <c r="B47" s="47" t="s">
        <v>13291</v>
      </c>
      <c r="C47" s="47" t="s">
        <v>13291</v>
      </c>
      <c r="D47" s="47" t="s">
        <v>13291</v>
      </c>
      <c r="E47" s="47" t="s">
        <v>13291</v>
      </c>
      <c r="F47" s="47" t="s">
        <v>13291</v>
      </c>
      <c r="G47" s="47" t="s">
        <v>13291</v>
      </c>
      <c r="H47" s="158">
        <v>1041</v>
      </c>
      <c r="I47" s="156" t="s">
        <v>10960</v>
      </c>
      <c r="J47" s="156" t="s">
        <v>11677</v>
      </c>
      <c r="K47" s="47"/>
      <c r="L47" s="47"/>
      <c r="M47" s="47"/>
      <c r="N47" s="156"/>
      <c r="O47" s="156" t="s">
        <v>157</v>
      </c>
      <c r="P47" s="47"/>
      <c r="Q47" s="47"/>
      <c r="R47" s="47"/>
      <c r="S47" s="47" t="s">
        <v>13292</v>
      </c>
      <c r="T47" s="47" t="s">
        <v>13295</v>
      </c>
      <c r="U47" s="47"/>
    </row>
    <row r="48" spans="1:21" x14ac:dyDescent="0.3">
      <c r="A48" s="46">
        <v>47</v>
      </c>
      <c r="B48" s="47" t="s">
        <v>13291</v>
      </c>
      <c r="C48" s="47" t="s">
        <v>13291</v>
      </c>
      <c r="D48" s="47" t="s">
        <v>13291</v>
      </c>
      <c r="E48" s="47" t="s">
        <v>13291</v>
      </c>
      <c r="F48" s="47" t="s">
        <v>13291</v>
      </c>
      <c r="G48" s="47" t="s">
        <v>13291</v>
      </c>
      <c r="H48" s="158">
        <v>1042</v>
      </c>
      <c r="I48" s="156" t="s">
        <v>5315</v>
      </c>
      <c r="J48" s="156" t="s">
        <v>11678</v>
      </c>
      <c r="K48" s="47"/>
      <c r="L48" s="47"/>
      <c r="M48" s="47"/>
      <c r="N48" s="156"/>
      <c r="O48" s="156" t="s">
        <v>157</v>
      </c>
      <c r="P48" s="47"/>
      <c r="Q48" s="47"/>
      <c r="R48" s="47"/>
      <c r="S48" s="47" t="s">
        <v>13292</v>
      </c>
      <c r="T48" s="47" t="s">
        <v>13295</v>
      </c>
      <c r="U48" s="47"/>
    </row>
    <row r="49" spans="1:21" x14ac:dyDescent="0.3">
      <c r="A49" s="46">
        <v>48</v>
      </c>
      <c r="B49" s="47" t="s">
        <v>13291</v>
      </c>
      <c r="C49" s="47" t="s">
        <v>13291</v>
      </c>
      <c r="D49" s="47" t="s">
        <v>13291</v>
      </c>
      <c r="E49" s="47" t="s">
        <v>13291</v>
      </c>
      <c r="F49" s="47" t="s">
        <v>13291</v>
      </c>
      <c r="G49" s="47" t="s">
        <v>13291</v>
      </c>
      <c r="H49" s="158">
        <v>1043</v>
      </c>
      <c r="I49" s="156" t="s">
        <v>5316</v>
      </c>
      <c r="J49" s="156" t="s">
        <v>11679</v>
      </c>
      <c r="K49" s="47"/>
      <c r="L49" s="47"/>
      <c r="M49" s="47"/>
      <c r="N49" s="156"/>
      <c r="O49" s="156" t="s">
        <v>157</v>
      </c>
      <c r="P49" s="47"/>
      <c r="Q49" s="47"/>
      <c r="R49" s="47"/>
      <c r="S49" s="47" t="s">
        <v>13292</v>
      </c>
      <c r="T49" s="47" t="s">
        <v>13295</v>
      </c>
      <c r="U49" s="47"/>
    </row>
    <row r="50" spans="1:21" x14ac:dyDescent="0.3">
      <c r="A50" s="46">
        <v>49</v>
      </c>
      <c r="B50" s="47" t="s">
        <v>13291</v>
      </c>
      <c r="C50" s="47" t="s">
        <v>13291</v>
      </c>
      <c r="D50" s="47" t="s">
        <v>13291</v>
      </c>
      <c r="E50" s="47" t="s">
        <v>13291</v>
      </c>
      <c r="F50" s="47" t="s">
        <v>13291</v>
      </c>
      <c r="G50" s="47" t="s">
        <v>13291</v>
      </c>
      <c r="H50" s="158">
        <v>1044</v>
      </c>
      <c r="I50" s="156" t="s">
        <v>10961</v>
      </c>
      <c r="J50" s="156" t="s">
        <v>11680</v>
      </c>
      <c r="K50" s="47"/>
      <c r="L50" s="47"/>
      <c r="M50" s="47"/>
      <c r="N50" s="156"/>
      <c r="O50" s="156" t="s">
        <v>157</v>
      </c>
      <c r="P50" s="47"/>
      <c r="Q50" s="47"/>
      <c r="R50" s="47"/>
      <c r="S50" s="47" t="s">
        <v>13292</v>
      </c>
      <c r="T50" s="47" t="s">
        <v>13295</v>
      </c>
      <c r="U50" s="47"/>
    </row>
    <row r="51" spans="1:21" x14ac:dyDescent="0.3">
      <c r="A51" s="46">
        <v>50</v>
      </c>
      <c r="B51" s="47" t="s">
        <v>13291</v>
      </c>
      <c r="C51" s="47" t="s">
        <v>13291</v>
      </c>
      <c r="D51" s="47" t="s">
        <v>13291</v>
      </c>
      <c r="E51" s="47" t="s">
        <v>13291</v>
      </c>
      <c r="F51" s="47" t="s">
        <v>13291</v>
      </c>
      <c r="G51" s="47" t="s">
        <v>13291</v>
      </c>
      <c r="H51" s="158">
        <v>1045</v>
      </c>
      <c r="I51" s="156" t="s">
        <v>10962</v>
      </c>
      <c r="J51" s="156" t="s">
        <v>11681</v>
      </c>
      <c r="K51" s="47"/>
      <c r="L51" s="47"/>
      <c r="M51" s="47"/>
      <c r="N51" s="156"/>
      <c r="O51" s="156" t="s">
        <v>157</v>
      </c>
      <c r="P51" s="47"/>
      <c r="Q51" s="47"/>
      <c r="R51" s="47"/>
      <c r="S51" s="47" t="s">
        <v>13292</v>
      </c>
      <c r="T51" s="47" t="s">
        <v>13295</v>
      </c>
      <c r="U51" s="47"/>
    </row>
    <row r="52" spans="1:21" x14ac:dyDescent="0.3">
      <c r="A52" s="46">
        <v>51</v>
      </c>
      <c r="B52" s="47" t="s">
        <v>13291</v>
      </c>
      <c r="C52" s="47" t="s">
        <v>13291</v>
      </c>
      <c r="D52" s="47" t="s">
        <v>13291</v>
      </c>
      <c r="E52" s="47" t="s">
        <v>13291</v>
      </c>
      <c r="F52" s="47" t="s">
        <v>13291</v>
      </c>
      <c r="G52" s="47" t="s">
        <v>13291</v>
      </c>
      <c r="H52" s="158">
        <v>1046</v>
      </c>
      <c r="I52" s="156" t="s">
        <v>10963</v>
      </c>
      <c r="J52" s="156" t="s">
        <v>11682</v>
      </c>
      <c r="K52" s="47"/>
      <c r="L52" s="47"/>
      <c r="M52" s="47"/>
      <c r="N52" s="156"/>
      <c r="O52" s="156" t="s">
        <v>157</v>
      </c>
      <c r="P52" s="47"/>
      <c r="Q52" s="47"/>
      <c r="R52" s="47"/>
      <c r="S52" s="47" t="s">
        <v>13292</v>
      </c>
      <c r="T52" s="47" t="s">
        <v>13295</v>
      </c>
      <c r="U52" s="47"/>
    </row>
    <row r="53" spans="1:21" x14ac:dyDescent="0.3">
      <c r="A53" s="46">
        <v>52</v>
      </c>
      <c r="B53" s="47" t="s">
        <v>13291</v>
      </c>
      <c r="C53" s="47" t="s">
        <v>13291</v>
      </c>
      <c r="D53" s="47" t="s">
        <v>13291</v>
      </c>
      <c r="E53" s="47" t="s">
        <v>13291</v>
      </c>
      <c r="F53" s="47" t="s">
        <v>13291</v>
      </c>
      <c r="G53" s="47" t="s">
        <v>13291</v>
      </c>
      <c r="H53" s="158">
        <v>1047</v>
      </c>
      <c r="I53" s="156" t="s">
        <v>5317</v>
      </c>
      <c r="J53" s="156" t="s">
        <v>12040</v>
      </c>
      <c r="K53" s="47"/>
      <c r="L53" s="47"/>
      <c r="M53" s="47"/>
      <c r="N53" s="156"/>
      <c r="O53" s="156" t="s">
        <v>157</v>
      </c>
      <c r="P53" s="47"/>
      <c r="Q53" s="47"/>
      <c r="R53" s="47"/>
      <c r="S53" s="47" t="s">
        <v>13292</v>
      </c>
      <c r="T53" s="47" t="s">
        <v>13295</v>
      </c>
      <c r="U53" s="47"/>
    </row>
    <row r="54" spans="1:21" x14ac:dyDescent="0.3">
      <c r="A54" s="46">
        <v>53</v>
      </c>
      <c r="B54" s="47" t="s">
        <v>13291</v>
      </c>
      <c r="C54" s="47" t="s">
        <v>13291</v>
      </c>
      <c r="D54" s="47" t="s">
        <v>13291</v>
      </c>
      <c r="E54" s="47" t="s">
        <v>13291</v>
      </c>
      <c r="F54" s="47" t="s">
        <v>13291</v>
      </c>
      <c r="G54" s="47" t="s">
        <v>13291</v>
      </c>
      <c r="H54" s="158">
        <v>1048</v>
      </c>
      <c r="I54" s="156" t="s">
        <v>5318</v>
      </c>
      <c r="J54" s="156" t="s">
        <v>11630</v>
      </c>
      <c r="K54" s="47"/>
      <c r="L54" s="47"/>
      <c r="M54" s="47"/>
      <c r="N54" s="156"/>
      <c r="O54" s="156" t="s">
        <v>157</v>
      </c>
      <c r="P54" s="47"/>
      <c r="Q54" s="47"/>
      <c r="R54" s="47"/>
      <c r="S54" s="47" t="s">
        <v>13292</v>
      </c>
      <c r="T54" s="47" t="s">
        <v>13295</v>
      </c>
      <c r="U54" s="47"/>
    </row>
    <row r="55" spans="1:21" x14ac:dyDescent="0.3">
      <c r="A55" s="46">
        <v>54</v>
      </c>
      <c r="B55" s="47" t="s">
        <v>13291</v>
      </c>
      <c r="C55" s="47" t="s">
        <v>13291</v>
      </c>
      <c r="D55" s="47" t="s">
        <v>13291</v>
      </c>
      <c r="E55" s="47" t="s">
        <v>13291</v>
      </c>
      <c r="F55" s="47" t="s">
        <v>13291</v>
      </c>
      <c r="G55" s="47" t="s">
        <v>13291</v>
      </c>
      <c r="H55" s="158">
        <v>1049</v>
      </c>
      <c r="I55" s="156" t="s">
        <v>10964</v>
      </c>
      <c r="J55" s="156" t="s">
        <v>11683</v>
      </c>
      <c r="K55" s="47"/>
      <c r="L55" s="47"/>
      <c r="M55" s="47"/>
      <c r="N55" s="156"/>
      <c r="O55" s="156" t="s">
        <v>157</v>
      </c>
      <c r="P55" s="47"/>
      <c r="Q55" s="47"/>
      <c r="R55" s="47"/>
      <c r="S55" s="47" t="s">
        <v>13292</v>
      </c>
      <c r="T55" s="47" t="s">
        <v>13295</v>
      </c>
      <c r="U55" s="47"/>
    </row>
    <row r="56" spans="1:21" x14ac:dyDescent="0.3">
      <c r="A56" s="46">
        <v>55</v>
      </c>
      <c r="B56" s="47" t="s">
        <v>13291</v>
      </c>
      <c r="C56" s="47" t="s">
        <v>13291</v>
      </c>
      <c r="D56" s="47" t="s">
        <v>13291</v>
      </c>
      <c r="E56" s="47" t="s">
        <v>13291</v>
      </c>
      <c r="F56" s="47" t="s">
        <v>13291</v>
      </c>
      <c r="G56" s="47" t="s">
        <v>13291</v>
      </c>
      <c r="H56" s="158">
        <v>1050</v>
      </c>
      <c r="I56" s="156" t="s">
        <v>5319</v>
      </c>
      <c r="J56" s="156" t="s">
        <v>11684</v>
      </c>
      <c r="K56" s="47"/>
      <c r="L56" s="47"/>
      <c r="M56" s="47"/>
      <c r="N56" s="156"/>
      <c r="O56" s="156" t="s">
        <v>157</v>
      </c>
      <c r="P56" s="47"/>
      <c r="Q56" s="47"/>
      <c r="R56" s="47"/>
      <c r="S56" s="47" t="s">
        <v>13292</v>
      </c>
      <c r="T56" s="47" t="s">
        <v>13295</v>
      </c>
      <c r="U56" s="47"/>
    </row>
    <row r="57" spans="1:21" x14ac:dyDescent="0.3">
      <c r="A57" s="46">
        <v>56</v>
      </c>
      <c r="B57" s="47" t="s">
        <v>13291</v>
      </c>
      <c r="C57" s="47" t="s">
        <v>13291</v>
      </c>
      <c r="D57" s="47" t="s">
        <v>13291</v>
      </c>
      <c r="E57" s="47" t="s">
        <v>13291</v>
      </c>
      <c r="F57" s="47" t="s">
        <v>13291</v>
      </c>
      <c r="G57" s="47" t="s">
        <v>13291</v>
      </c>
      <c r="H57" s="158">
        <v>1051</v>
      </c>
      <c r="I57" s="156" t="s">
        <v>11137</v>
      </c>
      <c r="J57" s="156" t="s">
        <v>12041</v>
      </c>
      <c r="K57" s="47"/>
      <c r="L57" s="47"/>
      <c r="M57" s="47"/>
      <c r="N57" s="156"/>
      <c r="O57" s="156" t="s">
        <v>157</v>
      </c>
      <c r="P57" s="47"/>
      <c r="Q57" s="47"/>
      <c r="R57" s="47"/>
      <c r="S57" s="47" t="s">
        <v>13292</v>
      </c>
      <c r="T57" s="47" t="s">
        <v>13295</v>
      </c>
      <c r="U57" s="47"/>
    </row>
    <row r="58" spans="1:21" x14ac:dyDescent="0.3">
      <c r="A58" s="46">
        <v>57</v>
      </c>
      <c r="B58" s="47" t="s">
        <v>13291</v>
      </c>
      <c r="C58" s="47" t="s">
        <v>13291</v>
      </c>
      <c r="D58" s="47" t="s">
        <v>13291</v>
      </c>
      <c r="E58" s="47" t="s">
        <v>13291</v>
      </c>
      <c r="F58" s="47" t="s">
        <v>13291</v>
      </c>
      <c r="G58" s="47" t="s">
        <v>13291</v>
      </c>
      <c r="H58" s="158">
        <v>1052</v>
      </c>
      <c r="I58" s="156" t="s">
        <v>5320</v>
      </c>
      <c r="J58" s="156" t="s">
        <v>11549</v>
      </c>
      <c r="K58" s="47"/>
      <c r="L58" s="47"/>
      <c r="M58" s="47"/>
      <c r="N58" s="156"/>
      <c r="O58" s="156" t="s">
        <v>157</v>
      </c>
      <c r="P58" s="47"/>
      <c r="Q58" s="47"/>
      <c r="R58" s="47"/>
      <c r="S58" s="47" t="s">
        <v>13292</v>
      </c>
      <c r="T58" s="47" t="s">
        <v>13295</v>
      </c>
      <c r="U58" s="47"/>
    </row>
    <row r="59" spans="1:21" x14ac:dyDescent="0.3">
      <c r="A59" s="46">
        <v>58</v>
      </c>
      <c r="B59" s="47" t="s">
        <v>13291</v>
      </c>
      <c r="C59" s="47" t="s">
        <v>13291</v>
      </c>
      <c r="D59" s="47" t="s">
        <v>13291</v>
      </c>
      <c r="E59" s="47" t="s">
        <v>13291</v>
      </c>
      <c r="F59" s="47" t="s">
        <v>13291</v>
      </c>
      <c r="G59" s="47" t="s">
        <v>13291</v>
      </c>
      <c r="H59" s="158">
        <v>1053</v>
      </c>
      <c r="I59" s="156" t="s">
        <v>10965</v>
      </c>
      <c r="J59" s="156" t="s">
        <v>11685</v>
      </c>
      <c r="K59" s="47"/>
      <c r="L59" s="47"/>
      <c r="M59" s="47"/>
      <c r="N59" s="156"/>
      <c r="O59" s="156" t="s">
        <v>157</v>
      </c>
      <c r="P59" s="47"/>
      <c r="Q59" s="47"/>
      <c r="R59" s="47"/>
      <c r="S59" s="47" t="s">
        <v>13292</v>
      </c>
      <c r="T59" s="47" t="s">
        <v>13295</v>
      </c>
      <c r="U59" s="47"/>
    </row>
    <row r="60" spans="1:21" x14ac:dyDescent="0.3">
      <c r="A60" s="46">
        <v>59</v>
      </c>
      <c r="B60" s="47" t="s">
        <v>13291</v>
      </c>
      <c r="C60" s="47" t="s">
        <v>13291</v>
      </c>
      <c r="D60" s="47" t="s">
        <v>13291</v>
      </c>
      <c r="E60" s="47" t="s">
        <v>13291</v>
      </c>
      <c r="F60" s="47" t="s">
        <v>13291</v>
      </c>
      <c r="G60" s="47" t="s">
        <v>13291</v>
      </c>
      <c r="H60" s="158">
        <v>1054</v>
      </c>
      <c r="I60" s="156" t="s">
        <v>5322</v>
      </c>
      <c r="J60" s="156" t="s">
        <v>11686</v>
      </c>
      <c r="K60" s="47"/>
      <c r="L60" s="47"/>
      <c r="M60" s="47"/>
      <c r="N60" s="156"/>
      <c r="O60" s="156" t="s">
        <v>157</v>
      </c>
      <c r="P60" s="47"/>
      <c r="Q60" s="47"/>
      <c r="R60" s="47"/>
      <c r="S60" s="47" t="s">
        <v>13292</v>
      </c>
      <c r="T60" s="47" t="s">
        <v>13295</v>
      </c>
      <c r="U60" s="47"/>
    </row>
    <row r="61" spans="1:21" x14ac:dyDescent="0.3">
      <c r="A61" s="46">
        <v>60</v>
      </c>
      <c r="B61" s="47" t="s">
        <v>13291</v>
      </c>
      <c r="C61" s="47" t="s">
        <v>13291</v>
      </c>
      <c r="D61" s="47" t="s">
        <v>13291</v>
      </c>
      <c r="E61" s="47" t="s">
        <v>13291</v>
      </c>
      <c r="F61" s="47" t="s">
        <v>13291</v>
      </c>
      <c r="G61" s="47" t="s">
        <v>13291</v>
      </c>
      <c r="H61" s="158">
        <v>1055</v>
      </c>
      <c r="I61" s="156" t="s">
        <v>5323</v>
      </c>
      <c r="J61" s="156" t="s">
        <v>11550</v>
      </c>
      <c r="K61" s="47"/>
      <c r="L61" s="47"/>
      <c r="M61" s="47"/>
      <c r="N61" s="156"/>
      <c r="O61" s="156" t="s">
        <v>157</v>
      </c>
      <c r="P61" s="47"/>
      <c r="Q61" s="47"/>
      <c r="R61" s="47"/>
      <c r="S61" s="47" t="s">
        <v>13292</v>
      </c>
      <c r="T61" s="47" t="s">
        <v>13295</v>
      </c>
      <c r="U61" s="47"/>
    </row>
    <row r="62" spans="1:21" x14ac:dyDescent="0.3">
      <c r="A62" s="46">
        <v>61</v>
      </c>
      <c r="B62" s="47" t="s">
        <v>13291</v>
      </c>
      <c r="C62" s="47" t="s">
        <v>13291</v>
      </c>
      <c r="D62" s="47" t="s">
        <v>13291</v>
      </c>
      <c r="E62" s="47" t="s">
        <v>13291</v>
      </c>
      <c r="F62" s="47" t="s">
        <v>13291</v>
      </c>
      <c r="G62" s="47" t="s">
        <v>13291</v>
      </c>
      <c r="H62" s="158">
        <v>1056</v>
      </c>
      <c r="I62" s="156" t="s">
        <v>5324</v>
      </c>
      <c r="J62" s="156" t="s">
        <v>11551</v>
      </c>
      <c r="K62" s="47"/>
      <c r="L62" s="47"/>
      <c r="M62" s="47"/>
      <c r="N62" s="156"/>
      <c r="O62" s="156" t="s">
        <v>157</v>
      </c>
      <c r="P62" s="47"/>
      <c r="Q62" s="47"/>
      <c r="R62" s="47"/>
      <c r="S62" s="47" t="s">
        <v>13292</v>
      </c>
      <c r="T62" s="47" t="s">
        <v>13295</v>
      </c>
      <c r="U62" s="47"/>
    </row>
    <row r="63" spans="1:21" x14ac:dyDescent="0.3">
      <c r="A63" s="46">
        <v>62</v>
      </c>
      <c r="B63" s="47" t="s">
        <v>13291</v>
      </c>
      <c r="C63" s="47" t="s">
        <v>13291</v>
      </c>
      <c r="D63" s="47" t="s">
        <v>13291</v>
      </c>
      <c r="E63" s="47" t="s">
        <v>13291</v>
      </c>
      <c r="F63" s="47" t="s">
        <v>13291</v>
      </c>
      <c r="G63" s="47" t="s">
        <v>13291</v>
      </c>
      <c r="H63" s="158">
        <v>1057</v>
      </c>
      <c r="I63" s="156" t="s">
        <v>10966</v>
      </c>
      <c r="J63" s="156" t="s">
        <v>11687</v>
      </c>
      <c r="K63" s="47"/>
      <c r="L63" s="47"/>
      <c r="M63" s="47"/>
      <c r="N63" s="156"/>
      <c r="O63" s="156" t="s">
        <v>157</v>
      </c>
      <c r="P63" s="47"/>
      <c r="Q63" s="47"/>
      <c r="R63" s="47"/>
      <c r="S63" s="47" t="s">
        <v>13292</v>
      </c>
      <c r="T63" s="47" t="s">
        <v>13295</v>
      </c>
      <c r="U63" s="47"/>
    </row>
    <row r="64" spans="1:21" x14ac:dyDescent="0.3">
      <c r="A64" s="46">
        <v>63</v>
      </c>
      <c r="B64" s="47" t="s">
        <v>13291</v>
      </c>
      <c r="C64" s="47" t="s">
        <v>13291</v>
      </c>
      <c r="D64" s="47" t="s">
        <v>13291</v>
      </c>
      <c r="E64" s="47" t="s">
        <v>13291</v>
      </c>
      <c r="F64" s="47" t="s">
        <v>13291</v>
      </c>
      <c r="G64" s="47" t="s">
        <v>13291</v>
      </c>
      <c r="H64" s="158">
        <v>1058</v>
      </c>
      <c r="I64" s="156" t="s">
        <v>5325</v>
      </c>
      <c r="J64" s="156" t="s">
        <v>11688</v>
      </c>
      <c r="K64" s="47"/>
      <c r="L64" s="47"/>
      <c r="M64" s="47"/>
      <c r="N64" s="156"/>
      <c r="O64" s="156" t="s">
        <v>157</v>
      </c>
      <c r="P64" s="47"/>
      <c r="Q64" s="47"/>
      <c r="R64" s="47"/>
      <c r="S64" s="47" t="s">
        <v>13292</v>
      </c>
      <c r="T64" s="47" t="s">
        <v>13295</v>
      </c>
      <c r="U64" s="47"/>
    </row>
    <row r="65" spans="1:21" x14ac:dyDescent="0.3">
      <c r="A65" s="46">
        <v>64</v>
      </c>
      <c r="B65" s="47" t="s">
        <v>13291</v>
      </c>
      <c r="C65" s="47" t="s">
        <v>13291</v>
      </c>
      <c r="D65" s="47" t="s">
        <v>13291</v>
      </c>
      <c r="E65" s="47" t="s">
        <v>13291</v>
      </c>
      <c r="F65" s="47" t="s">
        <v>13291</v>
      </c>
      <c r="G65" s="47" t="s">
        <v>13291</v>
      </c>
      <c r="H65" s="158">
        <v>1059</v>
      </c>
      <c r="I65" s="156" t="s">
        <v>11103</v>
      </c>
      <c r="J65" s="156" t="s">
        <v>11976</v>
      </c>
      <c r="K65" s="47"/>
      <c r="L65" s="47"/>
      <c r="M65" s="47"/>
      <c r="N65" s="156"/>
      <c r="O65" s="156" t="s">
        <v>157</v>
      </c>
      <c r="P65" s="47"/>
      <c r="Q65" s="47"/>
      <c r="R65" s="47"/>
      <c r="S65" s="47" t="s">
        <v>13292</v>
      </c>
      <c r="T65" s="47" t="s">
        <v>13295</v>
      </c>
      <c r="U65" s="47"/>
    </row>
    <row r="66" spans="1:21" x14ac:dyDescent="0.3">
      <c r="A66" s="46">
        <v>65</v>
      </c>
      <c r="B66" s="47" t="s">
        <v>13291</v>
      </c>
      <c r="C66" s="47" t="s">
        <v>13291</v>
      </c>
      <c r="D66" s="47" t="s">
        <v>13291</v>
      </c>
      <c r="E66" s="47" t="s">
        <v>13291</v>
      </c>
      <c r="F66" s="47" t="s">
        <v>13291</v>
      </c>
      <c r="G66" s="47" t="s">
        <v>13291</v>
      </c>
      <c r="H66" s="158">
        <v>1060</v>
      </c>
      <c r="I66" s="156" t="s">
        <v>11138</v>
      </c>
      <c r="J66" s="156" t="s">
        <v>12042</v>
      </c>
      <c r="K66" s="47"/>
      <c r="L66" s="47"/>
      <c r="M66" s="47"/>
      <c r="N66" s="156"/>
      <c r="O66" s="156" t="s">
        <v>157</v>
      </c>
      <c r="P66" s="47"/>
      <c r="Q66" s="47"/>
      <c r="R66" s="47"/>
      <c r="S66" s="47" t="s">
        <v>13292</v>
      </c>
      <c r="T66" s="47" t="s">
        <v>13295</v>
      </c>
      <c r="U66" s="47"/>
    </row>
    <row r="67" spans="1:21" x14ac:dyDescent="0.3">
      <c r="A67" s="46">
        <v>66</v>
      </c>
      <c r="B67" s="47" t="s">
        <v>13291</v>
      </c>
      <c r="C67" s="47" t="s">
        <v>13291</v>
      </c>
      <c r="D67" s="47" t="s">
        <v>13291</v>
      </c>
      <c r="E67" s="47" t="s">
        <v>13291</v>
      </c>
      <c r="F67" s="47" t="s">
        <v>13291</v>
      </c>
      <c r="G67" s="47" t="s">
        <v>13291</v>
      </c>
      <c r="H67" s="158">
        <v>1061</v>
      </c>
      <c r="I67" s="156" t="s">
        <v>5326</v>
      </c>
      <c r="J67" s="156" t="s">
        <v>11689</v>
      </c>
      <c r="K67" s="47"/>
      <c r="L67" s="47"/>
      <c r="M67" s="47"/>
      <c r="N67" s="156"/>
      <c r="O67" s="156" t="s">
        <v>157</v>
      </c>
      <c r="P67" s="47"/>
      <c r="Q67" s="47"/>
      <c r="R67" s="47"/>
      <c r="S67" s="47" t="s">
        <v>13292</v>
      </c>
      <c r="T67" s="47" t="s">
        <v>13295</v>
      </c>
      <c r="U67" s="47"/>
    </row>
    <row r="68" spans="1:21" x14ac:dyDescent="0.3">
      <c r="A68" s="46">
        <v>67</v>
      </c>
      <c r="B68" s="47" t="s">
        <v>13291</v>
      </c>
      <c r="C68" s="47" t="s">
        <v>13291</v>
      </c>
      <c r="D68" s="47" t="s">
        <v>13291</v>
      </c>
      <c r="E68" s="47" t="s">
        <v>13291</v>
      </c>
      <c r="F68" s="47" t="s">
        <v>13291</v>
      </c>
      <c r="G68" s="47" t="s">
        <v>13291</v>
      </c>
      <c r="H68" s="158">
        <v>1062</v>
      </c>
      <c r="I68" s="156" t="s">
        <v>5327</v>
      </c>
      <c r="J68" s="156" t="s">
        <v>11532</v>
      </c>
      <c r="K68" s="47"/>
      <c r="L68" s="47"/>
      <c r="M68" s="47"/>
      <c r="N68" s="156"/>
      <c r="O68" s="156" t="s">
        <v>157</v>
      </c>
      <c r="P68" s="47"/>
      <c r="Q68" s="47"/>
      <c r="R68" s="47"/>
      <c r="S68" s="47" t="s">
        <v>13292</v>
      </c>
      <c r="T68" s="47" t="s">
        <v>13295</v>
      </c>
      <c r="U68" s="47"/>
    </row>
    <row r="69" spans="1:21" x14ac:dyDescent="0.3">
      <c r="A69" s="46">
        <v>68</v>
      </c>
      <c r="B69" s="47" t="s">
        <v>13291</v>
      </c>
      <c r="C69" s="47" t="s">
        <v>13291</v>
      </c>
      <c r="D69" s="47" t="s">
        <v>13291</v>
      </c>
      <c r="E69" s="47" t="s">
        <v>13291</v>
      </c>
      <c r="F69" s="47" t="s">
        <v>13291</v>
      </c>
      <c r="G69" s="47" t="s">
        <v>13291</v>
      </c>
      <c r="H69" s="158">
        <v>1063</v>
      </c>
      <c r="I69" s="156" t="s">
        <v>5329</v>
      </c>
      <c r="J69" s="156" t="s">
        <v>11533</v>
      </c>
      <c r="K69" s="47"/>
      <c r="L69" s="47"/>
      <c r="M69" s="47"/>
      <c r="N69" s="156"/>
      <c r="O69" s="156" t="s">
        <v>157</v>
      </c>
      <c r="P69" s="47"/>
      <c r="Q69" s="47"/>
      <c r="R69" s="47"/>
      <c r="S69" s="47" t="s">
        <v>13292</v>
      </c>
      <c r="T69" s="47" t="s">
        <v>13295</v>
      </c>
      <c r="U69" s="47"/>
    </row>
    <row r="70" spans="1:21" x14ac:dyDescent="0.3">
      <c r="A70" s="46">
        <v>69</v>
      </c>
      <c r="B70" s="47" t="s">
        <v>13291</v>
      </c>
      <c r="C70" s="47" t="s">
        <v>13291</v>
      </c>
      <c r="D70" s="47" t="s">
        <v>13291</v>
      </c>
      <c r="E70" s="47" t="s">
        <v>13291</v>
      </c>
      <c r="F70" s="47" t="s">
        <v>13291</v>
      </c>
      <c r="G70" s="47" t="s">
        <v>13291</v>
      </c>
      <c r="H70" s="158">
        <v>1064</v>
      </c>
      <c r="I70" s="156" t="s">
        <v>5330</v>
      </c>
      <c r="J70" s="156" t="s">
        <v>11690</v>
      </c>
      <c r="K70" s="47"/>
      <c r="L70" s="47"/>
      <c r="M70" s="47"/>
      <c r="N70" s="156"/>
      <c r="O70" s="156" t="s">
        <v>157</v>
      </c>
      <c r="P70" s="47"/>
      <c r="Q70" s="47"/>
      <c r="R70" s="47"/>
      <c r="S70" s="47" t="s">
        <v>13292</v>
      </c>
      <c r="T70" s="47" t="s">
        <v>13295</v>
      </c>
      <c r="U70" s="47"/>
    </row>
    <row r="71" spans="1:21" x14ac:dyDescent="0.3">
      <c r="A71" s="46">
        <v>70</v>
      </c>
      <c r="B71" s="47" t="s">
        <v>13291</v>
      </c>
      <c r="C71" s="47" t="s">
        <v>13291</v>
      </c>
      <c r="D71" s="47" t="s">
        <v>13291</v>
      </c>
      <c r="E71" s="47" t="s">
        <v>13291</v>
      </c>
      <c r="F71" s="47" t="s">
        <v>13291</v>
      </c>
      <c r="G71" s="47" t="s">
        <v>13291</v>
      </c>
      <c r="H71" s="158">
        <v>1065</v>
      </c>
      <c r="I71" s="156" t="s">
        <v>5331</v>
      </c>
      <c r="J71" s="156" t="s">
        <v>11472</v>
      </c>
      <c r="K71" s="47"/>
      <c r="L71" s="47"/>
      <c r="M71" s="47"/>
      <c r="N71" s="156"/>
      <c r="O71" s="156" t="s">
        <v>157</v>
      </c>
      <c r="P71" s="47"/>
      <c r="Q71" s="47"/>
      <c r="R71" s="47"/>
      <c r="S71" s="47" t="s">
        <v>13292</v>
      </c>
      <c r="T71" s="47" t="s">
        <v>13295</v>
      </c>
      <c r="U71" s="47"/>
    </row>
    <row r="72" spans="1:21" x14ac:dyDescent="0.3">
      <c r="A72" s="46">
        <v>71</v>
      </c>
      <c r="B72" s="47" t="s">
        <v>13291</v>
      </c>
      <c r="C72" s="47" t="s">
        <v>13291</v>
      </c>
      <c r="D72" s="47" t="s">
        <v>13291</v>
      </c>
      <c r="E72" s="47" t="s">
        <v>13291</v>
      </c>
      <c r="F72" s="47" t="s">
        <v>13291</v>
      </c>
      <c r="G72" s="47" t="s">
        <v>13291</v>
      </c>
      <c r="H72" s="158">
        <v>1066</v>
      </c>
      <c r="I72" s="156" t="s">
        <v>5333</v>
      </c>
      <c r="J72" s="156" t="s">
        <v>11494</v>
      </c>
      <c r="K72" s="47"/>
      <c r="L72" s="47"/>
      <c r="M72" s="47"/>
      <c r="N72" s="156"/>
      <c r="O72" s="156" t="s">
        <v>157</v>
      </c>
      <c r="P72" s="47"/>
      <c r="Q72" s="47"/>
      <c r="R72" s="47"/>
      <c r="S72" s="47" t="s">
        <v>13292</v>
      </c>
      <c r="T72" s="47" t="s">
        <v>13295</v>
      </c>
      <c r="U72" s="47"/>
    </row>
    <row r="73" spans="1:21" x14ac:dyDescent="0.3">
      <c r="A73" s="46">
        <v>72</v>
      </c>
      <c r="B73" s="47" t="s">
        <v>13291</v>
      </c>
      <c r="C73" s="47" t="s">
        <v>13291</v>
      </c>
      <c r="D73" s="47" t="s">
        <v>13291</v>
      </c>
      <c r="E73" s="47" t="s">
        <v>13291</v>
      </c>
      <c r="F73" s="47" t="s">
        <v>13291</v>
      </c>
      <c r="G73" s="47" t="s">
        <v>13291</v>
      </c>
      <c r="H73" s="158">
        <v>1067</v>
      </c>
      <c r="I73" s="156" t="s">
        <v>5334</v>
      </c>
      <c r="J73" s="156" t="s">
        <v>11495</v>
      </c>
      <c r="K73" s="47"/>
      <c r="L73" s="47"/>
      <c r="M73" s="47"/>
      <c r="N73" s="156"/>
      <c r="O73" s="156" t="s">
        <v>157</v>
      </c>
      <c r="P73" s="47"/>
      <c r="Q73" s="47"/>
      <c r="R73" s="47"/>
      <c r="S73" s="47" t="s">
        <v>13292</v>
      </c>
      <c r="T73" s="47" t="s">
        <v>13295</v>
      </c>
      <c r="U73" s="47"/>
    </row>
    <row r="74" spans="1:21" x14ac:dyDescent="0.3">
      <c r="A74" s="46">
        <v>73</v>
      </c>
      <c r="B74" s="47" t="s">
        <v>13291</v>
      </c>
      <c r="C74" s="47" t="s">
        <v>13291</v>
      </c>
      <c r="D74" s="47" t="s">
        <v>13291</v>
      </c>
      <c r="E74" s="47" t="s">
        <v>13291</v>
      </c>
      <c r="F74" s="47" t="s">
        <v>13291</v>
      </c>
      <c r="G74" s="47" t="s">
        <v>13291</v>
      </c>
      <c r="H74" s="158">
        <v>1068</v>
      </c>
      <c r="I74" s="156" t="s">
        <v>10967</v>
      </c>
      <c r="J74" s="156" t="s">
        <v>11691</v>
      </c>
      <c r="K74" s="47"/>
      <c r="L74" s="47"/>
      <c r="M74" s="47"/>
      <c r="N74" s="156"/>
      <c r="O74" s="156" t="s">
        <v>157</v>
      </c>
      <c r="P74" s="47"/>
      <c r="Q74" s="47"/>
      <c r="R74" s="47"/>
      <c r="S74" s="47" t="s">
        <v>13292</v>
      </c>
      <c r="T74" s="47" t="s">
        <v>13295</v>
      </c>
      <c r="U74" s="47"/>
    </row>
    <row r="75" spans="1:21" x14ac:dyDescent="0.3">
      <c r="A75" s="46">
        <v>74</v>
      </c>
      <c r="B75" s="47" t="s">
        <v>13291</v>
      </c>
      <c r="C75" s="47" t="s">
        <v>13291</v>
      </c>
      <c r="D75" s="47" t="s">
        <v>13291</v>
      </c>
      <c r="E75" s="47" t="s">
        <v>13291</v>
      </c>
      <c r="F75" s="47" t="s">
        <v>13291</v>
      </c>
      <c r="G75" s="47" t="s">
        <v>13291</v>
      </c>
      <c r="H75" s="158">
        <v>1069</v>
      </c>
      <c r="I75" s="156" t="s">
        <v>10968</v>
      </c>
      <c r="J75" s="156" t="s">
        <v>11692</v>
      </c>
      <c r="K75" s="47"/>
      <c r="L75" s="47"/>
      <c r="M75" s="47"/>
      <c r="N75" s="156"/>
      <c r="O75" s="156" t="s">
        <v>157</v>
      </c>
      <c r="P75" s="47"/>
      <c r="Q75" s="47"/>
      <c r="R75" s="47"/>
      <c r="S75" s="47" t="s">
        <v>13292</v>
      </c>
      <c r="T75" s="47" t="s">
        <v>13295</v>
      </c>
      <c r="U75" s="47"/>
    </row>
    <row r="76" spans="1:21" x14ac:dyDescent="0.3">
      <c r="A76" s="46">
        <v>75</v>
      </c>
      <c r="B76" s="47" t="s">
        <v>13291</v>
      </c>
      <c r="C76" s="47" t="s">
        <v>13291</v>
      </c>
      <c r="D76" s="47" t="s">
        <v>13291</v>
      </c>
      <c r="E76" s="47" t="s">
        <v>13291</v>
      </c>
      <c r="F76" s="47" t="s">
        <v>13291</v>
      </c>
      <c r="G76" s="47" t="s">
        <v>13291</v>
      </c>
      <c r="H76" s="158">
        <v>1070</v>
      </c>
      <c r="I76" s="156" t="s">
        <v>5335</v>
      </c>
      <c r="J76" s="156" t="s">
        <v>11693</v>
      </c>
      <c r="K76" s="47"/>
      <c r="L76" s="47"/>
      <c r="M76" s="47"/>
      <c r="N76" s="156"/>
      <c r="O76" s="156" t="s">
        <v>157</v>
      </c>
      <c r="P76" s="47"/>
      <c r="Q76" s="47"/>
      <c r="R76" s="47"/>
      <c r="S76" s="47" t="s">
        <v>13292</v>
      </c>
      <c r="T76" s="47" t="s">
        <v>13295</v>
      </c>
      <c r="U76" s="47"/>
    </row>
    <row r="77" spans="1:21" x14ac:dyDescent="0.3">
      <c r="A77" s="46">
        <v>76</v>
      </c>
      <c r="B77" s="47" t="s">
        <v>13291</v>
      </c>
      <c r="C77" s="47" t="s">
        <v>13291</v>
      </c>
      <c r="D77" s="47" t="s">
        <v>13291</v>
      </c>
      <c r="E77" s="47" t="s">
        <v>13291</v>
      </c>
      <c r="F77" s="47" t="s">
        <v>13291</v>
      </c>
      <c r="G77" s="47" t="s">
        <v>13291</v>
      </c>
      <c r="H77" s="158">
        <v>1072</v>
      </c>
      <c r="I77" s="156" t="s">
        <v>5337</v>
      </c>
      <c r="J77" s="156" t="s">
        <v>11477</v>
      </c>
      <c r="K77" s="47"/>
      <c r="L77" s="47"/>
      <c r="M77" s="47"/>
      <c r="N77" s="156"/>
      <c r="O77" s="156" t="s">
        <v>157</v>
      </c>
      <c r="P77" s="47"/>
      <c r="Q77" s="47"/>
      <c r="R77" s="47"/>
      <c r="S77" s="47" t="s">
        <v>13292</v>
      </c>
      <c r="T77" s="47" t="s">
        <v>13295</v>
      </c>
      <c r="U77" s="47"/>
    </row>
    <row r="78" spans="1:21" x14ac:dyDescent="0.3">
      <c r="A78" s="46">
        <v>77</v>
      </c>
      <c r="B78" s="47" t="s">
        <v>13291</v>
      </c>
      <c r="C78" s="47" t="s">
        <v>13291</v>
      </c>
      <c r="D78" s="47" t="s">
        <v>13291</v>
      </c>
      <c r="E78" s="47" t="s">
        <v>13291</v>
      </c>
      <c r="F78" s="47" t="s">
        <v>13291</v>
      </c>
      <c r="G78" s="47" t="s">
        <v>13291</v>
      </c>
      <c r="H78" s="158">
        <v>1073</v>
      </c>
      <c r="I78" s="156" t="s">
        <v>5339</v>
      </c>
      <c r="J78" s="156" t="s">
        <v>11496</v>
      </c>
      <c r="K78" s="47"/>
      <c r="L78" s="47"/>
      <c r="M78" s="47"/>
      <c r="N78" s="156"/>
      <c r="O78" s="156" t="s">
        <v>157</v>
      </c>
      <c r="P78" s="47"/>
      <c r="Q78" s="47"/>
      <c r="R78" s="47"/>
      <c r="S78" s="47" t="s">
        <v>13292</v>
      </c>
      <c r="T78" s="47" t="s">
        <v>13295</v>
      </c>
      <c r="U78" s="47"/>
    </row>
    <row r="79" spans="1:21" x14ac:dyDescent="0.3">
      <c r="A79" s="46">
        <v>78</v>
      </c>
      <c r="B79" s="47" t="s">
        <v>13291</v>
      </c>
      <c r="C79" s="47" t="s">
        <v>13291</v>
      </c>
      <c r="D79" s="47" t="s">
        <v>13291</v>
      </c>
      <c r="E79" s="47" t="s">
        <v>13291</v>
      </c>
      <c r="F79" s="47" t="s">
        <v>13291</v>
      </c>
      <c r="G79" s="47" t="s">
        <v>13291</v>
      </c>
      <c r="H79" s="158">
        <v>1074</v>
      </c>
      <c r="I79" s="156" t="s">
        <v>5340</v>
      </c>
      <c r="J79" s="156" t="s">
        <v>11497</v>
      </c>
      <c r="K79" s="47"/>
      <c r="L79" s="47"/>
      <c r="M79" s="47"/>
      <c r="N79" s="156"/>
      <c r="O79" s="156" t="s">
        <v>157</v>
      </c>
      <c r="P79" s="47"/>
      <c r="Q79" s="47"/>
      <c r="R79" s="47"/>
      <c r="S79" s="47" t="s">
        <v>13292</v>
      </c>
      <c r="T79" s="47" t="s">
        <v>13295</v>
      </c>
      <c r="U79" s="47"/>
    </row>
    <row r="80" spans="1:21" x14ac:dyDescent="0.3">
      <c r="A80" s="46">
        <v>79</v>
      </c>
      <c r="B80" s="47" t="s">
        <v>13291</v>
      </c>
      <c r="C80" s="47" t="s">
        <v>13291</v>
      </c>
      <c r="D80" s="47" t="s">
        <v>13291</v>
      </c>
      <c r="E80" s="47" t="s">
        <v>13291</v>
      </c>
      <c r="F80" s="47" t="s">
        <v>13291</v>
      </c>
      <c r="G80" s="47" t="s">
        <v>13291</v>
      </c>
      <c r="H80" s="158">
        <v>1075</v>
      </c>
      <c r="I80" s="156" t="s">
        <v>5341</v>
      </c>
      <c r="J80" s="156" t="s">
        <v>11498</v>
      </c>
      <c r="K80" s="47"/>
      <c r="L80" s="47"/>
      <c r="M80" s="47"/>
      <c r="N80" s="156"/>
      <c r="O80" s="156" t="s">
        <v>157</v>
      </c>
      <c r="P80" s="47"/>
      <c r="Q80" s="47"/>
      <c r="R80" s="47"/>
      <c r="S80" s="47" t="s">
        <v>13292</v>
      </c>
      <c r="T80" s="47" t="s">
        <v>13295</v>
      </c>
      <c r="U80" s="47"/>
    </row>
    <row r="81" spans="1:21" x14ac:dyDescent="0.3">
      <c r="A81" s="46">
        <v>80</v>
      </c>
      <c r="B81" s="47" t="s">
        <v>13291</v>
      </c>
      <c r="C81" s="47" t="s">
        <v>13291</v>
      </c>
      <c r="D81" s="47" t="s">
        <v>13291</v>
      </c>
      <c r="E81" s="47" t="s">
        <v>13291</v>
      </c>
      <c r="F81" s="47" t="s">
        <v>13291</v>
      </c>
      <c r="G81" s="47" t="s">
        <v>13291</v>
      </c>
      <c r="H81" s="158">
        <v>1076</v>
      </c>
      <c r="I81" s="156" t="s">
        <v>10969</v>
      </c>
      <c r="J81" s="156" t="s">
        <v>11694</v>
      </c>
      <c r="K81" s="47"/>
      <c r="L81" s="47"/>
      <c r="M81" s="47"/>
      <c r="N81" s="156"/>
      <c r="O81" s="156" t="s">
        <v>157</v>
      </c>
      <c r="P81" s="47"/>
      <c r="Q81" s="47"/>
      <c r="R81" s="47"/>
      <c r="S81" s="47" t="s">
        <v>13292</v>
      </c>
      <c r="T81" s="47" t="s">
        <v>13295</v>
      </c>
      <c r="U81" s="47"/>
    </row>
    <row r="82" spans="1:21" x14ac:dyDescent="0.3">
      <c r="A82" s="46">
        <v>81</v>
      </c>
      <c r="B82" s="47" t="s">
        <v>13291</v>
      </c>
      <c r="C82" s="47" t="s">
        <v>13291</v>
      </c>
      <c r="D82" s="47" t="s">
        <v>13291</v>
      </c>
      <c r="E82" s="47" t="s">
        <v>13291</v>
      </c>
      <c r="F82" s="47" t="s">
        <v>13291</v>
      </c>
      <c r="G82" s="47" t="s">
        <v>13291</v>
      </c>
      <c r="H82" s="158">
        <v>1077</v>
      </c>
      <c r="I82" s="156" t="s">
        <v>10970</v>
      </c>
      <c r="J82" s="156" t="s">
        <v>11695</v>
      </c>
      <c r="K82" s="47"/>
      <c r="L82" s="47"/>
      <c r="M82" s="47"/>
      <c r="N82" s="156"/>
      <c r="O82" s="156" t="s">
        <v>157</v>
      </c>
      <c r="P82" s="47"/>
      <c r="Q82" s="47"/>
      <c r="R82" s="47"/>
      <c r="S82" s="47" t="s">
        <v>13292</v>
      </c>
      <c r="T82" s="47" t="s">
        <v>13295</v>
      </c>
      <c r="U82" s="47"/>
    </row>
    <row r="83" spans="1:21" x14ac:dyDescent="0.3">
      <c r="A83" s="46">
        <v>82</v>
      </c>
      <c r="B83" s="47" t="s">
        <v>13291</v>
      </c>
      <c r="C83" s="47" t="s">
        <v>13291</v>
      </c>
      <c r="D83" s="47" t="s">
        <v>13291</v>
      </c>
      <c r="E83" s="47" t="s">
        <v>13291</v>
      </c>
      <c r="F83" s="47" t="s">
        <v>13291</v>
      </c>
      <c r="G83" s="47" t="s">
        <v>13291</v>
      </c>
      <c r="H83" s="158">
        <v>1078</v>
      </c>
      <c r="I83" s="156" t="s">
        <v>10971</v>
      </c>
      <c r="J83" s="156" t="s">
        <v>11696</v>
      </c>
      <c r="K83" s="47"/>
      <c r="L83" s="47"/>
      <c r="M83" s="47"/>
      <c r="N83" s="156"/>
      <c r="O83" s="156" t="s">
        <v>157</v>
      </c>
      <c r="P83" s="47"/>
      <c r="Q83" s="47"/>
      <c r="R83" s="47"/>
      <c r="S83" s="47" t="s">
        <v>13292</v>
      </c>
      <c r="T83" s="47" t="s">
        <v>13295</v>
      </c>
      <c r="U83" s="47"/>
    </row>
    <row r="84" spans="1:21" x14ac:dyDescent="0.3">
      <c r="A84" s="46">
        <v>83</v>
      </c>
      <c r="B84" s="47" t="s">
        <v>13291</v>
      </c>
      <c r="C84" s="47" t="s">
        <v>13291</v>
      </c>
      <c r="D84" s="47" t="s">
        <v>13291</v>
      </c>
      <c r="E84" s="47" t="s">
        <v>13291</v>
      </c>
      <c r="F84" s="47" t="s">
        <v>13291</v>
      </c>
      <c r="G84" s="47" t="s">
        <v>13291</v>
      </c>
      <c r="H84" s="158">
        <v>1079</v>
      </c>
      <c r="I84" s="156" t="s">
        <v>5342</v>
      </c>
      <c r="J84" s="156" t="s">
        <v>11697</v>
      </c>
      <c r="K84" s="47"/>
      <c r="L84" s="47"/>
      <c r="M84" s="47"/>
      <c r="N84" s="156"/>
      <c r="O84" s="156" t="s">
        <v>157</v>
      </c>
      <c r="P84" s="47"/>
      <c r="Q84" s="47"/>
      <c r="R84" s="47"/>
      <c r="S84" s="47" t="s">
        <v>13292</v>
      </c>
      <c r="T84" s="47" t="s">
        <v>13295</v>
      </c>
      <c r="U84" s="47"/>
    </row>
    <row r="85" spans="1:21" x14ac:dyDescent="0.3">
      <c r="A85" s="46">
        <v>84</v>
      </c>
      <c r="B85" s="47" t="s">
        <v>13291</v>
      </c>
      <c r="C85" s="47" t="s">
        <v>13291</v>
      </c>
      <c r="D85" s="47" t="s">
        <v>13291</v>
      </c>
      <c r="E85" s="47" t="s">
        <v>13291</v>
      </c>
      <c r="F85" s="47" t="s">
        <v>13291</v>
      </c>
      <c r="G85" s="47" t="s">
        <v>13291</v>
      </c>
      <c r="H85" s="158">
        <v>1080</v>
      </c>
      <c r="I85" s="156" t="s">
        <v>5343</v>
      </c>
      <c r="J85" s="156" t="s">
        <v>11698</v>
      </c>
      <c r="K85" s="47"/>
      <c r="L85" s="47"/>
      <c r="M85" s="47"/>
      <c r="N85" s="156"/>
      <c r="O85" s="156" t="s">
        <v>157</v>
      </c>
      <c r="P85" s="47"/>
      <c r="Q85" s="47"/>
      <c r="R85" s="47"/>
      <c r="S85" s="47" t="s">
        <v>13292</v>
      </c>
      <c r="T85" s="47" t="s">
        <v>13295</v>
      </c>
      <c r="U85" s="47"/>
    </row>
    <row r="86" spans="1:21" x14ac:dyDescent="0.3">
      <c r="A86" s="46">
        <v>85</v>
      </c>
      <c r="B86" s="47" t="s">
        <v>13291</v>
      </c>
      <c r="C86" s="47" t="s">
        <v>13291</v>
      </c>
      <c r="D86" s="47" t="s">
        <v>13291</v>
      </c>
      <c r="E86" s="47" t="s">
        <v>13291</v>
      </c>
      <c r="F86" s="47" t="s">
        <v>13291</v>
      </c>
      <c r="G86" s="47" t="s">
        <v>13291</v>
      </c>
      <c r="H86" s="158">
        <v>1081</v>
      </c>
      <c r="I86" s="156" t="s">
        <v>10972</v>
      </c>
      <c r="J86" s="156" t="s">
        <v>11699</v>
      </c>
      <c r="K86" s="47"/>
      <c r="L86" s="47"/>
      <c r="M86" s="47"/>
      <c r="N86" s="156"/>
      <c r="O86" s="156" t="s">
        <v>157</v>
      </c>
      <c r="P86" s="47"/>
      <c r="Q86" s="47"/>
      <c r="R86" s="47"/>
      <c r="S86" s="47" t="s">
        <v>13292</v>
      </c>
      <c r="T86" s="47" t="s">
        <v>13295</v>
      </c>
      <c r="U86" s="47"/>
    </row>
    <row r="87" spans="1:21" x14ac:dyDescent="0.3">
      <c r="A87" s="46">
        <v>86</v>
      </c>
      <c r="B87" s="47" t="s">
        <v>13291</v>
      </c>
      <c r="C87" s="47" t="s">
        <v>13291</v>
      </c>
      <c r="D87" s="47" t="s">
        <v>13291</v>
      </c>
      <c r="E87" s="47" t="s">
        <v>13291</v>
      </c>
      <c r="F87" s="47" t="s">
        <v>13291</v>
      </c>
      <c r="G87" s="47" t="s">
        <v>13291</v>
      </c>
      <c r="H87" s="158">
        <v>1082</v>
      </c>
      <c r="I87" s="156" t="s">
        <v>5344</v>
      </c>
      <c r="J87" s="156" t="s">
        <v>11700</v>
      </c>
      <c r="K87" s="47"/>
      <c r="L87" s="47"/>
      <c r="M87" s="47"/>
      <c r="N87" s="156"/>
      <c r="O87" s="156" t="s">
        <v>157</v>
      </c>
      <c r="P87" s="47"/>
      <c r="Q87" s="47"/>
      <c r="R87" s="47"/>
      <c r="S87" s="47" t="s">
        <v>13292</v>
      </c>
      <c r="T87" s="47" t="s">
        <v>13295</v>
      </c>
      <c r="U87" s="47"/>
    </row>
    <row r="88" spans="1:21" x14ac:dyDescent="0.3">
      <c r="A88" s="46">
        <v>87</v>
      </c>
      <c r="B88" s="47" t="s">
        <v>13291</v>
      </c>
      <c r="C88" s="47" t="s">
        <v>13291</v>
      </c>
      <c r="D88" s="47" t="s">
        <v>13291</v>
      </c>
      <c r="E88" s="47" t="s">
        <v>13291</v>
      </c>
      <c r="F88" s="47" t="s">
        <v>13291</v>
      </c>
      <c r="G88" s="47" t="s">
        <v>13291</v>
      </c>
      <c r="H88" s="158">
        <v>1083</v>
      </c>
      <c r="I88" s="156" t="s">
        <v>10973</v>
      </c>
      <c r="J88" s="156" t="s">
        <v>11701</v>
      </c>
      <c r="K88" s="47"/>
      <c r="L88" s="47"/>
      <c r="M88" s="47"/>
      <c r="N88" s="156"/>
      <c r="O88" s="156" t="s">
        <v>157</v>
      </c>
      <c r="P88" s="47"/>
      <c r="Q88" s="47"/>
      <c r="R88" s="47"/>
      <c r="S88" s="47" t="s">
        <v>13292</v>
      </c>
      <c r="T88" s="47" t="s">
        <v>13295</v>
      </c>
      <c r="U88" s="47"/>
    </row>
    <row r="89" spans="1:21" x14ac:dyDescent="0.3">
      <c r="A89" s="46">
        <v>88</v>
      </c>
      <c r="B89" s="47" t="s">
        <v>13291</v>
      </c>
      <c r="C89" s="47" t="s">
        <v>13291</v>
      </c>
      <c r="D89" s="47" t="s">
        <v>13291</v>
      </c>
      <c r="E89" s="47" t="s">
        <v>13291</v>
      </c>
      <c r="F89" s="47" t="s">
        <v>13291</v>
      </c>
      <c r="G89" s="47" t="s">
        <v>13291</v>
      </c>
      <c r="H89" s="158">
        <v>1084</v>
      </c>
      <c r="I89" s="156" t="s">
        <v>5345</v>
      </c>
      <c r="J89" s="156" t="s">
        <v>11702</v>
      </c>
      <c r="K89" s="47"/>
      <c r="L89" s="47"/>
      <c r="M89" s="47"/>
      <c r="N89" s="156"/>
      <c r="O89" s="156" t="s">
        <v>157</v>
      </c>
      <c r="P89" s="47"/>
      <c r="Q89" s="47"/>
      <c r="R89" s="47"/>
      <c r="S89" s="47" t="s">
        <v>13292</v>
      </c>
      <c r="T89" s="47" t="s">
        <v>13295</v>
      </c>
      <c r="U89" s="47"/>
    </row>
    <row r="90" spans="1:21" x14ac:dyDescent="0.3">
      <c r="A90" s="46">
        <v>89</v>
      </c>
      <c r="B90" s="47" t="s">
        <v>13291</v>
      </c>
      <c r="C90" s="47" t="s">
        <v>13291</v>
      </c>
      <c r="D90" s="47" t="s">
        <v>13291</v>
      </c>
      <c r="E90" s="47" t="s">
        <v>13291</v>
      </c>
      <c r="F90" s="47" t="s">
        <v>13291</v>
      </c>
      <c r="G90" s="47" t="s">
        <v>13291</v>
      </c>
      <c r="H90" s="158">
        <v>1085</v>
      </c>
      <c r="I90" s="156" t="s">
        <v>11139</v>
      </c>
      <c r="J90" s="156" t="s">
        <v>12043</v>
      </c>
      <c r="K90" s="47"/>
      <c r="L90" s="47"/>
      <c r="M90" s="47"/>
      <c r="N90" s="156"/>
      <c r="O90" s="156" t="s">
        <v>157</v>
      </c>
      <c r="P90" s="47"/>
      <c r="Q90" s="47"/>
      <c r="R90" s="47"/>
      <c r="S90" s="47" t="s">
        <v>13292</v>
      </c>
      <c r="T90" s="47" t="s">
        <v>13295</v>
      </c>
      <c r="U90" s="47"/>
    </row>
    <row r="91" spans="1:21" x14ac:dyDescent="0.3">
      <c r="A91" s="46">
        <v>90</v>
      </c>
      <c r="B91" s="47" t="s">
        <v>13291</v>
      </c>
      <c r="C91" s="47" t="s">
        <v>13291</v>
      </c>
      <c r="D91" s="47" t="s">
        <v>13291</v>
      </c>
      <c r="E91" s="47" t="s">
        <v>13291</v>
      </c>
      <c r="F91" s="47" t="s">
        <v>13291</v>
      </c>
      <c r="G91" s="47" t="s">
        <v>13291</v>
      </c>
      <c r="H91" s="158">
        <v>1086</v>
      </c>
      <c r="I91" s="156" t="s">
        <v>5346</v>
      </c>
      <c r="J91" s="156" t="s">
        <v>11703</v>
      </c>
      <c r="K91" s="47"/>
      <c r="L91" s="47"/>
      <c r="M91" s="47"/>
      <c r="N91" s="156"/>
      <c r="O91" s="156" t="s">
        <v>157</v>
      </c>
      <c r="P91" s="47"/>
      <c r="Q91" s="47"/>
      <c r="R91" s="47"/>
      <c r="S91" s="47" t="s">
        <v>13292</v>
      </c>
      <c r="T91" s="47" t="s">
        <v>13295</v>
      </c>
      <c r="U91" s="47"/>
    </row>
    <row r="92" spans="1:21" x14ac:dyDescent="0.3">
      <c r="A92" s="46">
        <v>91</v>
      </c>
      <c r="B92" s="47" t="s">
        <v>13291</v>
      </c>
      <c r="C92" s="47" t="s">
        <v>13291</v>
      </c>
      <c r="D92" s="47" t="s">
        <v>13291</v>
      </c>
      <c r="E92" s="47" t="s">
        <v>13291</v>
      </c>
      <c r="F92" s="47" t="s">
        <v>13291</v>
      </c>
      <c r="G92" s="47" t="s">
        <v>13291</v>
      </c>
      <c r="H92" s="158">
        <v>1087</v>
      </c>
      <c r="I92" s="156" t="s">
        <v>10974</v>
      </c>
      <c r="J92" s="156" t="s">
        <v>11704</v>
      </c>
      <c r="K92" s="47"/>
      <c r="L92" s="47"/>
      <c r="M92" s="47"/>
      <c r="N92" s="156"/>
      <c r="O92" s="156" t="s">
        <v>157</v>
      </c>
      <c r="P92" s="47"/>
      <c r="Q92" s="47"/>
      <c r="R92" s="47"/>
      <c r="S92" s="47" t="s">
        <v>13292</v>
      </c>
      <c r="T92" s="47" t="s">
        <v>13295</v>
      </c>
      <c r="U92" s="47"/>
    </row>
    <row r="93" spans="1:21" x14ac:dyDescent="0.3">
      <c r="A93" s="46">
        <v>92</v>
      </c>
      <c r="B93" s="47" t="s">
        <v>13291</v>
      </c>
      <c r="C93" s="47" t="s">
        <v>13291</v>
      </c>
      <c r="D93" s="47" t="s">
        <v>13291</v>
      </c>
      <c r="E93" s="47" t="s">
        <v>13291</v>
      </c>
      <c r="F93" s="47" t="s">
        <v>13291</v>
      </c>
      <c r="G93" s="47" t="s">
        <v>13291</v>
      </c>
      <c r="H93" s="158">
        <v>1088</v>
      </c>
      <c r="I93" s="156" t="s">
        <v>5347</v>
      </c>
      <c r="J93" s="156" t="s">
        <v>11631</v>
      </c>
      <c r="K93" s="47"/>
      <c r="L93" s="47"/>
      <c r="M93" s="47"/>
      <c r="N93" s="156"/>
      <c r="O93" s="156" t="s">
        <v>157</v>
      </c>
      <c r="P93" s="47"/>
      <c r="Q93" s="47"/>
      <c r="R93" s="47"/>
      <c r="S93" s="47" t="s">
        <v>13292</v>
      </c>
      <c r="T93" s="47" t="s">
        <v>13295</v>
      </c>
      <c r="U93" s="47"/>
    </row>
    <row r="94" spans="1:21" x14ac:dyDescent="0.3">
      <c r="A94" s="46">
        <v>93</v>
      </c>
      <c r="B94" s="47" t="s">
        <v>13291</v>
      </c>
      <c r="C94" s="47" t="s">
        <v>13291</v>
      </c>
      <c r="D94" s="47" t="s">
        <v>13291</v>
      </c>
      <c r="E94" s="47" t="s">
        <v>13291</v>
      </c>
      <c r="F94" s="47" t="s">
        <v>13291</v>
      </c>
      <c r="G94" s="47" t="s">
        <v>13291</v>
      </c>
      <c r="H94" s="158">
        <v>1089</v>
      </c>
      <c r="I94" s="156" t="s">
        <v>5348</v>
      </c>
      <c r="J94" s="156" t="s">
        <v>11705</v>
      </c>
      <c r="K94" s="47"/>
      <c r="L94" s="47"/>
      <c r="M94" s="47"/>
      <c r="N94" s="156"/>
      <c r="O94" s="156" t="s">
        <v>157</v>
      </c>
      <c r="P94" s="47"/>
      <c r="Q94" s="47"/>
      <c r="R94" s="47"/>
      <c r="S94" s="47" t="s">
        <v>13292</v>
      </c>
      <c r="T94" s="47" t="s">
        <v>13295</v>
      </c>
      <c r="U94" s="47"/>
    </row>
    <row r="95" spans="1:21" x14ac:dyDescent="0.3">
      <c r="A95" s="46">
        <v>94</v>
      </c>
      <c r="B95" s="47" t="s">
        <v>13291</v>
      </c>
      <c r="C95" s="47" t="s">
        <v>13291</v>
      </c>
      <c r="D95" s="47" t="s">
        <v>13291</v>
      </c>
      <c r="E95" s="47" t="s">
        <v>13291</v>
      </c>
      <c r="F95" s="47" t="s">
        <v>13291</v>
      </c>
      <c r="G95" s="47" t="s">
        <v>13291</v>
      </c>
      <c r="H95" s="158">
        <v>1090</v>
      </c>
      <c r="I95" s="156" t="s">
        <v>5349</v>
      </c>
      <c r="J95" s="156" t="s">
        <v>11632</v>
      </c>
      <c r="K95" s="47"/>
      <c r="L95" s="47"/>
      <c r="M95" s="47"/>
      <c r="N95" s="156"/>
      <c r="O95" s="156" t="s">
        <v>157</v>
      </c>
      <c r="P95" s="47"/>
      <c r="Q95" s="47"/>
      <c r="R95" s="47"/>
      <c r="S95" s="47" t="s">
        <v>13292</v>
      </c>
      <c r="T95" s="47" t="s">
        <v>13295</v>
      </c>
      <c r="U95" s="47"/>
    </row>
    <row r="96" spans="1:21" x14ac:dyDescent="0.3">
      <c r="A96" s="46">
        <v>95</v>
      </c>
      <c r="B96" s="47" t="s">
        <v>13291</v>
      </c>
      <c r="C96" s="47" t="s">
        <v>13291</v>
      </c>
      <c r="D96" s="47" t="s">
        <v>13291</v>
      </c>
      <c r="E96" s="47" t="s">
        <v>13291</v>
      </c>
      <c r="F96" s="47" t="s">
        <v>13291</v>
      </c>
      <c r="G96" s="47" t="s">
        <v>13291</v>
      </c>
      <c r="H96" s="158">
        <v>1091</v>
      </c>
      <c r="I96" s="156" t="s">
        <v>5350</v>
      </c>
      <c r="J96" s="156" t="s">
        <v>12044</v>
      </c>
      <c r="K96" s="47"/>
      <c r="L96" s="47"/>
      <c r="M96" s="47"/>
      <c r="N96" s="156"/>
      <c r="O96" s="156" t="s">
        <v>157</v>
      </c>
      <c r="P96" s="47"/>
      <c r="Q96" s="47"/>
      <c r="R96" s="47"/>
      <c r="S96" s="47" t="s">
        <v>13292</v>
      </c>
      <c r="T96" s="47" t="s">
        <v>13295</v>
      </c>
      <c r="U96" s="47"/>
    </row>
    <row r="97" spans="1:21" x14ac:dyDescent="0.3">
      <c r="A97" s="46">
        <v>96</v>
      </c>
      <c r="B97" s="47" t="s">
        <v>13291</v>
      </c>
      <c r="C97" s="47" t="s">
        <v>13291</v>
      </c>
      <c r="D97" s="47" t="s">
        <v>13291</v>
      </c>
      <c r="E97" s="47" t="s">
        <v>13291</v>
      </c>
      <c r="F97" s="47" t="s">
        <v>13291</v>
      </c>
      <c r="G97" s="47" t="s">
        <v>13291</v>
      </c>
      <c r="H97" s="158">
        <v>1092</v>
      </c>
      <c r="I97" s="156" t="s">
        <v>5351</v>
      </c>
      <c r="J97" s="156" t="s">
        <v>12045</v>
      </c>
      <c r="K97" s="47"/>
      <c r="L97" s="47"/>
      <c r="M97" s="47"/>
      <c r="N97" s="156"/>
      <c r="O97" s="156" t="s">
        <v>157</v>
      </c>
      <c r="P97" s="47"/>
      <c r="Q97" s="47"/>
      <c r="R97" s="47"/>
      <c r="S97" s="47" t="s">
        <v>13292</v>
      </c>
      <c r="T97" s="47" t="s">
        <v>13295</v>
      </c>
      <c r="U97" s="47"/>
    </row>
    <row r="98" spans="1:21" x14ac:dyDescent="0.3">
      <c r="A98" s="46">
        <v>97</v>
      </c>
      <c r="B98" s="47" t="s">
        <v>13291</v>
      </c>
      <c r="C98" s="47" t="s">
        <v>13291</v>
      </c>
      <c r="D98" s="47" t="s">
        <v>13291</v>
      </c>
      <c r="E98" s="47" t="s">
        <v>13291</v>
      </c>
      <c r="F98" s="47" t="s">
        <v>13291</v>
      </c>
      <c r="G98" s="47" t="s">
        <v>13291</v>
      </c>
      <c r="H98" s="158">
        <v>1093</v>
      </c>
      <c r="I98" s="156" t="s">
        <v>5352</v>
      </c>
      <c r="J98" s="156" t="s">
        <v>11706</v>
      </c>
      <c r="K98" s="47"/>
      <c r="L98" s="47"/>
      <c r="M98" s="47"/>
      <c r="N98" s="156"/>
      <c r="O98" s="156" t="s">
        <v>157</v>
      </c>
      <c r="P98" s="47"/>
      <c r="Q98" s="47"/>
      <c r="R98" s="47"/>
      <c r="S98" s="47" t="s">
        <v>13292</v>
      </c>
      <c r="T98" s="47" t="s">
        <v>13295</v>
      </c>
      <c r="U98" s="47"/>
    </row>
    <row r="99" spans="1:21" x14ac:dyDescent="0.3">
      <c r="A99" s="46">
        <v>98</v>
      </c>
      <c r="B99" s="47" t="s">
        <v>13291</v>
      </c>
      <c r="C99" s="47" t="s">
        <v>13291</v>
      </c>
      <c r="D99" s="47" t="s">
        <v>13291</v>
      </c>
      <c r="E99" s="47" t="s">
        <v>13291</v>
      </c>
      <c r="F99" s="47" t="s">
        <v>13291</v>
      </c>
      <c r="G99" s="47" t="s">
        <v>13291</v>
      </c>
      <c r="H99" s="158">
        <v>1094</v>
      </c>
      <c r="I99" s="156" t="s">
        <v>5353</v>
      </c>
      <c r="J99" s="156" t="s">
        <v>11633</v>
      </c>
      <c r="K99" s="47"/>
      <c r="L99" s="47"/>
      <c r="M99" s="47"/>
      <c r="N99" s="156"/>
      <c r="O99" s="156" t="s">
        <v>157</v>
      </c>
      <c r="P99" s="47"/>
      <c r="Q99" s="47"/>
      <c r="R99" s="47"/>
      <c r="S99" s="47" t="s">
        <v>13292</v>
      </c>
      <c r="T99" s="47" t="s">
        <v>13295</v>
      </c>
      <c r="U99" s="47"/>
    </row>
    <row r="100" spans="1:21" x14ac:dyDescent="0.3">
      <c r="A100" s="46">
        <v>99</v>
      </c>
      <c r="B100" s="47" t="s">
        <v>13291</v>
      </c>
      <c r="C100" s="47" t="s">
        <v>13291</v>
      </c>
      <c r="D100" s="47" t="s">
        <v>13291</v>
      </c>
      <c r="E100" s="47" t="s">
        <v>13291</v>
      </c>
      <c r="F100" s="47" t="s">
        <v>13291</v>
      </c>
      <c r="G100" s="47" t="s">
        <v>13291</v>
      </c>
      <c r="H100" s="158">
        <v>1095</v>
      </c>
      <c r="I100" s="156" t="s">
        <v>5354</v>
      </c>
      <c r="J100" s="156" t="s">
        <v>11707</v>
      </c>
      <c r="K100" s="47"/>
      <c r="L100" s="47"/>
      <c r="M100" s="47"/>
      <c r="N100" s="156"/>
      <c r="O100" s="156" t="s">
        <v>157</v>
      </c>
      <c r="P100" s="47"/>
      <c r="Q100" s="47"/>
      <c r="R100" s="47"/>
      <c r="S100" s="47" t="s">
        <v>13292</v>
      </c>
      <c r="T100" s="47" t="s">
        <v>13295</v>
      </c>
      <c r="U100" s="47"/>
    </row>
    <row r="101" spans="1:21" x14ac:dyDescent="0.3">
      <c r="A101" s="46">
        <v>100</v>
      </c>
      <c r="B101" s="47" t="s">
        <v>13291</v>
      </c>
      <c r="C101" s="47" t="s">
        <v>13291</v>
      </c>
      <c r="D101" s="47" t="s">
        <v>13291</v>
      </c>
      <c r="E101" s="47" t="s">
        <v>13291</v>
      </c>
      <c r="F101" s="47" t="s">
        <v>13291</v>
      </c>
      <c r="G101" s="47" t="s">
        <v>13291</v>
      </c>
      <c r="H101" s="158">
        <v>1096</v>
      </c>
      <c r="I101" s="156" t="s">
        <v>5355</v>
      </c>
      <c r="J101" s="156" t="s">
        <v>11708</v>
      </c>
      <c r="K101" s="47"/>
      <c r="L101" s="47"/>
      <c r="M101" s="47"/>
      <c r="N101" s="156"/>
      <c r="O101" s="156" t="s">
        <v>157</v>
      </c>
      <c r="P101" s="47"/>
      <c r="Q101" s="47"/>
      <c r="R101" s="47"/>
      <c r="S101" s="47" t="s">
        <v>13292</v>
      </c>
      <c r="T101" s="47" t="s">
        <v>13295</v>
      </c>
      <c r="U101" s="47"/>
    </row>
    <row r="102" spans="1:21" x14ac:dyDescent="0.3">
      <c r="A102" s="46">
        <v>101</v>
      </c>
      <c r="B102" s="47" t="s">
        <v>13291</v>
      </c>
      <c r="C102" s="47" t="s">
        <v>13291</v>
      </c>
      <c r="D102" s="47" t="s">
        <v>13291</v>
      </c>
      <c r="E102" s="47" t="s">
        <v>13291</v>
      </c>
      <c r="F102" s="47" t="s">
        <v>13291</v>
      </c>
      <c r="G102" s="47" t="s">
        <v>13291</v>
      </c>
      <c r="H102" s="158">
        <v>1097</v>
      </c>
      <c r="I102" s="156" t="s">
        <v>10975</v>
      </c>
      <c r="J102" s="156" t="s">
        <v>11709</v>
      </c>
      <c r="K102" s="47"/>
      <c r="L102" s="47"/>
      <c r="M102" s="47"/>
      <c r="N102" s="156"/>
      <c r="O102" s="156" t="s">
        <v>157</v>
      </c>
      <c r="P102" s="47"/>
      <c r="Q102" s="47"/>
      <c r="R102" s="47"/>
      <c r="S102" s="47" t="s">
        <v>13292</v>
      </c>
      <c r="T102" s="47" t="s">
        <v>13295</v>
      </c>
      <c r="U102" s="47"/>
    </row>
    <row r="103" spans="1:21" x14ac:dyDescent="0.3">
      <c r="A103" s="46">
        <v>102</v>
      </c>
      <c r="B103" s="47" t="s">
        <v>13291</v>
      </c>
      <c r="C103" s="47" t="s">
        <v>13291</v>
      </c>
      <c r="D103" s="47" t="s">
        <v>13291</v>
      </c>
      <c r="E103" s="47" t="s">
        <v>13291</v>
      </c>
      <c r="F103" s="47" t="s">
        <v>13291</v>
      </c>
      <c r="G103" s="47" t="s">
        <v>13291</v>
      </c>
      <c r="H103" s="158">
        <v>1098</v>
      </c>
      <c r="I103" s="156" t="s">
        <v>5356</v>
      </c>
      <c r="J103" s="156" t="s">
        <v>11710</v>
      </c>
      <c r="K103" s="47"/>
      <c r="L103" s="47"/>
      <c r="M103" s="47"/>
      <c r="N103" s="156"/>
      <c r="O103" s="156" t="s">
        <v>157</v>
      </c>
      <c r="P103" s="47"/>
      <c r="Q103" s="47"/>
      <c r="R103" s="47"/>
      <c r="S103" s="47" t="s">
        <v>13292</v>
      </c>
      <c r="T103" s="47" t="s">
        <v>13295</v>
      </c>
      <c r="U103" s="47"/>
    </row>
    <row r="104" spans="1:21" x14ac:dyDescent="0.3">
      <c r="A104" s="46">
        <v>103</v>
      </c>
      <c r="B104" s="47" t="s">
        <v>13291</v>
      </c>
      <c r="C104" s="47" t="s">
        <v>13291</v>
      </c>
      <c r="D104" s="47" t="s">
        <v>13291</v>
      </c>
      <c r="E104" s="47" t="s">
        <v>13291</v>
      </c>
      <c r="F104" s="47" t="s">
        <v>13291</v>
      </c>
      <c r="G104" s="47" t="s">
        <v>13291</v>
      </c>
      <c r="H104" s="158">
        <v>1099</v>
      </c>
      <c r="I104" s="156" t="s">
        <v>5357</v>
      </c>
      <c r="J104" s="156" t="s">
        <v>12046</v>
      </c>
      <c r="K104" s="47"/>
      <c r="L104" s="47"/>
      <c r="M104" s="47"/>
      <c r="N104" s="156"/>
      <c r="O104" s="156" t="s">
        <v>157</v>
      </c>
      <c r="P104" s="47"/>
      <c r="Q104" s="47"/>
      <c r="R104" s="47"/>
      <c r="S104" s="47" t="s">
        <v>13292</v>
      </c>
      <c r="T104" s="47" t="s">
        <v>13295</v>
      </c>
      <c r="U104" s="47"/>
    </row>
    <row r="105" spans="1:21" x14ac:dyDescent="0.3">
      <c r="A105" s="46">
        <v>104</v>
      </c>
      <c r="B105" s="47" t="s">
        <v>13291</v>
      </c>
      <c r="C105" s="47" t="s">
        <v>13291</v>
      </c>
      <c r="D105" s="47" t="s">
        <v>13291</v>
      </c>
      <c r="E105" s="47" t="s">
        <v>13291</v>
      </c>
      <c r="F105" s="47" t="s">
        <v>13291</v>
      </c>
      <c r="G105" s="47" t="s">
        <v>13291</v>
      </c>
      <c r="H105" s="158">
        <v>1100</v>
      </c>
      <c r="I105" s="156" t="s">
        <v>10916</v>
      </c>
      <c r="J105" s="156" t="s">
        <v>11499</v>
      </c>
      <c r="K105" s="47"/>
      <c r="L105" s="47"/>
      <c r="M105" s="47"/>
      <c r="N105" s="156"/>
      <c r="O105" s="156" t="s">
        <v>157</v>
      </c>
      <c r="P105" s="47"/>
      <c r="Q105" s="47"/>
      <c r="R105" s="47"/>
      <c r="S105" s="47" t="s">
        <v>13292</v>
      </c>
      <c r="T105" s="47" t="s">
        <v>13295</v>
      </c>
      <c r="U105" s="47"/>
    </row>
    <row r="106" spans="1:21" x14ac:dyDescent="0.3">
      <c r="A106" s="46">
        <v>105</v>
      </c>
      <c r="B106" s="47" t="s">
        <v>13291</v>
      </c>
      <c r="C106" s="47" t="s">
        <v>13291</v>
      </c>
      <c r="D106" s="47" t="s">
        <v>13291</v>
      </c>
      <c r="E106" s="47" t="s">
        <v>13291</v>
      </c>
      <c r="F106" s="47" t="s">
        <v>13291</v>
      </c>
      <c r="G106" s="47" t="s">
        <v>13291</v>
      </c>
      <c r="H106" s="158">
        <v>1101</v>
      </c>
      <c r="I106" s="156" t="s">
        <v>5358</v>
      </c>
      <c r="J106" s="156" t="s">
        <v>11500</v>
      </c>
      <c r="K106" s="47"/>
      <c r="L106" s="47"/>
      <c r="M106" s="47"/>
      <c r="N106" s="156"/>
      <c r="O106" s="156" t="s">
        <v>157</v>
      </c>
      <c r="P106" s="47"/>
      <c r="Q106" s="47"/>
      <c r="R106" s="47"/>
      <c r="S106" s="47" t="s">
        <v>13292</v>
      </c>
      <c r="T106" s="47" t="s">
        <v>13295</v>
      </c>
      <c r="U106" s="47"/>
    </row>
    <row r="107" spans="1:21" x14ac:dyDescent="0.3">
      <c r="A107" s="46">
        <v>106</v>
      </c>
      <c r="B107" s="47" t="s">
        <v>13291</v>
      </c>
      <c r="C107" s="47" t="s">
        <v>13291</v>
      </c>
      <c r="D107" s="47" t="s">
        <v>13291</v>
      </c>
      <c r="E107" s="47" t="s">
        <v>13291</v>
      </c>
      <c r="F107" s="47" t="s">
        <v>13291</v>
      </c>
      <c r="G107" s="47" t="s">
        <v>13291</v>
      </c>
      <c r="H107" s="158">
        <v>1102</v>
      </c>
      <c r="I107" s="156" t="s">
        <v>5359</v>
      </c>
      <c r="J107" s="156" t="s">
        <v>11501</v>
      </c>
      <c r="K107" s="47"/>
      <c r="L107" s="47"/>
      <c r="M107" s="47"/>
      <c r="N107" s="156"/>
      <c r="O107" s="156" t="s">
        <v>157</v>
      </c>
      <c r="P107" s="47"/>
      <c r="Q107" s="47"/>
      <c r="R107" s="47"/>
      <c r="S107" s="47" t="s">
        <v>13292</v>
      </c>
      <c r="T107" s="47" t="s">
        <v>13295</v>
      </c>
      <c r="U107" s="47"/>
    </row>
    <row r="108" spans="1:21" x14ac:dyDescent="0.3">
      <c r="A108" s="46">
        <v>107</v>
      </c>
      <c r="B108" s="47" t="s">
        <v>13291</v>
      </c>
      <c r="C108" s="47" t="s">
        <v>13291</v>
      </c>
      <c r="D108" s="47" t="s">
        <v>13291</v>
      </c>
      <c r="E108" s="47" t="s">
        <v>13291</v>
      </c>
      <c r="F108" s="47" t="s">
        <v>13291</v>
      </c>
      <c r="G108" s="47" t="s">
        <v>13291</v>
      </c>
      <c r="H108" s="158">
        <v>1103</v>
      </c>
      <c r="I108" s="156" t="s">
        <v>10976</v>
      </c>
      <c r="J108" s="156" t="s">
        <v>11711</v>
      </c>
      <c r="K108" s="47"/>
      <c r="L108" s="47"/>
      <c r="M108" s="47"/>
      <c r="N108" s="156"/>
      <c r="O108" s="156" t="s">
        <v>157</v>
      </c>
      <c r="P108" s="47"/>
      <c r="Q108" s="47"/>
      <c r="R108" s="47"/>
      <c r="S108" s="47" t="s">
        <v>13292</v>
      </c>
      <c r="T108" s="47" t="s">
        <v>13295</v>
      </c>
      <c r="U108" s="47"/>
    </row>
    <row r="109" spans="1:21" x14ac:dyDescent="0.3">
      <c r="A109" s="46">
        <v>108</v>
      </c>
      <c r="B109" s="47" t="s">
        <v>13291</v>
      </c>
      <c r="C109" s="47" t="s">
        <v>13291</v>
      </c>
      <c r="D109" s="47" t="s">
        <v>13291</v>
      </c>
      <c r="E109" s="47" t="s">
        <v>13291</v>
      </c>
      <c r="F109" s="47" t="s">
        <v>13291</v>
      </c>
      <c r="G109" s="47" t="s">
        <v>13291</v>
      </c>
      <c r="H109" s="158">
        <v>1104</v>
      </c>
      <c r="I109" s="156" t="s">
        <v>5360</v>
      </c>
      <c r="J109" s="156" t="s">
        <v>11712</v>
      </c>
      <c r="K109" s="47"/>
      <c r="L109" s="47"/>
      <c r="M109" s="47"/>
      <c r="N109" s="156"/>
      <c r="O109" s="156" t="s">
        <v>157</v>
      </c>
      <c r="P109" s="47"/>
      <c r="Q109" s="47"/>
      <c r="R109" s="47"/>
      <c r="S109" s="47" t="s">
        <v>13292</v>
      </c>
      <c r="T109" s="47" t="s">
        <v>13295</v>
      </c>
      <c r="U109" s="47"/>
    </row>
    <row r="110" spans="1:21" x14ac:dyDescent="0.3">
      <c r="A110" s="46">
        <v>109</v>
      </c>
      <c r="B110" s="47" t="s">
        <v>13291</v>
      </c>
      <c r="C110" s="47" t="s">
        <v>13291</v>
      </c>
      <c r="D110" s="47" t="s">
        <v>13291</v>
      </c>
      <c r="E110" s="47" t="s">
        <v>13291</v>
      </c>
      <c r="F110" s="47" t="s">
        <v>13291</v>
      </c>
      <c r="G110" s="47" t="s">
        <v>13291</v>
      </c>
      <c r="H110" s="158">
        <v>1105</v>
      </c>
      <c r="I110" s="156" t="s">
        <v>10977</v>
      </c>
      <c r="J110" s="156" t="s">
        <v>11713</v>
      </c>
      <c r="K110" s="47"/>
      <c r="L110" s="47"/>
      <c r="M110" s="47"/>
      <c r="N110" s="156"/>
      <c r="O110" s="156" t="s">
        <v>157</v>
      </c>
      <c r="P110" s="47"/>
      <c r="Q110" s="47"/>
      <c r="R110" s="47"/>
      <c r="S110" s="47" t="s">
        <v>13292</v>
      </c>
      <c r="T110" s="47" t="s">
        <v>13295</v>
      </c>
      <c r="U110" s="47"/>
    </row>
    <row r="111" spans="1:21" x14ac:dyDescent="0.3">
      <c r="A111" s="46">
        <v>110</v>
      </c>
      <c r="B111" s="47" t="s">
        <v>13291</v>
      </c>
      <c r="C111" s="47" t="s">
        <v>13291</v>
      </c>
      <c r="D111" s="47" t="s">
        <v>13291</v>
      </c>
      <c r="E111" s="47" t="s">
        <v>13291</v>
      </c>
      <c r="F111" s="47" t="s">
        <v>13291</v>
      </c>
      <c r="G111" s="47" t="s">
        <v>13291</v>
      </c>
      <c r="H111" s="158">
        <v>1106</v>
      </c>
      <c r="I111" s="156" t="s">
        <v>5361</v>
      </c>
      <c r="J111" s="156" t="s">
        <v>11478</v>
      </c>
      <c r="K111" s="47"/>
      <c r="L111" s="47"/>
      <c r="M111" s="47"/>
      <c r="N111" s="156"/>
      <c r="O111" s="156" t="s">
        <v>157</v>
      </c>
      <c r="P111" s="47"/>
      <c r="Q111" s="47"/>
      <c r="R111" s="47"/>
      <c r="S111" s="47" t="s">
        <v>13292</v>
      </c>
      <c r="T111" s="47" t="s">
        <v>13295</v>
      </c>
      <c r="U111" s="47"/>
    </row>
    <row r="112" spans="1:21" x14ac:dyDescent="0.3">
      <c r="A112" s="46">
        <v>111</v>
      </c>
      <c r="B112" s="47" t="s">
        <v>13291</v>
      </c>
      <c r="C112" s="47" t="s">
        <v>13291</v>
      </c>
      <c r="D112" s="47" t="s">
        <v>13291</v>
      </c>
      <c r="E112" s="47" t="s">
        <v>13291</v>
      </c>
      <c r="F112" s="47" t="s">
        <v>13291</v>
      </c>
      <c r="G112" s="47" t="s">
        <v>13291</v>
      </c>
      <c r="H112" s="158">
        <v>1107</v>
      </c>
      <c r="I112" s="156" t="s">
        <v>10978</v>
      </c>
      <c r="J112" s="156" t="s">
        <v>11714</v>
      </c>
      <c r="K112" s="47"/>
      <c r="L112" s="47"/>
      <c r="M112" s="47"/>
      <c r="N112" s="156"/>
      <c r="O112" s="156" t="s">
        <v>157</v>
      </c>
      <c r="P112" s="47"/>
      <c r="Q112" s="47"/>
      <c r="R112" s="47"/>
      <c r="S112" s="47" t="s">
        <v>13292</v>
      </c>
      <c r="T112" s="47" t="s">
        <v>13295</v>
      </c>
      <c r="U112" s="47"/>
    </row>
    <row r="113" spans="1:21" x14ac:dyDescent="0.3">
      <c r="A113" s="46">
        <v>112</v>
      </c>
      <c r="B113" s="47" t="s">
        <v>13291</v>
      </c>
      <c r="C113" s="47" t="s">
        <v>13291</v>
      </c>
      <c r="D113" s="47" t="s">
        <v>13291</v>
      </c>
      <c r="E113" s="47" t="s">
        <v>13291</v>
      </c>
      <c r="F113" s="47" t="s">
        <v>13291</v>
      </c>
      <c r="G113" s="47" t="s">
        <v>13291</v>
      </c>
      <c r="H113" s="158">
        <v>1108</v>
      </c>
      <c r="I113" s="156" t="s">
        <v>10979</v>
      </c>
      <c r="J113" s="156" t="s">
        <v>11715</v>
      </c>
      <c r="K113" s="47"/>
      <c r="L113" s="47"/>
      <c r="M113" s="47"/>
      <c r="N113" s="156"/>
      <c r="O113" s="156" t="s">
        <v>157</v>
      </c>
      <c r="P113" s="47"/>
      <c r="Q113" s="47"/>
      <c r="R113" s="47"/>
      <c r="S113" s="47" t="s">
        <v>13292</v>
      </c>
      <c r="T113" s="47" t="s">
        <v>13295</v>
      </c>
      <c r="U113" s="47"/>
    </row>
    <row r="114" spans="1:21" x14ac:dyDescent="0.3">
      <c r="A114" s="46">
        <v>115</v>
      </c>
      <c r="B114" s="47" t="s">
        <v>13291</v>
      </c>
      <c r="C114" s="47" t="s">
        <v>13291</v>
      </c>
      <c r="D114" s="47" t="s">
        <v>13291</v>
      </c>
      <c r="E114" s="47" t="s">
        <v>13291</v>
      </c>
      <c r="F114" s="47" t="s">
        <v>13291</v>
      </c>
      <c r="G114" s="47" t="s">
        <v>13291</v>
      </c>
      <c r="H114" s="158">
        <v>1111</v>
      </c>
      <c r="I114" s="156" t="s">
        <v>10980</v>
      </c>
      <c r="J114" s="156" t="s">
        <v>11717</v>
      </c>
      <c r="K114" s="47"/>
      <c r="L114" s="47"/>
      <c r="M114" s="47"/>
      <c r="N114" s="156"/>
      <c r="O114" s="156" t="s">
        <v>157</v>
      </c>
      <c r="P114" s="47"/>
      <c r="Q114" s="47"/>
      <c r="R114" s="47"/>
      <c r="S114" s="47" t="s">
        <v>13292</v>
      </c>
      <c r="T114" s="47" t="s">
        <v>13295</v>
      </c>
      <c r="U114" s="47"/>
    </row>
    <row r="115" spans="1:21" x14ac:dyDescent="0.3">
      <c r="A115" s="46">
        <v>116</v>
      </c>
      <c r="B115" s="47" t="s">
        <v>13291</v>
      </c>
      <c r="C115" s="47" t="s">
        <v>13291</v>
      </c>
      <c r="D115" s="47" t="s">
        <v>13291</v>
      </c>
      <c r="E115" s="47" t="s">
        <v>13291</v>
      </c>
      <c r="F115" s="47" t="s">
        <v>13291</v>
      </c>
      <c r="G115" s="47" t="s">
        <v>13291</v>
      </c>
      <c r="H115" s="158">
        <v>1112</v>
      </c>
      <c r="I115" s="156" t="s">
        <v>5364</v>
      </c>
      <c r="J115" s="156" t="s">
        <v>12047</v>
      </c>
      <c r="K115" s="47"/>
      <c r="L115" s="47"/>
      <c r="M115" s="47"/>
      <c r="N115" s="156"/>
      <c r="O115" s="156" t="s">
        <v>157</v>
      </c>
      <c r="P115" s="47"/>
      <c r="Q115" s="47"/>
      <c r="R115" s="47"/>
      <c r="S115" s="47" t="s">
        <v>13292</v>
      </c>
      <c r="T115" s="47" t="s">
        <v>13295</v>
      </c>
      <c r="U115" s="47"/>
    </row>
    <row r="116" spans="1:21" x14ac:dyDescent="0.3">
      <c r="A116" s="46">
        <v>117</v>
      </c>
      <c r="B116" s="47" t="s">
        <v>13291</v>
      </c>
      <c r="C116" s="47" t="s">
        <v>13291</v>
      </c>
      <c r="D116" s="47" t="s">
        <v>13291</v>
      </c>
      <c r="E116" s="47" t="s">
        <v>13291</v>
      </c>
      <c r="F116" s="47" t="s">
        <v>13291</v>
      </c>
      <c r="G116" s="47" t="s">
        <v>13291</v>
      </c>
      <c r="H116" s="158">
        <v>1113</v>
      </c>
      <c r="I116" s="156" t="s">
        <v>11127</v>
      </c>
      <c r="J116" s="156" t="s">
        <v>12016</v>
      </c>
      <c r="K116" s="47"/>
      <c r="L116" s="47"/>
      <c r="M116" s="47"/>
      <c r="N116" s="156"/>
      <c r="O116" s="156" t="s">
        <v>157</v>
      </c>
      <c r="P116" s="47"/>
      <c r="Q116" s="47"/>
      <c r="R116" s="47"/>
      <c r="S116" s="47" t="s">
        <v>13292</v>
      </c>
      <c r="T116" s="47" t="s">
        <v>13295</v>
      </c>
      <c r="U116" s="47"/>
    </row>
    <row r="117" spans="1:21" x14ac:dyDescent="0.3">
      <c r="A117" s="46">
        <v>118</v>
      </c>
      <c r="B117" s="47" t="s">
        <v>13291</v>
      </c>
      <c r="C117" s="47" t="s">
        <v>13291</v>
      </c>
      <c r="D117" s="47" t="s">
        <v>13291</v>
      </c>
      <c r="E117" s="47" t="s">
        <v>13291</v>
      </c>
      <c r="F117" s="47" t="s">
        <v>13291</v>
      </c>
      <c r="G117" s="47" t="s">
        <v>13291</v>
      </c>
      <c r="H117" s="158">
        <v>1114</v>
      </c>
      <c r="I117" s="156" t="s">
        <v>11128</v>
      </c>
      <c r="J117" s="156" t="s">
        <v>12017</v>
      </c>
      <c r="K117" s="47"/>
      <c r="L117" s="47"/>
      <c r="M117" s="47"/>
      <c r="N117" s="156"/>
      <c r="O117" s="156" t="s">
        <v>157</v>
      </c>
      <c r="P117" s="47"/>
      <c r="Q117" s="47"/>
      <c r="R117" s="47"/>
      <c r="S117" s="47" t="s">
        <v>13292</v>
      </c>
      <c r="T117" s="47" t="s">
        <v>13295</v>
      </c>
      <c r="U117" s="47"/>
    </row>
    <row r="118" spans="1:21" x14ac:dyDescent="0.3">
      <c r="A118" s="46">
        <v>119</v>
      </c>
      <c r="B118" s="47" t="s">
        <v>13291</v>
      </c>
      <c r="C118" s="47" t="s">
        <v>13291</v>
      </c>
      <c r="D118" s="47" t="s">
        <v>13291</v>
      </c>
      <c r="E118" s="47" t="s">
        <v>13291</v>
      </c>
      <c r="F118" s="47" t="s">
        <v>13291</v>
      </c>
      <c r="G118" s="47" t="s">
        <v>13291</v>
      </c>
      <c r="H118" s="158">
        <v>1115</v>
      </c>
      <c r="I118" s="156" t="s">
        <v>11140</v>
      </c>
      <c r="J118" s="156" t="s">
        <v>12048</v>
      </c>
      <c r="K118" s="47"/>
      <c r="L118" s="47"/>
      <c r="M118" s="47"/>
      <c r="N118" s="156"/>
      <c r="O118" s="156" t="s">
        <v>157</v>
      </c>
      <c r="P118" s="47"/>
      <c r="Q118" s="47"/>
      <c r="R118" s="47"/>
      <c r="S118" s="47" t="s">
        <v>13292</v>
      </c>
      <c r="T118" s="47" t="s">
        <v>13295</v>
      </c>
      <c r="U118" s="47"/>
    </row>
    <row r="119" spans="1:21" x14ac:dyDescent="0.3">
      <c r="A119" s="46">
        <v>120</v>
      </c>
      <c r="B119" s="47" t="s">
        <v>13291</v>
      </c>
      <c r="C119" s="47" t="s">
        <v>13291</v>
      </c>
      <c r="D119" s="47" t="s">
        <v>13291</v>
      </c>
      <c r="E119" s="47" t="s">
        <v>13291</v>
      </c>
      <c r="F119" s="47" t="s">
        <v>13291</v>
      </c>
      <c r="G119" s="47" t="s">
        <v>13291</v>
      </c>
      <c r="H119" s="158">
        <v>1116</v>
      </c>
      <c r="I119" s="156" t="s">
        <v>5366</v>
      </c>
      <c r="J119" s="156" t="s">
        <v>12049</v>
      </c>
      <c r="K119" s="47"/>
      <c r="L119" s="47"/>
      <c r="M119" s="47"/>
      <c r="N119" s="156"/>
      <c r="O119" s="156" t="s">
        <v>157</v>
      </c>
      <c r="P119" s="47"/>
      <c r="Q119" s="47"/>
      <c r="R119" s="47"/>
      <c r="S119" s="47" t="s">
        <v>13292</v>
      </c>
      <c r="T119" s="47" t="s">
        <v>13295</v>
      </c>
      <c r="U119" s="47"/>
    </row>
    <row r="120" spans="1:21" x14ac:dyDescent="0.3">
      <c r="A120" s="46">
        <v>121</v>
      </c>
      <c r="B120" s="47" t="s">
        <v>13291</v>
      </c>
      <c r="C120" s="47" t="s">
        <v>13291</v>
      </c>
      <c r="D120" s="47" t="s">
        <v>13291</v>
      </c>
      <c r="E120" s="47" t="s">
        <v>13291</v>
      </c>
      <c r="F120" s="47" t="s">
        <v>13291</v>
      </c>
      <c r="G120" s="47" t="s">
        <v>13291</v>
      </c>
      <c r="H120" s="158">
        <v>1117</v>
      </c>
      <c r="I120" s="156" t="s">
        <v>5367</v>
      </c>
      <c r="J120" s="156" t="s">
        <v>12018</v>
      </c>
      <c r="K120" s="47"/>
      <c r="L120" s="47"/>
      <c r="M120" s="47"/>
      <c r="N120" s="156"/>
      <c r="O120" s="156" t="s">
        <v>157</v>
      </c>
      <c r="P120" s="47"/>
      <c r="Q120" s="47"/>
      <c r="R120" s="47"/>
      <c r="S120" s="47" t="s">
        <v>13292</v>
      </c>
      <c r="T120" s="47" t="s">
        <v>13295</v>
      </c>
      <c r="U120" s="47"/>
    </row>
    <row r="121" spans="1:21" x14ac:dyDescent="0.3">
      <c r="A121" s="46">
        <v>122</v>
      </c>
      <c r="B121" s="47" t="s">
        <v>13291</v>
      </c>
      <c r="C121" s="47" t="s">
        <v>13291</v>
      </c>
      <c r="D121" s="47" t="s">
        <v>13291</v>
      </c>
      <c r="E121" s="47" t="s">
        <v>13291</v>
      </c>
      <c r="F121" s="47" t="s">
        <v>13291</v>
      </c>
      <c r="G121" s="47" t="s">
        <v>13291</v>
      </c>
      <c r="H121" s="158">
        <v>1119</v>
      </c>
      <c r="I121" s="156" t="s">
        <v>5369</v>
      </c>
      <c r="J121" s="156" t="s">
        <v>11718</v>
      </c>
      <c r="K121" s="47"/>
      <c r="L121" s="47"/>
      <c r="M121" s="47"/>
      <c r="N121" s="156"/>
      <c r="O121" s="156" t="s">
        <v>157</v>
      </c>
      <c r="P121" s="47"/>
      <c r="Q121" s="47"/>
      <c r="R121" s="47"/>
      <c r="S121" s="47" t="s">
        <v>13292</v>
      </c>
      <c r="T121" s="47" t="s">
        <v>13295</v>
      </c>
      <c r="U121" s="47"/>
    </row>
    <row r="122" spans="1:21" x14ac:dyDescent="0.3">
      <c r="A122" s="46">
        <v>123</v>
      </c>
      <c r="B122" s="47" t="s">
        <v>13291</v>
      </c>
      <c r="C122" s="47" t="s">
        <v>13291</v>
      </c>
      <c r="D122" s="47" t="s">
        <v>13291</v>
      </c>
      <c r="E122" s="47" t="s">
        <v>13291</v>
      </c>
      <c r="F122" s="47" t="s">
        <v>13291</v>
      </c>
      <c r="G122" s="47" t="s">
        <v>13291</v>
      </c>
      <c r="H122" s="158">
        <v>1120</v>
      </c>
      <c r="I122" s="156" t="s">
        <v>5370</v>
      </c>
      <c r="J122" s="156" t="s">
        <v>12050</v>
      </c>
      <c r="K122" s="47"/>
      <c r="L122" s="47"/>
      <c r="M122" s="47"/>
      <c r="N122" s="156"/>
      <c r="O122" s="156" t="s">
        <v>157</v>
      </c>
      <c r="P122" s="47"/>
      <c r="Q122" s="47"/>
      <c r="R122" s="47"/>
      <c r="S122" s="47" t="s">
        <v>13292</v>
      </c>
      <c r="T122" s="47" t="s">
        <v>13295</v>
      </c>
      <c r="U122" s="47"/>
    </row>
    <row r="123" spans="1:21" x14ac:dyDescent="0.3">
      <c r="A123" s="46">
        <v>124</v>
      </c>
      <c r="B123" s="47" t="s">
        <v>13291</v>
      </c>
      <c r="C123" s="47" t="s">
        <v>13291</v>
      </c>
      <c r="D123" s="47" t="s">
        <v>13291</v>
      </c>
      <c r="E123" s="47" t="s">
        <v>13291</v>
      </c>
      <c r="F123" s="47" t="s">
        <v>13291</v>
      </c>
      <c r="G123" s="47" t="s">
        <v>13291</v>
      </c>
      <c r="H123" s="158">
        <v>1121</v>
      </c>
      <c r="I123" s="156" t="s">
        <v>10917</v>
      </c>
      <c r="J123" s="156" t="s">
        <v>11502</v>
      </c>
      <c r="K123" s="47"/>
      <c r="L123" s="47"/>
      <c r="M123" s="47"/>
      <c r="N123" s="156"/>
      <c r="O123" s="156" t="s">
        <v>157</v>
      </c>
      <c r="P123" s="47"/>
      <c r="Q123" s="47"/>
      <c r="R123" s="47"/>
      <c r="S123" s="47" t="s">
        <v>13292</v>
      </c>
      <c r="T123" s="47" t="s">
        <v>13295</v>
      </c>
      <c r="U123" s="47"/>
    </row>
    <row r="124" spans="1:21" x14ac:dyDescent="0.3">
      <c r="A124" s="46">
        <v>125</v>
      </c>
      <c r="B124" s="47" t="s">
        <v>13291</v>
      </c>
      <c r="C124" s="47" t="s">
        <v>13291</v>
      </c>
      <c r="D124" s="47" t="s">
        <v>13291</v>
      </c>
      <c r="E124" s="47" t="s">
        <v>13291</v>
      </c>
      <c r="F124" s="47" t="s">
        <v>13291</v>
      </c>
      <c r="G124" s="47" t="s">
        <v>13291</v>
      </c>
      <c r="H124" s="158">
        <v>1122</v>
      </c>
      <c r="I124" s="156" t="s">
        <v>5371</v>
      </c>
      <c r="J124" s="156" t="s">
        <v>11479</v>
      </c>
      <c r="K124" s="47"/>
      <c r="L124" s="47"/>
      <c r="M124" s="47"/>
      <c r="N124" s="156"/>
      <c r="O124" s="156" t="s">
        <v>157</v>
      </c>
      <c r="P124" s="47"/>
      <c r="Q124" s="47"/>
      <c r="R124" s="47"/>
      <c r="S124" s="47" t="s">
        <v>13292</v>
      </c>
      <c r="T124" s="47" t="s">
        <v>13295</v>
      </c>
      <c r="U124" s="47"/>
    </row>
    <row r="125" spans="1:21" x14ac:dyDescent="0.3">
      <c r="A125" s="46">
        <v>126</v>
      </c>
      <c r="B125" s="47" t="s">
        <v>13291</v>
      </c>
      <c r="C125" s="47" t="s">
        <v>13291</v>
      </c>
      <c r="D125" s="47" t="s">
        <v>13291</v>
      </c>
      <c r="E125" s="47" t="s">
        <v>13291</v>
      </c>
      <c r="F125" s="47" t="s">
        <v>13291</v>
      </c>
      <c r="G125" s="47" t="s">
        <v>13291</v>
      </c>
      <c r="H125" s="158">
        <v>1123</v>
      </c>
      <c r="I125" s="156" t="s">
        <v>5372</v>
      </c>
      <c r="J125" s="156" t="s">
        <v>11935</v>
      </c>
      <c r="K125" s="47"/>
      <c r="L125" s="47"/>
      <c r="M125" s="47"/>
      <c r="N125" s="156"/>
      <c r="O125" s="156" t="s">
        <v>157</v>
      </c>
      <c r="P125" s="47"/>
      <c r="Q125" s="47"/>
      <c r="R125" s="47"/>
      <c r="S125" s="47" t="s">
        <v>13292</v>
      </c>
      <c r="T125" s="47" t="s">
        <v>13295</v>
      </c>
      <c r="U125" s="47"/>
    </row>
    <row r="126" spans="1:21" x14ac:dyDescent="0.3">
      <c r="A126" s="46">
        <v>127</v>
      </c>
      <c r="B126" s="47" t="s">
        <v>13291</v>
      </c>
      <c r="C126" s="47" t="s">
        <v>13291</v>
      </c>
      <c r="D126" s="47" t="s">
        <v>13291</v>
      </c>
      <c r="E126" s="47" t="s">
        <v>13291</v>
      </c>
      <c r="F126" s="47" t="s">
        <v>13291</v>
      </c>
      <c r="G126" s="47" t="s">
        <v>13291</v>
      </c>
      <c r="H126" s="158">
        <v>1124</v>
      </c>
      <c r="I126" s="156" t="s">
        <v>5373</v>
      </c>
      <c r="J126" s="156" t="s">
        <v>11936</v>
      </c>
      <c r="K126" s="47"/>
      <c r="L126" s="47"/>
      <c r="M126" s="47"/>
      <c r="N126" s="156"/>
      <c r="O126" s="156" t="s">
        <v>157</v>
      </c>
      <c r="P126" s="47"/>
      <c r="Q126" s="47"/>
      <c r="R126" s="47"/>
      <c r="S126" s="47" t="s">
        <v>13292</v>
      </c>
      <c r="T126" s="47" t="s">
        <v>13295</v>
      </c>
      <c r="U126" s="47"/>
    </row>
    <row r="127" spans="1:21" x14ac:dyDescent="0.3">
      <c r="A127" s="46">
        <v>128</v>
      </c>
      <c r="B127" s="47" t="s">
        <v>13291</v>
      </c>
      <c r="C127" s="47" t="s">
        <v>13291</v>
      </c>
      <c r="D127" s="47" t="s">
        <v>13291</v>
      </c>
      <c r="E127" s="47" t="s">
        <v>13291</v>
      </c>
      <c r="F127" s="47" t="s">
        <v>13291</v>
      </c>
      <c r="G127" s="47" t="s">
        <v>13291</v>
      </c>
      <c r="H127" s="158">
        <v>1125</v>
      </c>
      <c r="I127" s="156" t="s">
        <v>5374</v>
      </c>
      <c r="J127" s="156" t="s">
        <v>11937</v>
      </c>
      <c r="K127" s="47"/>
      <c r="L127" s="47"/>
      <c r="M127" s="47"/>
      <c r="N127" s="156"/>
      <c r="O127" s="156" t="s">
        <v>157</v>
      </c>
      <c r="P127" s="47"/>
      <c r="Q127" s="47"/>
      <c r="R127" s="47"/>
      <c r="S127" s="47" t="s">
        <v>13292</v>
      </c>
      <c r="T127" s="47" t="s">
        <v>13295</v>
      </c>
      <c r="U127" s="47"/>
    </row>
    <row r="128" spans="1:21" x14ac:dyDescent="0.3">
      <c r="A128" s="46">
        <v>129</v>
      </c>
      <c r="B128" s="47" t="s">
        <v>13291</v>
      </c>
      <c r="C128" s="47" t="s">
        <v>13291</v>
      </c>
      <c r="D128" s="47" t="s">
        <v>13291</v>
      </c>
      <c r="E128" s="47" t="s">
        <v>13291</v>
      </c>
      <c r="F128" s="47" t="s">
        <v>13291</v>
      </c>
      <c r="G128" s="47" t="s">
        <v>13291</v>
      </c>
      <c r="H128" s="158">
        <v>1126</v>
      </c>
      <c r="I128" s="156" t="s">
        <v>5375</v>
      </c>
      <c r="J128" s="156" t="s">
        <v>11622</v>
      </c>
      <c r="K128" s="47"/>
      <c r="L128" s="47"/>
      <c r="M128" s="47"/>
      <c r="N128" s="156"/>
      <c r="O128" s="156" t="s">
        <v>157</v>
      </c>
      <c r="P128" s="47"/>
      <c r="Q128" s="47"/>
      <c r="R128" s="47"/>
      <c r="S128" s="47" t="s">
        <v>13292</v>
      </c>
      <c r="T128" s="47" t="s">
        <v>13295</v>
      </c>
      <c r="U128" s="47"/>
    </row>
    <row r="129" spans="1:21" x14ac:dyDescent="0.3">
      <c r="A129" s="46">
        <v>130</v>
      </c>
      <c r="B129" s="47" t="s">
        <v>13291</v>
      </c>
      <c r="C129" s="47" t="s">
        <v>13291</v>
      </c>
      <c r="D129" s="47" t="s">
        <v>13291</v>
      </c>
      <c r="E129" s="47" t="s">
        <v>13291</v>
      </c>
      <c r="F129" s="47" t="s">
        <v>13291</v>
      </c>
      <c r="G129" s="47" t="s">
        <v>13291</v>
      </c>
      <c r="H129" s="158">
        <v>1127</v>
      </c>
      <c r="I129" s="156" t="s">
        <v>10981</v>
      </c>
      <c r="J129" s="156" t="s">
        <v>11719</v>
      </c>
      <c r="K129" s="47"/>
      <c r="L129" s="47"/>
      <c r="M129" s="47"/>
      <c r="N129" s="156"/>
      <c r="O129" s="156" t="s">
        <v>157</v>
      </c>
      <c r="P129" s="47"/>
      <c r="Q129" s="47"/>
      <c r="R129" s="47"/>
      <c r="S129" s="47" t="s">
        <v>13292</v>
      </c>
      <c r="T129" s="47" t="s">
        <v>13295</v>
      </c>
      <c r="U129" s="47"/>
    </row>
    <row r="130" spans="1:21" x14ac:dyDescent="0.3">
      <c r="A130" s="46">
        <v>131</v>
      </c>
      <c r="B130" s="47" t="s">
        <v>13291</v>
      </c>
      <c r="C130" s="47" t="s">
        <v>13291</v>
      </c>
      <c r="D130" s="47" t="s">
        <v>13291</v>
      </c>
      <c r="E130" s="47" t="s">
        <v>13291</v>
      </c>
      <c r="F130" s="47" t="s">
        <v>13291</v>
      </c>
      <c r="G130" s="47" t="s">
        <v>13291</v>
      </c>
      <c r="H130" s="158">
        <v>1128</v>
      </c>
      <c r="I130" s="156" t="s">
        <v>5377</v>
      </c>
      <c r="J130" s="156" t="s">
        <v>11720</v>
      </c>
      <c r="K130" s="47"/>
      <c r="L130" s="47"/>
      <c r="M130" s="47"/>
      <c r="N130" s="156"/>
      <c r="O130" s="156" t="s">
        <v>157</v>
      </c>
      <c r="P130" s="47"/>
      <c r="Q130" s="47"/>
      <c r="R130" s="47"/>
      <c r="S130" s="47" t="s">
        <v>13292</v>
      </c>
      <c r="T130" s="47" t="s">
        <v>13295</v>
      </c>
      <c r="U130" s="47"/>
    </row>
    <row r="131" spans="1:21" x14ac:dyDescent="0.3">
      <c r="A131" s="46">
        <v>132</v>
      </c>
      <c r="B131" s="47" t="s">
        <v>13291</v>
      </c>
      <c r="C131" s="47" t="s">
        <v>13291</v>
      </c>
      <c r="D131" s="47" t="s">
        <v>13291</v>
      </c>
      <c r="E131" s="47" t="s">
        <v>13291</v>
      </c>
      <c r="F131" s="47" t="s">
        <v>13291</v>
      </c>
      <c r="G131" s="47" t="s">
        <v>13291</v>
      </c>
      <c r="H131" s="158">
        <v>1129</v>
      </c>
      <c r="I131" s="156" t="s">
        <v>10982</v>
      </c>
      <c r="J131" s="156" t="s">
        <v>11721</v>
      </c>
      <c r="K131" s="47"/>
      <c r="L131" s="47"/>
      <c r="M131" s="47"/>
      <c r="N131" s="156"/>
      <c r="O131" s="156" t="s">
        <v>157</v>
      </c>
      <c r="P131" s="47"/>
      <c r="Q131" s="47"/>
      <c r="R131" s="47"/>
      <c r="S131" s="47" t="s">
        <v>13292</v>
      </c>
      <c r="T131" s="47" t="s">
        <v>13295</v>
      </c>
      <c r="U131" s="47"/>
    </row>
    <row r="132" spans="1:21" x14ac:dyDescent="0.3">
      <c r="A132" s="46">
        <v>133</v>
      </c>
      <c r="B132" s="47" t="s">
        <v>13291</v>
      </c>
      <c r="C132" s="47" t="s">
        <v>13291</v>
      </c>
      <c r="D132" s="47" t="s">
        <v>13291</v>
      </c>
      <c r="E132" s="47" t="s">
        <v>13291</v>
      </c>
      <c r="F132" s="47" t="s">
        <v>13291</v>
      </c>
      <c r="G132" s="47" t="s">
        <v>13291</v>
      </c>
      <c r="H132" s="158">
        <v>1130</v>
      </c>
      <c r="I132" s="156" t="s">
        <v>10983</v>
      </c>
      <c r="J132" s="156" t="s">
        <v>11722</v>
      </c>
      <c r="K132" s="47"/>
      <c r="L132" s="47"/>
      <c r="M132" s="47"/>
      <c r="N132" s="156"/>
      <c r="O132" s="156" t="s">
        <v>157</v>
      </c>
      <c r="P132" s="47"/>
      <c r="Q132" s="47"/>
      <c r="R132" s="47"/>
      <c r="S132" s="47" t="s">
        <v>13292</v>
      </c>
      <c r="T132" s="47" t="s">
        <v>13295</v>
      </c>
      <c r="U132" s="47"/>
    </row>
    <row r="133" spans="1:21" x14ac:dyDescent="0.3">
      <c r="A133" s="46">
        <v>134</v>
      </c>
      <c r="B133" s="47" t="s">
        <v>13291</v>
      </c>
      <c r="C133" s="47" t="s">
        <v>13291</v>
      </c>
      <c r="D133" s="47" t="s">
        <v>13291</v>
      </c>
      <c r="E133" s="47" t="s">
        <v>13291</v>
      </c>
      <c r="F133" s="47" t="s">
        <v>13291</v>
      </c>
      <c r="G133" s="47" t="s">
        <v>13291</v>
      </c>
      <c r="H133" s="158">
        <v>1131</v>
      </c>
      <c r="I133" s="156" t="s">
        <v>5378</v>
      </c>
      <c r="J133" s="156" t="s">
        <v>12051</v>
      </c>
      <c r="K133" s="47"/>
      <c r="L133" s="47"/>
      <c r="M133" s="47"/>
      <c r="N133" s="156"/>
      <c r="O133" s="156" t="s">
        <v>157</v>
      </c>
      <c r="P133" s="47"/>
      <c r="Q133" s="47"/>
      <c r="R133" s="47"/>
      <c r="S133" s="47" t="s">
        <v>13292</v>
      </c>
      <c r="T133" s="47" t="s">
        <v>13295</v>
      </c>
      <c r="U133" s="47"/>
    </row>
    <row r="134" spans="1:21" x14ac:dyDescent="0.3">
      <c r="A134" s="46">
        <v>135</v>
      </c>
      <c r="B134" s="47" t="s">
        <v>13291</v>
      </c>
      <c r="C134" s="47" t="s">
        <v>13291</v>
      </c>
      <c r="D134" s="47" t="s">
        <v>13291</v>
      </c>
      <c r="E134" s="47" t="s">
        <v>13291</v>
      </c>
      <c r="F134" s="47" t="s">
        <v>13291</v>
      </c>
      <c r="G134" s="47" t="s">
        <v>13291</v>
      </c>
      <c r="H134" s="158">
        <v>1132</v>
      </c>
      <c r="I134" s="156" t="s">
        <v>11129</v>
      </c>
      <c r="J134" s="156" t="s">
        <v>12019</v>
      </c>
      <c r="K134" s="47"/>
      <c r="L134" s="47"/>
      <c r="M134" s="47"/>
      <c r="N134" s="156"/>
      <c r="O134" s="156" t="s">
        <v>157</v>
      </c>
      <c r="P134" s="47"/>
      <c r="Q134" s="47"/>
      <c r="R134" s="47"/>
      <c r="S134" s="47" t="s">
        <v>13292</v>
      </c>
      <c r="T134" s="47" t="s">
        <v>13295</v>
      </c>
      <c r="U134" s="47"/>
    </row>
    <row r="135" spans="1:21" x14ac:dyDescent="0.3">
      <c r="A135" s="46">
        <v>136</v>
      </c>
      <c r="B135" s="47" t="s">
        <v>13291</v>
      </c>
      <c r="C135" s="47" t="s">
        <v>13291</v>
      </c>
      <c r="D135" s="47" t="s">
        <v>13291</v>
      </c>
      <c r="E135" s="47" t="s">
        <v>13291</v>
      </c>
      <c r="F135" s="47" t="s">
        <v>13291</v>
      </c>
      <c r="G135" s="47" t="s">
        <v>13291</v>
      </c>
      <c r="H135" s="158">
        <v>1133</v>
      </c>
      <c r="I135" s="156" t="s">
        <v>5379</v>
      </c>
      <c r="J135" s="156" t="s">
        <v>11723</v>
      </c>
      <c r="K135" s="47"/>
      <c r="L135" s="47"/>
      <c r="M135" s="47"/>
      <c r="N135" s="156"/>
      <c r="O135" s="156" t="s">
        <v>157</v>
      </c>
      <c r="P135" s="47"/>
      <c r="Q135" s="47"/>
      <c r="R135" s="47"/>
      <c r="S135" s="47" t="s">
        <v>13292</v>
      </c>
      <c r="T135" s="47" t="s">
        <v>13295</v>
      </c>
      <c r="U135" s="47"/>
    </row>
    <row r="136" spans="1:21" x14ac:dyDescent="0.3">
      <c r="A136" s="46">
        <v>137</v>
      </c>
      <c r="B136" s="47" t="s">
        <v>13291</v>
      </c>
      <c r="C136" s="47" t="s">
        <v>13291</v>
      </c>
      <c r="D136" s="47" t="s">
        <v>13291</v>
      </c>
      <c r="E136" s="47" t="s">
        <v>13291</v>
      </c>
      <c r="F136" s="47" t="s">
        <v>13291</v>
      </c>
      <c r="G136" s="47" t="s">
        <v>13291</v>
      </c>
      <c r="H136" s="158">
        <v>1134</v>
      </c>
      <c r="I136" s="156" t="s">
        <v>5380</v>
      </c>
      <c r="J136" s="156" t="s">
        <v>12132</v>
      </c>
      <c r="K136" s="47"/>
      <c r="L136" s="47"/>
      <c r="M136" s="47"/>
      <c r="N136" s="156"/>
      <c r="O136" s="156" t="s">
        <v>157</v>
      </c>
      <c r="P136" s="47"/>
      <c r="Q136" s="47"/>
      <c r="R136" s="47"/>
      <c r="S136" s="47" t="s">
        <v>13292</v>
      </c>
      <c r="T136" s="47" t="s">
        <v>13295</v>
      </c>
      <c r="U136" s="47"/>
    </row>
    <row r="137" spans="1:21" x14ac:dyDescent="0.3">
      <c r="A137" s="46">
        <v>138</v>
      </c>
      <c r="B137" s="47" t="s">
        <v>13291</v>
      </c>
      <c r="C137" s="47" t="s">
        <v>13291</v>
      </c>
      <c r="D137" s="47" t="s">
        <v>13291</v>
      </c>
      <c r="E137" s="47" t="s">
        <v>13291</v>
      </c>
      <c r="F137" s="47" t="s">
        <v>13291</v>
      </c>
      <c r="G137" s="47" t="s">
        <v>13291</v>
      </c>
      <c r="H137" s="158">
        <v>1135</v>
      </c>
      <c r="I137" s="156" t="s">
        <v>5382</v>
      </c>
      <c r="J137" s="156" t="s">
        <v>11977</v>
      </c>
      <c r="K137" s="47"/>
      <c r="L137" s="47"/>
      <c r="M137" s="47"/>
      <c r="N137" s="156"/>
      <c r="O137" s="156" t="s">
        <v>157</v>
      </c>
      <c r="P137" s="47"/>
      <c r="Q137" s="47"/>
      <c r="R137" s="47"/>
      <c r="S137" s="47" t="s">
        <v>13292</v>
      </c>
      <c r="T137" s="47" t="s">
        <v>13295</v>
      </c>
      <c r="U137" s="47"/>
    </row>
    <row r="138" spans="1:21" x14ac:dyDescent="0.3">
      <c r="A138" s="46">
        <v>139</v>
      </c>
      <c r="B138" s="47" t="s">
        <v>13291</v>
      </c>
      <c r="C138" s="47" t="s">
        <v>13291</v>
      </c>
      <c r="D138" s="47" t="s">
        <v>13291</v>
      </c>
      <c r="E138" s="47" t="s">
        <v>13291</v>
      </c>
      <c r="F138" s="47" t="s">
        <v>13291</v>
      </c>
      <c r="G138" s="47" t="s">
        <v>13291</v>
      </c>
      <c r="H138" s="158">
        <v>1136</v>
      </c>
      <c r="I138" s="156" t="s">
        <v>5383</v>
      </c>
      <c r="J138" s="156" t="s">
        <v>11724</v>
      </c>
      <c r="K138" s="47"/>
      <c r="L138" s="47"/>
      <c r="M138" s="47"/>
      <c r="N138" s="156"/>
      <c r="O138" s="156" t="s">
        <v>157</v>
      </c>
      <c r="P138" s="47"/>
      <c r="Q138" s="47"/>
      <c r="R138" s="47"/>
      <c r="S138" s="47" t="s">
        <v>13292</v>
      </c>
      <c r="T138" s="47" t="s">
        <v>13295</v>
      </c>
      <c r="U138" s="47"/>
    </row>
    <row r="139" spans="1:21" x14ac:dyDescent="0.3">
      <c r="A139" s="46">
        <v>140</v>
      </c>
      <c r="B139" s="47" t="s">
        <v>13291</v>
      </c>
      <c r="C139" s="47" t="s">
        <v>13291</v>
      </c>
      <c r="D139" s="47" t="s">
        <v>13291</v>
      </c>
      <c r="E139" s="47" t="s">
        <v>13291</v>
      </c>
      <c r="F139" s="47" t="s">
        <v>13291</v>
      </c>
      <c r="G139" s="47" t="s">
        <v>13291</v>
      </c>
      <c r="H139" s="158">
        <v>1137</v>
      </c>
      <c r="I139" s="156" t="s">
        <v>5384</v>
      </c>
      <c r="J139" s="156" t="s">
        <v>12133</v>
      </c>
      <c r="K139" s="47"/>
      <c r="L139" s="47"/>
      <c r="M139" s="47"/>
      <c r="N139" s="156"/>
      <c r="O139" s="156" t="s">
        <v>157</v>
      </c>
      <c r="P139" s="47"/>
      <c r="Q139" s="47"/>
      <c r="R139" s="47"/>
      <c r="S139" s="47" t="s">
        <v>13292</v>
      </c>
      <c r="T139" s="47" t="s">
        <v>13295</v>
      </c>
      <c r="U139" s="47"/>
    </row>
    <row r="140" spans="1:21" x14ac:dyDescent="0.3">
      <c r="A140" s="46">
        <v>141</v>
      </c>
      <c r="B140" s="47" t="s">
        <v>13291</v>
      </c>
      <c r="C140" s="47" t="s">
        <v>13291</v>
      </c>
      <c r="D140" s="47" t="s">
        <v>13291</v>
      </c>
      <c r="E140" s="47" t="s">
        <v>13291</v>
      </c>
      <c r="F140" s="47" t="s">
        <v>13291</v>
      </c>
      <c r="G140" s="47" t="s">
        <v>13291</v>
      </c>
      <c r="H140" s="158">
        <v>1138</v>
      </c>
      <c r="I140" s="156" t="s">
        <v>5385</v>
      </c>
      <c r="J140" s="156" t="s">
        <v>11938</v>
      </c>
      <c r="K140" s="47"/>
      <c r="L140" s="47"/>
      <c r="M140" s="47"/>
      <c r="N140" s="156"/>
      <c r="O140" s="156" t="s">
        <v>157</v>
      </c>
      <c r="P140" s="47"/>
      <c r="Q140" s="47"/>
      <c r="R140" s="47"/>
      <c r="S140" s="47" t="s">
        <v>13292</v>
      </c>
      <c r="T140" s="47" t="s">
        <v>13295</v>
      </c>
      <c r="U140" s="47"/>
    </row>
    <row r="141" spans="1:21" x14ac:dyDescent="0.3">
      <c r="A141" s="46">
        <v>142</v>
      </c>
      <c r="B141" s="47" t="s">
        <v>13291</v>
      </c>
      <c r="C141" s="47" t="s">
        <v>13291</v>
      </c>
      <c r="D141" s="47" t="s">
        <v>13291</v>
      </c>
      <c r="E141" s="47" t="s">
        <v>13291</v>
      </c>
      <c r="F141" s="47" t="s">
        <v>13291</v>
      </c>
      <c r="G141" s="47" t="s">
        <v>13291</v>
      </c>
      <c r="H141" s="158">
        <v>1139</v>
      </c>
      <c r="I141" s="156" t="s">
        <v>11087</v>
      </c>
      <c r="J141" s="156" t="s">
        <v>11939</v>
      </c>
      <c r="K141" s="47"/>
      <c r="L141" s="47"/>
      <c r="M141" s="47"/>
      <c r="N141" s="156"/>
      <c r="O141" s="156" t="s">
        <v>157</v>
      </c>
      <c r="P141" s="47"/>
      <c r="Q141" s="47"/>
      <c r="R141" s="47"/>
      <c r="S141" s="47" t="s">
        <v>13292</v>
      </c>
      <c r="T141" s="47" t="s">
        <v>13295</v>
      </c>
      <c r="U141" s="47"/>
    </row>
    <row r="142" spans="1:21" x14ac:dyDescent="0.3">
      <c r="A142" s="46">
        <v>143</v>
      </c>
      <c r="B142" s="47" t="s">
        <v>13291</v>
      </c>
      <c r="C142" s="47" t="s">
        <v>13291</v>
      </c>
      <c r="D142" s="47" t="s">
        <v>13291</v>
      </c>
      <c r="E142" s="47" t="s">
        <v>13291</v>
      </c>
      <c r="F142" s="47" t="s">
        <v>13291</v>
      </c>
      <c r="G142" s="47" t="s">
        <v>13291</v>
      </c>
      <c r="H142" s="158">
        <v>1140</v>
      </c>
      <c r="I142" s="156" t="s">
        <v>11088</v>
      </c>
      <c r="J142" s="156" t="s">
        <v>11940</v>
      </c>
      <c r="K142" s="47"/>
      <c r="L142" s="47"/>
      <c r="M142" s="47"/>
      <c r="N142" s="156"/>
      <c r="O142" s="156" t="s">
        <v>157</v>
      </c>
      <c r="P142" s="47"/>
      <c r="Q142" s="47"/>
      <c r="R142" s="47"/>
      <c r="S142" s="47" t="s">
        <v>13292</v>
      </c>
      <c r="T142" s="47" t="s">
        <v>13295</v>
      </c>
      <c r="U142" s="47"/>
    </row>
    <row r="143" spans="1:21" x14ac:dyDescent="0.3">
      <c r="A143" s="46">
        <v>144</v>
      </c>
      <c r="B143" s="47" t="s">
        <v>13291</v>
      </c>
      <c r="C143" s="47" t="s">
        <v>13291</v>
      </c>
      <c r="D143" s="47" t="s">
        <v>13291</v>
      </c>
      <c r="E143" s="47" t="s">
        <v>13291</v>
      </c>
      <c r="F143" s="47" t="s">
        <v>13291</v>
      </c>
      <c r="G143" s="47" t="s">
        <v>13291</v>
      </c>
      <c r="H143" s="158">
        <v>1141</v>
      </c>
      <c r="I143" s="156" t="s">
        <v>11089</v>
      </c>
      <c r="J143" s="156" t="s">
        <v>11941</v>
      </c>
      <c r="K143" s="47"/>
      <c r="L143" s="47"/>
      <c r="M143" s="47"/>
      <c r="N143" s="156"/>
      <c r="O143" s="156" t="s">
        <v>157</v>
      </c>
      <c r="P143" s="47"/>
      <c r="Q143" s="47"/>
      <c r="R143" s="47"/>
      <c r="S143" s="47" t="s">
        <v>13292</v>
      </c>
      <c r="T143" s="47" t="s">
        <v>13295</v>
      </c>
      <c r="U143" s="47"/>
    </row>
    <row r="144" spans="1:21" x14ac:dyDescent="0.3">
      <c r="A144" s="46">
        <v>145</v>
      </c>
      <c r="B144" s="47" t="s">
        <v>13291</v>
      </c>
      <c r="C144" s="47" t="s">
        <v>13291</v>
      </c>
      <c r="D144" s="47" t="s">
        <v>13291</v>
      </c>
      <c r="E144" s="47" t="s">
        <v>13291</v>
      </c>
      <c r="F144" s="47" t="s">
        <v>13291</v>
      </c>
      <c r="G144" s="47" t="s">
        <v>13291</v>
      </c>
      <c r="H144" s="158">
        <v>1142</v>
      </c>
      <c r="I144" s="156" t="s">
        <v>5386</v>
      </c>
      <c r="J144" s="156" t="s">
        <v>12052</v>
      </c>
      <c r="K144" s="47"/>
      <c r="L144" s="47"/>
      <c r="M144" s="47"/>
      <c r="N144" s="156"/>
      <c r="O144" s="156" t="s">
        <v>157</v>
      </c>
      <c r="P144" s="47"/>
      <c r="Q144" s="47"/>
      <c r="R144" s="47"/>
      <c r="S144" s="47" t="s">
        <v>13292</v>
      </c>
      <c r="T144" s="47" t="s">
        <v>13295</v>
      </c>
      <c r="U144" s="47"/>
    </row>
    <row r="145" spans="1:21" x14ac:dyDescent="0.3">
      <c r="A145" s="46">
        <v>146</v>
      </c>
      <c r="B145" s="47" t="s">
        <v>13291</v>
      </c>
      <c r="C145" s="47" t="s">
        <v>13291</v>
      </c>
      <c r="D145" s="47" t="s">
        <v>13291</v>
      </c>
      <c r="E145" s="47" t="s">
        <v>13291</v>
      </c>
      <c r="F145" s="47" t="s">
        <v>13291</v>
      </c>
      <c r="G145" s="47" t="s">
        <v>13291</v>
      </c>
      <c r="H145" s="158">
        <v>1143</v>
      </c>
      <c r="I145" s="156" t="s">
        <v>5387</v>
      </c>
      <c r="J145" s="156" t="s">
        <v>11476</v>
      </c>
      <c r="K145" s="47"/>
      <c r="L145" s="47"/>
      <c r="M145" s="47"/>
      <c r="N145" s="156"/>
      <c r="O145" s="156" t="s">
        <v>157</v>
      </c>
      <c r="P145" s="47"/>
      <c r="Q145" s="47"/>
      <c r="R145" s="47"/>
      <c r="S145" s="47" t="s">
        <v>13292</v>
      </c>
      <c r="T145" s="47" t="s">
        <v>13295</v>
      </c>
      <c r="U145" s="47"/>
    </row>
    <row r="146" spans="1:21" x14ac:dyDescent="0.3">
      <c r="A146" s="46">
        <v>147</v>
      </c>
      <c r="B146" s="47" t="s">
        <v>13291</v>
      </c>
      <c r="C146" s="47" t="s">
        <v>13291</v>
      </c>
      <c r="D146" s="47" t="s">
        <v>13291</v>
      </c>
      <c r="E146" s="47" t="s">
        <v>13291</v>
      </c>
      <c r="F146" s="47" t="s">
        <v>13291</v>
      </c>
      <c r="G146" s="47" t="s">
        <v>13291</v>
      </c>
      <c r="H146" s="158">
        <v>1144</v>
      </c>
      <c r="I146" s="156" t="s">
        <v>10984</v>
      </c>
      <c r="J146" s="156" t="s">
        <v>11725</v>
      </c>
      <c r="K146" s="47"/>
      <c r="L146" s="47"/>
      <c r="M146" s="47"/>
      <c r="N146" s="156"/>
      <c r="O146" s="156" t="s">
        <v>157</v>
      </c>
      <c r="P146" s="47"/>
      <c r="Q146" s="47"/>
      <c r="R146" s="47"/>
      <c r="S146" s="47" t="s">
        <v>13292</v>
      </c>
      <c r="T146" s="47" t="s">
        <v>13295</v>
      </c>
      <c r="U146" s="47"/>
    </row>
    <row r="147" spans="1:21" x14ac:dyDescent="0.3">
      <c r="A147" s="46">
        <v>148</v>
      </c>
      <c r="B147" s="47" t="s">
        <v>13291</v>
      </c>
      <c r="C147" s="47" t="s">
        <v>13291</v>
      </c>
      <c r="D147" s="47" t="s">
        <v>13291</v>
      </c>
      <c r="E147" s="47" t="s">
        <v>13291</v>
      </c>
      <c r="F147" s="47" t="s">
        <v>13291</v>
      </c>
      <c r="G147" s="47" t="s">
        <v>13291</v>
      </c>
      <c r="H147" s="158">
        <v>1145</v>
      </c>
      <c r="I147" s="156" t="s">
        <v>5388</v>
      </c>
      <c r="J147" s="156" t="s">
        <v>11726</v>
      </c>
      <c r="K147" s="47"/>
      <c r="L147" s="47"/>
      <c r="M147" s="47"/>
      <c r="N147" s="156"/>
      <c r="O147" s="156" t="s">
        <v>157</v>
      </c>
      <c r="P147" s="47"/>
      <c r="Q147" s="47"/>
      <c r="R147" s="47"/>
      <c r="S147" s="47" t="s">
        <v>13292</v>
      </c>
      <c r="T147" s="47" t="s">
        <v>13295</v>
      </c>
      <c r="U147" s="47"/>
    </row>
    <row r="148" spans="1:21" x14ac:dyDescent="0.3">
      <c r="A148" s="46">
        <v>149</v>
      </c>
      <c r="B148" s="47" t="s">
        <v>13291</v>
      </c>
      <c r="C148" s="47" t="s">
        <v>13291</v>
      </c>
      <c r="D148" s="47" t="s">
        <v>13291</v>
      </c>
      <c r="E148" s="47" t="s">
        <v>13291</v>
      </c>
      <c r="F148" s="47" t="s">
        <v>13291</v>
      </c>
      <c r="G148" s="47" t="s">
        <v>13291</v>
      </c>
      <c r="H148" s="158">
        <v>1146</v>
      </c>
      <c r="I148" s="156" t="s">
        <v>5389</v>
      </c>
      <c r="J148" s="156" t="s">
        <v>11727</v>
      </c>
      <c r="K148" s="47"/>
      <c r="L148" s="47"/>
      <c r="M148" s="47"/>
      <c r="N148" s="156"/>
      <c r="O148" s="156" t="s">
        <v>157</v>
      </c>
      <c r="P148" s="47"/>
      <c r="Q148" s="47"/>
      <c r="R148" s="47"/>
      <c r="S148" s="47" t="s">
        <v>13292</v>
      </c>
      <c r="T148" s="47" t="s">
        <v>13295</v>
      </c>
      <c r="U148" s="47"/>
    </row>
    <row r="149" spans="1:21" x14ac:dyDescent="0.3">
      <c r="A149" s="46">
        <v>150</v>
      </c>
      <c r="B149" s="47" t="s">
        <v>13291</v>
      </c>
      <c r="C149" s="47" t="s">
        <v>13291</v>
      </c>
      <c r="D149" s="47" t="s">
        <v>13291</v>
      </c>
      <c r="E149" s="47" t="s">
        <v>13291</v>
      </c>
      <c r="F149" s="47" t="s">
        <v>13291</v>
      </c>
      <c r="G149" s="47" t="s">
        <v>13291</v>
      </c>
      <c r="H149" s="158">
        <v>1147</v>
      </c>
      <c r="I149" s="156" t="s">
        <v>10985</v>
      </c>
      <c r="J149" s="156" t="s">
        <v>11728</v>
      </c>
      <c r="K149" s="47"/>
      <c r="L149" s="47"/>
      <c r="M149" s="47"/>
      <c r="N149" s="156"/>
      <c r="O149" s="156" t="s">
        <v>157</v>
      </c>
      <c r="P149" s="47"/>
      <c r="Q149" s="47"/>
      <c r="R149" s="47"/>
      <c r="S149" s="47" t="s">
        <v>13292</v>
      </c>
      <c r="T149" s="47" t="s">
        <v>13295</v>
      </c>
      <c r="U149" s="47"/>
    </row>
    <row r="150" spans="1:21" x14ac:dyDescent="0.3">
      <c r="A150" s="46">
        <v>151</v>
      </c>
      <c r="B150" s="47" t="s">
        <v>13291</v>
      </c>
      <c r="C150" s="47" t="s">
        <v>13291</v>
      </c>
      <c r="D150" s="47" t="s">
        <v>13291</v>
      </c>
      <c r="E150" s="47" t="s">
        <v>13291</v>
      </c>
      <c r="F150" s="47" t="s">
        <v>13291</v>
      </c>
      <c r="G150" s="47" t="s">
        <v>13291</v>
      </c>
      <c r="H150" s="158">
        <v>1148</v>
      </c>
      <c r="I150" s="156" t="s">
        <v>5390</v>
      </c>
      <c r="J150" s="156" t="s">
        <v>11729</v>
      </c>
      <c r="K150" s="47"/>
      <c r="L150" s="47"/>
      <c r="M150" s="47"/>
      <c r="N150" s="156"/>
      <c r="O150" s="156" t="s">
        <v>157</v>
      </c>
      <c r="P150" s="47"/>
      <c r="Q150" s="47"/>
      <c r="R150" s="47"/>
      <c r="S150" s="47" t="s">
        <v>13292</v>
      </c>
      <c r="T150" s="47" t="s">
        <v>13295</v>
      </c>
      <c r="U150" s="47"/>
    </row>
    <row r="151" spans="1:21" x14ac:dyDescent="0.3">
      <c r="A151" s="46">
        <v>152</v>
      </c>
      <c r="B151" s="47" t="s">
        <v>13291</v>
      </c>
      <c r="C151" s="47" t="s">
        <v>13291</v>
      </c>
      <c r="D151" s="47" t="s">
        <v>13291</v>
      </c>
      <c r="E151" s="47" t="s">
        <v>13291</v>
      </c>
      <c r="F151" s="47" t="s">
        <v>13291</v>
      </c>
      <c r="G151" s="47" t="s">
        <v>13291</v>
      </c>
      <c r="H151" s="158">
        <v>1149</v>
      </c>
      <c r="I151" s="156" t="s">
        <v>10986</v>
      </c>
      <c r="J151" s="156" t="s">
        <v>11730</v>
      </c>
      <c r="K151" s="47"/>
      <c r="L151" s="47"/>
      <c r="M151" s="47"/>
      <c r="N151" s="156"/>
      <c r="O151" s="156" t="s">
        <v>157</v>
      </c>
      <c r="P151" s="47"/>
      <c r="Q151" s="47"/>
      <c r="R151" s="47"/>
      <c r="S151" s="47" t="s">
        <v>13292</v>
      </c>
      <c r="T151" s="47" t="s">
        <v>13295</v>
      </c>
      <c r="U151" s="47"/>
    </row>
    <row r="152" spans="1:21" x14ac:dyDescent="0.3">
      <c r="A152" s="46">
        <v>153</v>
      </c>
      <c r="B152" s="47" t="s">
        <v>13291</v>
      </c>
      <c r="C152" s="47" t="s">
        <v>13291</v>
      </c>
      <c r="D152" s="47" t="s">
        <v>13291</v>
      </c>
      <c r="E152" s="47" t="s">
        <v>13291</v>
      </c>
      <c r="F152" s="47" t="s">
        <v>13291</v>
      </c>
      <c r="G152" s="47" t="s">
        <v>13291</v>
      </c>
      <c r="H152" s="158">
        <v>1150</v>
      </c>
      <c r="I152" s="156" t="s">
        <v>10987</v>
      </c>
      <c r="J152" s="156" t="s">
        <v>11731</v>
      </c>
      <c r="K152" s="47"/>
      <c r="L152" s="47"/>
      <c r="M152" s="47"/>
      <c r="N152" s="156"/>
      <c r="O152" s="156" t="s">
        <v>157</v>
      </c>
      <c r="P152" s="47"/>
      <c r="Q152" s="47"/>
      <c r="R152" s="47"/>
      <c r="S152" s="47" t="s">
        <v>13292</v>
      </c>
      <c r="T152" s="47" t="s">
        <v>13295</v>
      </c>
      <c r="U152" s="47"/>
    </row>
    <row r="153" spans="1:21" x14ac:dyDescent="0.3">
      <c r="A153" s="46">
        <v>154</v>
      </c>
      <c r="B153" s="47" t="s">
        <v>13291</v>
      </c>
      <c r="C153" s="47" t="s">
        <v>13291</v>
      </c>
      <c r="D153" s="47" t="s">
        <v>13291</v>
      </c>
      <c r="E153" s="47" t="s">
        <v>13291</v>
      </c>
      <c r="F153" s="47" t="s">
        <v>13291</v>
      </c>
      <c r="G153" s="47" t="s">
        <v>13291</v>
      </c>
      <c r="H153" s="158">
        <v>1151</v>
      </c>
      <c r="I153" s="156" t="s">
        <v>10988</v>
      </c>
      <c r="J153" s="156" t="s">
        <v>11732</v>
      </c>
      <c r="K153" s="47"/>
      <c r="L153" s="47"/>
      <c r="M153" s="47"/>
      <c r="N153" s="156"/>
      <c r="O153" s="156" t="s">
        <v>157</v>
      </c>
      <c r="P153" s="47"/>
      <c r="Q153" s="47"/>
      <c r="R153" s="47"/>
      <c r="S153" s="47" t="s">
        <v>13292</v>
      </c>
      <c r="T153" s="47" t="s">
        <v>13295</v>
      </c>
      <c r="U153" s="47"/>
    </row>
    <row r="154" spans="1:21" x14ac:dyDescent="0.3">
      <c r="A154" s="46">
        <v>155</v>
      </c>
      <c r="B154" s="47" t="s">
        <v>13291</v>
      </c>
      <c r="C154" s="47" t="s">
        <v>13291</v>
      </c>
      <c r="D154" s="47" t="s">
        <v>13291</v>
      </c>
      <c r="E154" s="47" t="s">
        <v>13291</v>
      </c>
      <c r="F154" s="47" t="s">
        <v>13291</v>
      </c>
      <c r="G154" s="47" t="s">
        <v>13291</v>
      </c>
      <c r="H154" s="158">
        <v>1152</v>
      </c>
      <c r="I154" s="156" t="s">
        <v>5391</v>
      </c>
      <c r="J154" s="156" t="s">
        <v>11634</v>
      </c>
      <c r="K154" s="47"/>
      <c r="L154" s="47"/>
      <c r="M154" s="47"/>
      <c r="N154" s="156"/>
      <c r="O154" s="156" t="s">
        <v>157</v>
      </c>
      <c r="P154" s="47"/>
      <c r="Q154" s="47"/>
      <c r="R154" s="47"/>
      <c r="S154" s="47" t="s">
        <v>13292</v>
      </c>
      <c r="T154" s="47" t="s">
        <v>13295</v>
      </c>
      <c r="U154" s="47"/>
    </row>
    <row r="155" spans="1:21" x14ac:dyDescent="0.3">
      <c r="A155" s="46">
        <v>156</v>
      </c>
      <c r="B155" s="47" t="s">
        <v>13291</v>
      </c>
      <c r="C155" s="47" t="s">
        <v>13291</v>
      </c>
      <c r="D155" s="47" t="s">
        <v>13291</v>
      </c>
      <c r="E155" s="47" t="s">
        <v>13291</v>
      </c>
      <c r="F155" s="47" t="s">
        <v>13291</v>
      </c>
      <c r="G155" s="47" t="s">
        <v>13291</v>
      </c>
      <c r="H155" s="158">
        <v>1153</v>
      </c>
      <c r="I155" s="156" t="s">
        <v>10989</v>
      </c>
      <c r="J155" s="156" t="s">
        <v>11733</v>
      </c>
      <c r="K155" s="47"/>
      <c r="L155" s="47"/>
      <c r="M155" s="47"/>
      <c r="N155" s="156"/>
      <c r="O155" s="156" t="s">
        <v>157</v>
      </c>
      <c r="P155" s="47"/>
      <c r="Q155" s="47"/>
      <c r="R155" s="47"/>
      <c r="S155" s="47" t="s">
        <v>13292</v>
      </c>
      <c r="T155" s="47" t="s">
        <v>13295</v>
      </c>
      <c r="U155" s="47"/>
    </row>
    <row r="156" spans="1:21" x14ac:dyDescent="0.3">
      <c r="A156" s="46">
        <v>157</v>
      </c>
      <c r="B156" s="47" t="s">
        <v>13291</v>
      </c>
      <c r="C156" s="47" t="s">
        <v>13291</v>
      </c>
      <c r="D156" s="47" t="s">
        <v>13291</v>
      </c>
      <c r="E156" s="47" t="s">
        <v>13291</v>
      </c>
      <c r="F156" s="47" t="s">
        <v>13291</v>
      </c>
      <c r="G156" s="47" t="s">
        <v>13291</v>
      </c>
      <c r="H156" s="158">
        <v>1154</v>
      </c>
      <c r="I156" s="156" t="s">
        <v>5392</v>
      </c>
      <c r="J156" s="156" t="s">
        <v>11734</v>
      </c>
      <c r="K156" s="47"/>
      <c r="L156" s="47"/>
      <c r="M156" s="47"/>
      <c r="N156" s="156"/>
      <c r="O156" s="156" t="s">
        <v>157</v>
      </c>
      <c r="P156" s="47"/>
      <c r="Q156" s="47"/>
      <c r="R156" s="47"/>
      <c r="S156" s="47" t="s">
        <v>13292</v>
      </c>
      <c r="T156" s="47" t="s">
        <v>13295</v>
      </c>
      <c r="U156" s="47"/>
    </row>
    <row r="157" spans="1:21" x14ac:dyDescent="0.3">
      <c r="A157" s="46">
        <v>158</v>
      </c>
      <c r="B157" s="47" t="s">
        <v>13291</v>
      </c>
      <c r="C157" s="47" t="s">
        <v>13291</v>
      </c>
      <c r="D157" s="47" t="s">
        <v>13291</v>
      </c>
      <c r="E157" s="47" t="s">
        <v>13291</v>
      </c>
      <c r="F157" s="47" t="s">
        <v>13291</v>
      </c>
      <c r="G157" s="47" t="s">
        <v>13291</v>
      </c>
      <c r="H157" s="158">
        <v>1155</v>
      </c>
      <c r="I157" s="156" t="s">
        <v>5393</v>
      </c>
      <c r="J157" s="156" t="s">
        <v>11735</v>
      </c>
      <c r="K157" s="47"/>
      <c r="L157" s="47"/>
      <c r="M157" s="47"/>
      <c r="N157" s="156"/>
      <c r="O157" s="156" t="s">
        <v>157</v>
      </c>
      <c r="P157" s="47"/>
      <c r="Q157" s="47"/>
      <c r="R157" s="47"/>
      <c r="S157" s="47" t="s">
        <v>13292</v>
      </c>
      <c r="T157" s="47" t="s">
        <v>13295</v>
      </c>
      <c r="U157" s="47"/>
    </row>
    <row r="158" spans="1:21" x14ac:dyDescent="0.3">
      <c r="A158" s="46">
        <v>159</v>
      </c>
      <c r="B158" s="47" t="s">
        <v>13291</v>
      </c>
      <c r="C158" s="47" t="s">
        <v>13291</v>
      </c>
      <c r="D158" s="47" t="s">
        <v>13291</v>
      </c>
      <c r="E158" s="47" t="s">
        <v>13291</v>
      </c>
      <c r="F158" s="47" t="s">
        <v>13291</v>
      </c>
      <c r="G158" s="47" t="s">
        <v>13291</v>
      </c>
      <c r="H158" s="158">
        <v>1156</v>
      </c>
      <c r="I158" s="156" t="s">
        <v>12501</v>
      </c>
      <c r="J158" s="156" t="s">
        <v>12502</v>
      </c>
      <c r="K158" s="47"/>
      <c r="L158" s="47"/>
      <c r="M158" s="47"/>
      <c r="N158" s="156"/>
      <c r="O158" s="156" t="s">
        <v>157</v>
      </c>
      <c r="P158" s="47"/>
      <c r="Q158" s="47"/>
      <c r="R158" s="47"/>
      <c r="S158" s="47" t="s">
        <v>13292</v>
      </c>
      <c r="T158" s="47" t="s">
        <v>13295</v>
      </c>
      <c r="U158" s="47"/>
    </row>
    <row r="159" spans="1:21" x14ac:dyDescent="0.3">
      <c r="A159" s="46">
        <v>160</v>
      </c>
      <c r="B159" s="47" t="s">
        <v>13291</v>
      </c>
      <c r="C159" s="47" t="s">
        <v>13291</v>
      </c>
      <c r="D159" s="47" t="s">
        <v>13291</v>
      </c>
      <c r="E159" s="47" t="s">
        <v>13291</v>
      </c>
      <c r="F159" s="47" t="s">
        <v>13291</v>
      </c>
      <c r="G159" s="47" t="s">
        <v>13291</v>
      </c>
      <c r="H159" s="158">
        <v>1157</v>
      </c>
      <c r="I159" s="156" t="s">
        <v>5394</v>
      </c>
      <c r="J159" s="156" t="s">
        <v>12134</v>
      </c>
      <c r="K159" s="47"/>
      <c r="L159" s="47"/>
      <c r="M159" s="47"/>
      <c r="N159" s="156"/>
      <c r="O159" s="156" t="s">
        <v>157</v>
      </c>
      <c r="P159" s="47"/>
      <c r="Q159" s="47"/>
      <c r="R159" s="47"/>
      <c r="S159" s="47" t="s">
        <v>13292</v>
      </c>
      <c r="T159" s="47" t="s">
        <v>13295</v>
      </c>
      <c r="U159" s="47"/>
    </row>
    <row r="160" spans="1:21" x14ac:dyDescent="0.3">
      <c r="A160" s="46">
        <v>161</v>
      </c>
      <c r="B160" s="47" t="s">
        <v>13291</v>
      </c>
      <c r="C160" s="47" t="s">
        <v>13291</v>
      </c>
      <c r="D160" s="47" t="s">
        <v>13291</v>
      </c>
      <c r="E160" s="47" t="s">
        <v>13291</v>
      </c>
      <c r="F160" s="47" t="s">
        <v>13291</v>
      </c>
      <c r="G160" s="47" t="s">
        <v>13291</v>
      </c>
      <c r="H160" s="158">
        <v>1158</v>
      </c>
      <c r="I160" s="156" t="s">
        <v>5395</v>
      </c>
      <c r="J160" s="156" t="s">
        <v>11736</v>
      </c>
      <c r="K160" s="47"/>
      <c r="L160" s="47"/>
      <c r="M160" s="47"/>
      <c r="N160" s="156"/>
      <c r="O160" s="156" t="s">
        <v>157</v>
      </c>
      <c r="P160" s="47"/>
      <c r="Q160" s="47"/>
      <c r="R160" s="47"/>
      <c r="S160" s="47" t="s">
        <v>13292</v>
      </c>
      <c r="T160" s="47" t="s">
        <v>13295</v>
      </c>
      <c r="U160" s="47"/>
    </row>
    <row r="161" spans="1:21" x14ac:dyDescent="0.3">
      <c r="A161" s="46">
        <v>162</v>
      </c>
      <c r="B161" s="47" t="s">
        <v>13291</v>
      </c>
      <c r="C161" s="47" t="s">
        <v>13291</v>
      </c>
      <c r="D161" s="47" t="s">
        <v>13291</v>
      </c>
      <c r="E161" s="47" t="s">
        <v>13291</v>
      </c>
      <c r="F161" s="47" t="s">
        <v>13291</v>
      </c>
      <c r="G161" s="47" t="s">
        <v>13291</v>
      </c>
      <c r="H161" s="158">
        <v>1159</v>
      </c>
      <c r="I161" s="156" t="s">
        <v>5396</v>
      </c>
      <c r="J161" s="156" t="s">
        <v>11635</v>
      </c>
      <c r="K161" s="47"/>
      <c r="L161" s="47"/>
      <c r="M161" s="47"/>
      <c r="N161" s="156"/>
      <c r="O161" s="156" t="s">
        <v>157</v>
      </c>
      <c r="P161" s="47"/>
      <c r="Q161" s="47"/>
      <c r="R161" s="47"/>
      <c r="S161" s="47" t="s">
        <v>13292</v>
      </c>
      <c r="T161" s="47" t="s">
        <v>13295</v>
      </c>
      <c r="U161" s="47"/>
    </row>
    <row r="162" spans="1:21" x14ac:dyDescent="0.3">
      <c r="A162" s="46">
        <v>163</v>
      </c>
      <c r="B162" s="47" t="s">
        <v>13291</v>
      </c>
      <c r="C162" s="47" t="s">
        <v>13291</v>
      </c>
      <c r="D162" s="47" t="s">
        <v>13291</v>
      </c>
      <c r="E162" s="47" t="s">
        <v>13291</v>
      </c>
      <c r="F162" s="47" t="s">
        <v>13291</v>
      </c>
      <c r="G162" s="47" t="s">
        <v>13291</v>
      </c>
      <c r="H162" s="158">
        <v>1160</v>
      </c>
      <c r="I162" s="156" t="s">
        <v>5397</v>
      </c>
      <c r="J162" s="156" t="s">
        <v>12135</v>
      </c>
      <c r="K162" s="47"/>
      <c r="L162" s="47"/>
      <c r="M162" s="47"/>
      <c r="N162" s="156"/>
      <c r="O162" s="156" t="s">
        <v>157</v>
      </c>
      <c r="P162" s="47"/>
      <c r="Q162" s="47"/>
      <c r="R162" s="47"/>
      <c r="S162" s="47" t="s">
        <v>13292</v>
      </c>
      <c r="T162" s="47" t="s">
        <v>13295</v>
      </c>
      <c r="U162" s="47"/>
    </row>
    <row r="163" spans="1:21" x14ac:dyDescent="0.3">
      <c r="A163" s="46">
        <v>164</v>
      </c>
      <c r="B163" s="47" t="s">
        <v>13291</v>
      </c>
      <c r="C163" s="47" t="s">
        <v>13291</v>
      </c>
      <c r="D163" s="47" t="s">
        <v>13291</v>
      </c>
      <c r="E163" s="47" t="s">
        <v>13291</v>
      </c>
      <c r="F163" s="47" t="s">
        <v>13291</v>
      </c>
      <c r="G163" s="47" t="s">
        <v>13291</v>
      </c>
      <c r="H163" s="158">
        <v>1161</v>
      </c>
      <c r="I163" s="156" t="s">
        <v>5398</v>
      </c>
      <c r="J163" s="156" t="s">
        <v>11737</v>
      </c>
      <c r="K163" s="47"/>
      <c r="L163" s="47"/>
      <c r="M163" s="47"/>
      <c r="N163" s="156"/>
      <c r="O163" s="156" t="s">
        <v>157</v>
      </c>
      <c r="P163" s="47"/>
      <c r="Q163" s="47"/>
      <c r="R163" s="47"/>
      <c r="S163" s="47" t="s">
        <v>13292</v>
      </c>
      <c r="T163" s="47" t="s">
        <v>13295</v>
      </c>
      <c r="U163" s="47"/>
    </row>
    <row r="164" spans="1:21" x14ac:dyDescent="0.3">
      <c r="A164" s="46">
        <v>165</v>
      </c>
      <c r="B164" s="47" t="s">
        <v>13291</v>
      </c>
      <c r="C164" s="47" t="s">
        <v>13291</v>
      </c>
      <c r="D164" s="47" t="s">
        <v>13291</v>
      </c>
      <c r="E164" s="47" t="s">
        <v>13291</v>
      </c>
      <c r="F164" s="47" t="s">
        <v>13291</v>
      </c>
      <c r="G164" s="47" t="s">
        <v>13291</v>
      </c>
      <c r="H164" s="158">
        <v>1162</v>
      </c>
      <c r="I164" s="156" t="s">
        <v>5399</v>
      </c>
      <c r="J164" s="156" t="s">
        <v>11738</v>
      </c>
      <c r="K164" s="47"/>
      <c r="L164" s="47"/>
      <c r="M164" s="47"/>
      <c r="N164" s="156"/>
      <c r="O164" s="156" t="s">
        <v>157</v>
      </c>
      <c r="P164" s="47"/>
      <c r="Q164" s="47"/>
      <c r="R164" s="47"/>
      <c r="S164" s="47" t="s">
        <v>13292</v>
      </c>
      <c r="T164" s="47" t="s">
        <v>13295</v>
      </c>
      <c r="U164" s="47"/>
    </row>
    <row r="165" spans="1:21" x14ac:dyDescent="0.3">
      <c r="A165" s="46">
        <v>166</v>
      </c>
      <c r="B165" s="47" t="s">
        <v>13291</v>
      </c>
      <c r="C165" s="47" t="s">
        <v>13291</v>
      </c>
      <c r="D165" s="47" t="s">
        <v>13291</v>
      </c>
      <c r="E165" s="47" t="s">
        <v>13291</v>
      </c>
      <c r="F165" s="47" t="s">
        <v>13291</v>
      </c>
      <c r="G165" s="47" t="s">
        <v>13291</v>
      </c>
      <c r="H165" s="158">
        <v>1163</v>
      </c>
      <c r="I165" s="156" t="s">
        <v>5400</v>
      </c>
      <c r="J165" s="156" t="s">
        <v>12136</v>
      </c>
      <c r="K165" s="47"/>
      <c r="L165" s="47"/>
      <c r="M165" s="47"/>
      <c r="N165" s="156"/>
      <c r="O165" s="156" t="s">
        <v>157</v>
      </c>
      <c r="P165" s="47"/>
      <c r="Q165" s="47"/>
      <c r="R165" s="47"/>
      <c r="S165" s="47" t="s">
        <v>13292</v>
      </c>
      <c r="T165" s="47" t="s">
        <v>13295</v>
      </c>
      <c r="U165" s="47"/>
    </row>
    <row r="166" spans="1:21" x14ac:dyDescent="0.3">
      <c r="A166" s="46">
        <v>167</v>
      </c>
      <c r="B166" s="47" t="s">
        <v>13291</v>
      </c>
      <c r="C166" s="47" t="s">
        <v>13291</v>
      </c>
      <c r="D166" s="47" t="s">
        <v>13291</v>
      </c>
      <c r="E166" s="47" t="s">
        <v>13291</v>
      </c>
      <c r="F166" s="47" t="s">
        <v>13291</v>
      </c>
      <c r="G166" s="47" t="s">
        <v>13291</v>
      </c>
      <c r="H166" s="158">
        <v>1164</v>
      </c>
      <c r="I166" s="156" t="s">
        <v>5401</v>
      </c>
      <c r="J166" s="156" t="s">
        <v>11739</v>
      </c>
      <c r="K166" s="47"/>
      <c r="L166" s="47"/>
      <c r="M166" s="47"/>
      <c r="N166" s="156"/>
      <c r="O166" s="156" t="s">
        <v>157</v>
      </c>
      <c r="P166" s="47"/>
      <c r="Q166" s="47"/>
      <c r="R166" s="47"/>
      <c r="S166" s="47" t="s">
        <v>13292</v>
      </c>
      <c r="T166" s="47" t="s">
        <v>13295</v>
      </c>
      <c r="U166" s="47"/>
    </row>
    <row r="167" spans="1:21" x14ac:dyDescent="0.3">
      <c r="A167" s="46">
        <v>168</v>
      </c>
      <c r="B167" s="47" t="s">
        <v>13291</v>
      </c>
      <c r="C167" s="47" t="s">
        <v>13291</v>
      </c>
      <c r="D167" s="47" t="s">
        <v>13291</v>
      </c>
      <c r="E167" s="47" t="s">
        <v>13291</v>
      </c>
      <c r="F167" s="47" t="s">
        <v>13291</v>
      </c>
      <c r="G167" s="47" t="s">
        <v>13291</v>
      </c>
      <c r="H167" s="158">
        <v>1165</v>
      </c>
      <c r="I167" s="156" t="s">
        <v>5402</v>
      </c>
      <c r="J167" s="156" t="s">
        <v>11636</v>
      </c>
      <c r="K167" s="47"/>
      <c r="L167" s="47"/>
      <c r="M167" s="47"/>
      <c r="N167" s="156"/>
      <c r="O167" s="156" t="s">
        <v>157</v>
      </c>
      <c r="P167" s="47"/>
      <c r="Q167" s="47"/>
      <c r="R167" s="47"/>
      <c r="S167" s="47" t="s">
        <v>13292</v>
      </c>
      <c r="T167" s="47" t="s">
        <v>13295</v>
      </c>
      <c r="U167" s="47"/>
    </row>
    <row r="168" spans="1:21" x14ac:dyDescent="0.3">
      <c r="A168" s="46">
        <v>169</v>
      </c>
      <c r="B168" s="47" t="s">
        <v>13291</v>
      </c>
      <c r="C168" s="47" t="s">
        <v>13291</v>
      </c>
      <c r="D168" s="47" t="s">
        <v>13291</v>
      </c>
      <c r="E168" s="47" t="s">
        <v>13291</v>
      </c>
      <c r="F168" s="47" t="s">
        <v>13291</v>
      </c>
      <c r="G168" s="47" t="s">
        <v>13291</v>
      </c>
      <c r="H168" s="158">
        <v>1166</v>
      </c>
      <c r="I168" s="156" t="s">
        <v>5403</v>
      </c>
      <c r="J168" s="156" t="s">
        <v>11480</v>
      </c>
      <c r="K168" s="47"/>
      <c r="L168" s="47"/>
      <c r="M168" s="47"/>
      <c r="N168" s="156"/>
      <c r="O168" s="156" t="s">
        <v>157</v>
      </c>
      <c r="P168" s="47"/>
      <c r="Q168" s="47"/>
      <c r="R168" s="47"/>
      <c r="S168" s="47" t="s">
        <v>13292</v>
      </c>
      <c r="T168" s="47" t="s">
        <v>13295</v>
      </c>
      <c r="U168" s="47"/>
    </row>
    <row r="169" spans="1:21" x14ac:dyDescent="0.3">
      <c r="A169" s="46">
        <v>170</v>
      </c>
      <c r="B169" s="47" t="s">
        <v>13291</v>
      </c>
      <c r="C169" s="47" t="s">
        <v>13291</v>
      </c>
      <c r="D169" s="47" t="s">
        <v>13291</v>
      </c>
      <c r="E169" s="47" t="s">
        <v>13291</v>
      </c>
      <c r="F169" s="47" t="s">
        <v>13291</v>
      </c>
      <c r="G169" s="47" t="s">
        <v>13291</v>
      </c>
      <c r="H169" s="158">
        <v>1167</v>
      </c>
      <c r="I169" s="156" t="s">
        <v>11141</v>
      </c>
      <c r="J169" s="156" t="s">
        <v>12053</v>
      </c>
      <c r="K169" s="47"/>
      <c r="L169" s="47"/>
      <c r="M169" s="47"/>
      <c r="N169" s="156"/>
      <c r="O169" s="156" t="s">
        <v>157</v>
      </c>
      <c r="P169" s="47"/>
      <c r="Q169" s="47"/>
      <c r="R169" s="47"/>
      <c r="S169" s="47" t="s">
        <v>13292</v>
      </c>
      <c r="T169" s="47" t="s">
        <v>13295</v>
      </c>
      <c r="U169" s="47"/>
    </row>
    <row r="170" spans="1:21" x14ac:dyDescent="0.3">
      <c r="A170" s="46">
        <v>171</v>
      </c>
      <c r="B170" s="47" t="s">
        <v>13291</v>
      </c>
      <c r="C170" s="47" t="s">
        <v>13291</v>
      </c>
      <c r="D170" s="47" t="s">
        <v>13291</v>
      </c>
      <c r="E170" s="47" t="s">
        <v>13291</v>
      </c>
      <c r="F170" s="47" t="s">
        <v>13291</v>
      </c>
      <c r="G170" s="47" t="s">
        <v>13291</v>
      </c>
      <c r="H170" s="158">
        <v>1168</v>
      </c>
      <c r="I170" s="156" t="s">
        <v>5404</v>
      </c>
      <c r="J170" s="156" t="s">
        <v>11740</v>
      </c>
      <c r="K170" s="47"/>
      <c r="L170" s="47"/>
      <c r="M170" s="47"/>
      <c r="N170" s="156"/>
      <c r="O170" s="156" t="s">
        <v>157</v>
      </c>
      <c r="P170" s="47"/>
      <c r="Q170" s="47"/>
      <c r="R170" s="47"/>
      <c r="S170" s="47" t="s">
        <v>13292</v>
      </c>
      <c r="T170" s="47" t="s">
        <v>13295</v>
      </c>
      <c r="U170" s="47"/>
    </row>
    <row r="171" spans="1:21" x14ac:dyDescent="0.3">
      <c r="A171" s="46">
        <v>172</v>
      </c>
      <c r="B171" s="47" t="s">
        <v>13291</v>
      </c>
      <c r="C171" s="47" t="s">
        <v>13291</v>
      </c>
      <c r="D171" s="47" t="s">
        <v>13291</v>
      </c>
      <c r="E171" s="47" t="s">
        <v>13291</v>
      </c>
      <c r="F171" s="47" t="s">
        <v>13291</v>
      </c>
      <c r="G171" s="47" t="s">
        <v>13291</v>
      </c>
      <c r="H171" s="158">
        <v>1169</v>
      </c>
      <c r="I171" s="156" t="s">
        <v>11142</v>
      </c>
      <c r="J171" s="156" t="s">
        <v>12054</v>
      </c>
      <c r="K171" s="47"/>
      <c r="L171" s="47"/>
      <c r="M171" s="47"/>
      <c r="N171" s="156"/>
      <c r="O171" s="156" t="s">
        <v>157</v>
      </c>
      <c r="P171" s="47"/>
      <c r="Q171" s="47"/>
      <c r="R171" s="47"/>
      <c r="S171" s="47" t="s">
        <v>13292</v>
      </c>
      <c r="T171" s="47" t="s">
        <v>13295</v>
      </c>
      <c r="U171" s="47"/>
    </row>
    <row r="172" spans="1:21" x14ac:dyDescent="0.3">
      <c r="A172" s="46">
        <v>173</v>
      </c>
      <c r="B172" s="47" t="s">
        <v>13291</v>
      </c>
      <c r="C172" s="47" t="s">
        <v>13291</v>
      </c>
      <c r="D172" s="47" t="s">
        <v>13291</v>
      </c>
      <c r="E172" s="47" t="s">
        <v>13291</v>
      </c>
      <c r="F172" s="47" t="s">
        <v>13291</v>
      </c>
      <c r="G172" s="47" t="s">
        <v>13291</v>
      </c>
      <c r="H172" s="158">
        <v>1170</v>
      </c>
      <c r="I172" s="156" t="s">
        <v>5405</v>
      </c>
      <c r="J172" s="156" t="s">
        <v>12055</v>
      </c>
      <c r="K172" s="47"/>
      <c r="L172" s="47"/>
      <c r="M172" s="47"/>
      <c r="N172" s="156"/>
      <c r="O172" s="156" t="s">
        <v>157</v>
      </c>
      <c r="P172" s="47"/>
      <c r="Q172" s="47"/>
      <c r="R172" s="47"/>
      <c r="S172" s="47" t="s">
        <v>13292</v>
      </c>
      <c r="T172" s="47" t="s">
        <v>13295</v>
      </c>
      <c r="U172" s="47"/>
    </row>
    <row r="173" spans="1:21" x14ac:dyDescent="0.3">
      <c r="A173" s="46">
        <v>174</v>
      </c>
      <c r="B173" s="47" t="s">
        <v>13291</v>
      </c>
      <c r="C173" s="47" t="s">
        <v>13291</v>
      </c>
      <c r="D173" s="47" t="s">
        <v>13291</v>
      </c>
      <c r="E173" s="47" t="s">
        <v>13291</v>
      </c>
      <c r="F173" s="47" t="s">
        <v>13291</v>
      </c>
      <c r="G173" s="47" t="s">
        <v>13291</v>
      </c>
      <c r="H173" s="158">
        <v>1171</v>
      </c>
      <c r="I173" s="156" t="s">
        <v>11178</v>
      </c>
      <c r="J173" s="156" t="s">
        <v>12137</v>
      </c>
      <c r="K173" s="47"/>
      <c r="L173" s="47"/>
      <c r="M173" s="47"/>
      <c r="N173" s="156"/>
      <c r="O173" s="156" t="s">
        <v>157</v>
      </c>
      <c r="P173" s="47"/>
      <c r="Q173" s="47"/>
      <c r="R173" s="47"/>
      <c r="S173" s="47" t="s">
        <v>13292</v>
      </c>
      <c r="T173" s="47" t="s">
        <v>13295</v>
      </c>
      <c r="U173" s="47"/>
    </row>
    <row r="174" spans="1:21" x14ac:dyDescent="0.3">
      <c r="A174" s="46">
        <v>175</v>
      </c>
      <c r="B174" s="47" t="s">
        <v>13291</v>
      </c>
      <c r="C174" s="47" t="s">
        <v>13291</v>
      </c>
      <c r="D174" s="47" t="s">
        <v>13291</v>
      </c>
      <c r="E174" s="47" t="s">
        <v>13291</v>
      </c>
      <c r="F174" s="47" t="s">
        <v>13291</v>
      </c>
      <c r="G174" s="47" t="s">
        <v>13291</v>
      </c>
      <c r="H174" s="158">
        <v>1172</v>
      </c>
      <c r="I174" s="156" t="s">
        <v>5406</v>
      </c>
      <c r="J174" s="156" t="s">
        <v>12138</v>
      </c>
      <c r="K174" s="47"/>
      <c r="L174" s="47"/>
      <c r="M174" s="47"/>
      <c r="N174" s="156"/>
      <c r="O174" s="156" t="s">
        <v>157</v>
      </c>
      <c r="P174" s="47"/>
      <c r="Q174" s="47"/>
      <c r="R174" s="47"/>
      <c r="S174" s="47" t="s">
        <v>13292</v>
      </c>
      <c r="T174" s="47" t="s">
        <v>13295</v>
      </c>
      <c r="U174" s="47"/>
    </row>
    <row r="175" spans="1:21" x14ac:dyDescent="0.3">
      <c r="A175" s="46">
        <v>176</v>
      </c>
      <c r="B175" s="47" t="s">
        <v>13291</v>
      </c>
      <c r="C175" s="47" t="s">
        <v>13291</v>
      </c>
      <c r="D175" s="47" t="s">
        <v>13291</v>
      </c>
      <c r="E175" s="47" t="s">
        <v>13291</v>
      </c>
      <c r="F175" s="47" t="s">
        <v>13291</v>
      </c>
      <c r="G175" s="47" t="s">
        <v>13291</v>
      </c>
      <c r="H175" s="158">
        <v>1173</v>
      </c>
      <c r="I175" s="156" t="s">
        <v>5407</v>
      </c>
      <c r="J175" s="156" t="s">
        <v>12056</v>
      </c>
      <c r="K175" s="47"/>
      <c r="L175" s="47"/>
      <c r="M175" s="47"/>
      <c r="N175" s="156"/>
      <c r="O175" s="156" t="s">
        <v>157</v>
      </c>
      <c r="P175" s="47"/>
      <c r="Q175" s="47"/>
      <c r="R175" s="47"/>
      <c r="S175" s="47" t="s">
        <v>13292</v>
      </c>
      <c r="T175" s="47" t="s">
        <v>13295</v>
      </c>
      <c r="U175" s="47"/>
    </row>
    <row r="176" spans="1:21" x14ac:dyDescent="0.3">
      <c r="A176" s="46">
        <v>177</v>
      </c>
      <c r="B176" s="47" t="s">
        <v>13291</v>
      </c>
      <c r="C176" s="47" t="s">
        <v>13291</v>
      </c>
      <c r="D176" s="47" t="s">
        <v>13291</v>
      </c>
      <c r="E176" s="47" t="s">
        <v>13291</v>
      </c>
      <c r="F176" s="47" t="s">
        <v>13291</v>
      </c>
      <c r="G176" s="47" t="s">
        <v>13291</v>
      </c>
      <c r="H176" s="158">
        <v>1174</v>
      </c>
      <c r="I176" s="156" t="s">
        <v>5408</v>
      </c>
      <c r="J176" s="156" t="s">
        <v>11552</v>
      </c>
      <c r="K176" s="47"/>
      <c r="L176" s="47"/>
      <c r="M176" s="47"/>
      <c r="N176" s="156"/>
      <c r="O176" s="156" t="s">
        <v>157</v>
      </c>
      <c r="P176" s="47"/>
      <c r="Q176" s="47"/>
      <c r="R176" s="47"/>
      <c r="S176" s="47" t="s">
        <v>13292</v>
      </c>
      <c r="T176" s="47" t="s">
        <v>13295</v>
      </c>
      <c r="U176" s="47"/>
    </row>
    <row r="177" spans="1:21" x14ac:dyDescent="0.3">
      <c r="A177" s="46">
        <v>178</v>
      </c>
      <c r="B177" s="47" t="s">
        <v>13291</v>
      </c>
      <c r="C177" s="47" t="s">
        <v>13291</v>
      </c>
      <c r="D177" s="47" t="s">
        <v>13291</v>
      </c>
      <c r="E177" s="47" t="s">
        <v>13291</v>
      </c>
      <c r="F177" s="47" t="s">
        <v>13291</v>
      </c>
      <c r="G177" s="47" t="s">
        <v>13291</v>
      </c>
      <c r="H177" s="158">
        <v>1175</v>
      </c>
      <c r="I177" s="156" t="s">
        <v>10990</v>
      </c>
      <c r="J177" s="156" t="s">
        <v>11741</v>
      </c>
      <c r="K177" s="47"/>
      <c r="L177" s="47"/>
      <c r="M177" s="47"/>
      <c r="N177" s="156"/>
      <c r="O177" s="156" t="s">
        <v>157</v>
      </c>
      <c r="P177" s="47"/>
      <c r="Q177" s="47"/>
      <c r="R177" s="47"/>
      <c r="S177" s="47" t="s">
        <v>13292</v>
      </c>
      <c r="T177" s="47" t="s">
        <v>13295</v>
      </c>
      <c r="U177" s="47"/>
    </row>
    <row r="178" spans="1:21" x14ac:dyDescent="0.3">
      <c r="A178" s="46">
        <v>179</v>
      </c>
      <c r="B178" s="47" t="s">
        <v>13291</v>
      </c>
      <c r="C178" s="47" t="s">
        <v>13291</v>
      </c>
      <c r="D178" s="47" t="s">
        <v>13291</v>
      </c>
      <c r="E178" s="47" t="s">
        <v>13291</v>
      </c>
      <c r="F178" s="47" t="s">
        <v>13291</v>
      </c>
      <c r="G178" s="47" t="s">
        <v>13291</v>
      </c>
      <c r="H178" s="158">
        <v>1176</v>
      </c>
      <c r="I178" s="156" t="s">
        <v>5409</v>
      </c>
      <c r="J178" s="156" t="s">
        <v>11742</v>
      </c>
      <c r="K178" s="47"/>
      <c r="L178" s="47"/>
      <c r="M178" s="47"/>
      <c r="N178" s="156"/>
      <c r="O178" s="156" t="s">
        <v>157</v>
      </c>
      <c r="P178" s="47"/>
      <c r="Q178" s="47"/>
      <c r="R178" s="47"/>
      <c r="S178" s="47" t="s">
        <v>13292</v>
      </c>
      <c r="T178" s="47" t="s">
        <v>13295</v>
      </c>
      <c r="U178" s="47"/>
    </row>
    <row r="179" spans="1:21" x14ac:dyDescent="0.3">
      <c r="A179" s="46">
        <v>180</v>
      </c>
      <c r="B179" s="47" t="s">
        <v>13291</v>
      </c>
      <c r="C179" s="47" t="s">
        <v>13291</v>
      </c>
      <c r="D179" s="47" t="s">
        <v>13291</v>
      </c>
      <c r="E179" s="47" t="s">
        <v>13291</v>
      </c>
      <c r="F179" s="47" t="s">
        <v>13291</v>
      </c>
      <c r="G179" s="47" t="s">
        <v>13291</v>
      </c>
      <c r="H179" s="158">
        <v>1177</v>
      </c>
      <c r="I179" s="156" t="s">
        <v>5410</v>
      </c>
      <c r="J179" s="156" t="s">
        <v>12020</v>
      </c>
      <c r="K179" s="47"/>
      <c r="L179" s="47"/>
      <c r="M179" s="47"/>
      <c r="N179" s="156"/>
      <c r="O179" s="156" t="s">
        <v>157</v>
      </c>
      <c r="P179" s="47"/>
      <c r="Q179" s="47"/>
      <c r="R179" s="47"/>
      <c r="S179" s="47" t="s">
        <v>13292</v>
      </c>
      <c r="T179" s="47" t="s">
        <v>13295</v>
      </c>
      <c r="U179" s="47"/>
    </row>
    <row r="180" spans="1:21" x14ac:dyDescent="0.3">
      <c r="A180" s="46">
        <v>181</v>
      </c>
      <c r="B180" s="47" t="s">
        <v>13291</v>
      </c>
      <c r="C180" s="47" t="s">
        <v>13291</v>
      </c>
      <c r="D180" s="47" t="s">
        <v>13291</v>
      </c>
      <c r="E180" s="47" t="s">
        <v>13291</v>
      </c>
      <c r="F180" s="47" t="s">
        <v>13291</v>
      </c>
      <c r="G180" s="47" t="s">
        <v>13291</v>
      </c>
      <c r="H180" s="158">
        <v>1178</v>
      </c>
      <c r="I180" s="156" t="s">
        <v>5411</v>
      </c>
      <c r="J180" s="156" t="s">
        <v>11503</v>
      </c>
      <c r="K180" s="47"/>
      <c r="L180" s="47"/>
      <c r="M180" s="47"/>
      <c r="N180" s="156"/>
      <c r="O180" s="156" t="s">
        <v>157</v>
      </c>
      <c r="P180" s="47"/>
      <c r="Q180" s="47"/>
      <c r="R180" s="47"/>
      <c r="S180" s="47" t="s">
        <v>13292</v>
      </c>
      <c r="T180" s="47" t="s">
        <v>13295</v>
      </c>
      <c r="U180" s="47"/>
    </row>
    <row r="181" spans="1:21" x14ac:dyDescent="0.3">
      <c r="A181" s="46">
        <v>182</v>
      </c>
      <c r="B181" s="47" t="s">
        <v>13291</v>
      </c>
      <c r="C181" s="47" t="s">
        <v>13291</v>
      </c>
      <c r="D181" s="47" t="s">
        <v>13291</v>
      </c>
      <c r="E181" s="47" t="s">
        <v>13291</v>
      </c>
      <c r="F181" s="47" t="s">
        <v>13291</v>
      </c>
      <c r="G181" s="47" t="s">
        <v>13291</v>
      </c>
      <c r="H181" s="158">
        <v>1179</v>
      </c>
      <c r="I181" s="156" t="s">
        <v>5412</v>
      </c>
      <c r="J181" s="156" t="s">
        <v>12021</v>
      </c>
      <c r="K181" s="47"/>
      <c r="L181" s="47"/>
      <c r="M181" s="47"/>
      <c r="N181" s="156"/>
      <c r="O181" s="156" t="s">
        <v>157</v>
      </c>
      <c r="P181" s="47"/>
      <c r="Q181" s="47"/>
      <c r="R181" s="47"/>
      <c r="S181" s="47" t="s">
        <v>13292</v>
      </c>
      <c r="T181" s="47" t="s">
        <v>13295</v>
      </c>
      <c r="U181" s="47"/>
    </row>
    <row r="182" spans="1:21" x14ac:dyDescent="0.3">
      <c r="A182" s="46">
        <v>183</v>
      </c>
      <c r="B182" s="47" t="s">
        <v>13291</v>
      </c>
      <c r="C182" s="47" t="s">
        <v>13291</v>
      </c>
      <c r="D182" s="47" t="s">
        <v>13291</v>
      </c>
      <c r="E182" s="47" t="s">
        <v>13291</v>
      </c>
      <c r="F182" s="47" t="s">
        <v>13291</v>
      </c>
      <c r="G182" s="47" t="s">
        <v>13291</v>
      </c>
      <c r="H182" s="158">
        <v>1180</v>
      </c>
      <c r="I182" s="156" t="s">
        <v>10918</v>
      </c>
      <c r="J182" s="156" t="s">
        <v>11504</v>
      </c>
      <c r="K182" s="47"/>
      <c r="L182" s="47"/>
      <c r="M182" s="47"/>
      <c r="N182" s="156"/>
      <c r="O182" s="156" t="s">
        <v>157</v>
      </c>
      <c r="P182" s="47"/>
      <c r="Q182" s="47"/>
      <c r="R182" s="47"/>
      <c r="S182" s="47" t="s">
        <v>13292</v>
      </c>
      <c r="T182" s="47" t="s">
        <v>13295</v>
      </c>
      <c r="U182" s="47"/>
    </row>
    <row r="183" spans="1:21" x14ac:dyDescent="0.3">
      <c r="A183" s="46">
        <v>184</v>
      </c>
      <c r="B183" s="47" t="s">
        <v>13291</v>
      </c>
      <c r="C183" s="47" t="s">
        <v>13291</v>
      </c>
      <c r="D183" s="47" t="s">
        <v>13291</v>
      </c>
      <c r="E183" s="47" t="s">
        <v>13291</v>
      </c>
      <c r="F183" s="47" t="s">
        <v>13291</v>
      </c>
      <c r="G183" s="47" t="s">
        <v>13291</v>
      </c>
      <c r="H183" s="158">
        <v>1181</v>
      </c>
      <c r="I183" s="156" t="s">
        <v>5413</v>
      </c>
      <c r="J183" s="156" t="s">
        <v>11481</v>
      </c>
      <c r="K183" s="47"/>
      <c r="L183" s="47"/>
      <c r="M183" s="47"/>
      <c r="N183" s="156"/>
      <c r="O183" s="156" t="s">
        <v>157</v>
      </c>
      <c r="P183" s="47"/>
      <c r="Q183" s="47"/>
      <c r="R183" s="47"/>
      <c r="S183" s="47" t="s">
        <v>13292</v>
      </c>
      <c r="T183" s="47" t="s">
        <v>13295</v>
      </c>
      <c r="U183" s="47"/>
    </row>
    <row r="184" spans="1:21" x14ac:dyDescent="0.3">
      <c r="A184" s="46">
        <v>185</v>
      </c>
      <c r="B184" s="47" t="s">
        <v>13291</v>
      </c>
      <c r="C184" s="47" t="s">
        <v>13291</v>
      </c>
      <c r="D184" s="47" t="s">
        <v>13291</v>
      </c>
      <c r="E184" s="47" t="s">
        <v>13291</v>
      </c>
      <c r="F184" s="47" t="s">
        <v>13291</v>
      </c>
      <c r="G184" s="47" t="s">
        <v>13291</v>
      </c>
      <c r="H184" s="158">
        <v>1182</v>
      </c>
      <c r="I184" s="156" t="s">
        <v>5414</v>
      </c>
      <c r="J184" s="156" t="s">
        <v>12057</v>
      </c>
      <c r="K184" s="47"/>
      <c r="L184" s="47"/>
      <c r="M184" s="47"/>
      <c r="N184" s="156"/>
      <c r="O184" s="156" t="s">
        <v>157</v>
      </c>
      <c r="P184" s="47"/>
      <c r="Q184" s="47"/>
      <c r="R184" s="47"/>
      <c r="S184" s="47" t="s">
        <v>13292</v>
      </c>
      <c r="T184" s="47" t="s">
        <v>13295</v>
      </c>
      <c r="U184" s="47"/>
    </row>
    <row r="185" spans="1:21" x14ac:dyDescent="0.3">
      <c r="A185" s="46">
        <v>186</v>
      </c>
      <c r="B185" s="47" t="s">
        <v>13291</v>
      </c>
      <c r="C185" s="47" t="s">
        <v>13291</v>
      </c>
      <c r="D185" s="47" t="s">
        <v>13291</v>
      </c>
      <c r="E185" s="47" t="s">
        <v>13291</v>
      </c>
      <c r="F185" s="47" t="s">
        <v>13291</v>
      </c>
      <c r="G185" s="47" t="s">
        <v>13291</v>
      </c>
      <c r="H185" s="158">
        <v>1183</v>
      </c>
      <c r="I185" s="156" t="s">
        <v>5415</v>
      </c>
      <c r="J185" s="156" t="s">
        <v>12058</v>
      </c>
      <c r="K185" s="47"/>
      <c r="L185" s="47"/>
      <c r="M185" s="47"/>
      <c r="N185" s="156"/>
      <c r="O185" s="156" t="s">
        <v>157</v>
      </c>
      <c r="P185" s="47"/>
      <c r="Q185" s="47"/>
      <c r="R185" s="47"/>
      <c r="S185" s="47" t="s">
        <v>13292</v>
      </c>
      <c r="T185" s="47" t="s">
        <v>13295</v>
      </c>
      <c r="U185" s="47"/>
    </row>
    <row r="186" spans="1:21" x14ac:dyDescent="0.3">
      <c r="A186" s="46">
        <v>187</v>
      </c>
      <c r="B186" s="47" t="s">
        <v>13291</v>
      </c>
      <c r="C186" s="47" t="s">
        <v>13291</v>
      </c>
      <c r="D186" s="47" t="s">
        <v>13291</v>
      </c>
      <c r="E186" s="47" t="s">
        <v>13291</v>
      </c>
      <c r="F186" s="47" t="s">
        <v>13291</v>
      </c>
      <c r="G186" s="47" t="s">
        <v>13291</v>
      </c>
      <c r="H186" s="158">
        <v>1184</v>
      </c>
      <c r="I186" s="156" t="s">
        <v>5416</v>
      </c>
      <c r="J186" s="156" t="s">
        <v>12059</v>
      </c>
      <c r="K186" s="47"/>
      <c r="L186" s="47"/>
      <c r="M186" s="47"/>
      <c r="N186" s="156"/>
      <c r="O186" s="156" t="s">
        <v>157</v>
      </c>
      <c r="P186" s="47"/>
      <c r="Q186" s="47"/>
      <c r="R186" s="47"/>
      <c r="S186" s="47" t="s">
        <v>13292</v>
      </c>
      <c r="T186" s="47" t="s">
        <v>13295</v>
      </c>
      <c r="U186" s="47"/>
    </row>
    <row r="187" spans="1:21" x14ac:dyDescent="0.3">
      <c r="A187" s="46">
        <v>188</v>
      </c>
      <c r="B187" s="47" t="s">
        <v>13291</v>
      </c>
      <c r="C187" s="47" t="s">
        <v>13291</v>
      </c>
      <c r="D187" s="47" t="s">
        <v>13291</v>
      </c>
      <c r="E187" s="47" t="s">
        <v>13291</v>
      </c>
      <c r="F187" s="47" t="s">
        <v>13291</v>
      </c>
      <c r="G187" s="47" t="s">
        <v>13291</v>
      </c>
      <c r="H187" s="158">
        <v>1185</v>
      </c>
      <c r="I187" s="156" t="s">
        <v>5417</v>
      </c>
      <c r="J187" s="156" t="s">
        <v>12060</v>
      </c>
      <c r="K187" s="47"/>
      <c r="L187" s="47"/>
      <c r="M187" s="47"/>
      <c r="N187" s="156"/>
      <c r="O187" s="156" t="s">
        <v>157</v>
      </c>
      <c r="P187" s="47"/>
      <c r="Q187" s="47"/>
      <c r="R187" s="47"/>
      <c r="S187" s="47" t="s">
        <v>13292</v>
      </c>
      <c r="T187" s="47" t="s">
        <v>13295</v>
      </c>
      <c r="U187" s="47"/>
    </row>
    <row r="188" spans="1:21" x14ac:dyDescent="0.3">
      <c r="A188" s="46">
        <v>189</v>
      </c>
      <c r="B188" s="47" t="s">
        <v>13291</v>
      </c>
      <c r="C188" s="47" t="s">
        <v>13291</v>
      </c>
      <c r="D188" s="47" t="s">
        <v>13291</v>
      </c>
      <c r="E188" s="47" t="s">
        <v>13291</v>
      </c>
      <c r="F188" s="47" t="s">
        <v>13291</v>
      </c>
      <c r="G188" s="47" t="s">
        <v>13291</v>
      </c>
      <c r="H188" s="158">
        <v>1186</v>
      </c>
      <c r="I188" s="156" t="s">
        <v>11143</v>
      </c>
      <c r="J188" s="156" t="s">
        <v>12061</v>
      </c>
      <c r="K188" s="47"/>
      <c r="L188" s="47"/>
      <c r="M188" s="47"/>
      <c r="N188" s="156"/>
      <c r="O188" s="156" t="s">
        <v>157</v>
      </c>
      <c r="P188" s="47"/>
      <c r="Q188" s="47"/>
      <c r="R188" s="47"/>
      <c r="S188" s="47" t="s">
        <v>13292</v>
      </c>
      <c r="T188" s="47" t="s">
        <v>13295</v>
      </c>
      <c r="U188" s="47"/>
    </row>
    <row r="189" spans="1:21" x14ac:dyDescent="0.3">
      <c r="A189" s="46">
        <v>190</v>
      </c>
      <c r="B189" s="47" t="s">
        <v>13291</v>
      </c>
      <c r="C189" s="47" t="s">
        <v>13291</v>
      </c>
      <c r="D189" s="47" t="s">
        <v>13291</v>
      </c>
      <c r="E189" s="47" t="s">
        <v>13291</v>
      </c>
      <c r="F189" s="47" t="s">
        <v>13291</v>
      </c>
      <c r="G189" s="47" t="s">
        <v>13291</v>
      </c>
      <c r="H189" s="158">
        <v>1187</v>
      </c>
      <c r="I189" s="156" t="s">
        <v>5418</v>
      </c>
      <c r="J189" s="156" t="s">
        <v>11743</v>
      </c>
      <c r="K189" s="47"/>
      <c r="L189" s="47"/>
      <c r="M189" s="47"/>
      <c r="N189" s="156"/>
      <c r="O189" s="156" t="s">
        <v>157</v>
      </c>
      <c r="P189" s="47"/>
      <c r="Q189" s="47"/>
      <c r="R189" s="47"/>
      <c r="S189" s="47" t="s">
        <v>13292</v>
      </c>
      <c r="T189" s="47" t="s">
        <v>13295</v>
      </c>
      <c r="U189" s="47"/>
    </row>
    <row r="190" spans="1:21" x14ac:dyDescent="0.3">
      <c r="A190" s="46">
        <v>191</v>
      </c>
      <c r="B190" s="47" t="s">
        <v>13291</v>
      </c>
      <c r="C190" s="47" t="s">
        <v>13291</v>
      </c>
      <c r="D190" s="47" t="s">
        <v>13291</v>
      </c>
      <c r="E190" s="47" t="s">
        <v>13291</v>
      </c>
      <c r="F190" s="47" t="s">
        <v>13291</v>
      </c>
      <c r="G190" s="47" t="s">
        <v>13291</v>
      </c>
      <c r="H190" s="158">
        <v>1188</v>
      </c>
      <c r="I190" s="156" t="s">
        <v>10991</v>
      </c>
      <c r="J190" s="156" t="s">
        <v>11744</v>
      </c>
      <c r="K190" s="47"/>
      <c r="L190" s="47"/>
      <c r="M190" s="47"/>
      <c r="N190" s="156"/>
      <c r="O190" s="156" t="s">
        <v>157</v>
      </c>
      <c r="P190" s="47"/>
      <c r="Q190" s="47"/>
      <c r="R190" s="47"/>
      <c r="S190" s="47" t="s">
        <v>13292</v>
      </c>
      <c r="T190" s="47" t="s">
        <v>13295</v>
      </c>
      <c r="U190" s="47"/>
    </row>
    <row r="191" spans="1:21" x14ac:dyDescent="0.3">
      <c r="A191" s="46">
        <v>192</v>
      </c>
      <c r="B191" s="47" t="s">
        <v>13291</v>
      </c>
      <c r="C191" s="47" t="s">
        <v>13291</v>
      </c>
      <c r="D191" s="47" t="s">
        <v>13291</v>
      </c>
      <c r="E191" s="47" t="s">
        <v>13291</v>
      </c>
      <c r="F191" s="47" t="s">
        <v>13291</v>
      </c>
      <c r="G191" s="47" t="s">
        <v>13291</v>
      </c>
      <c r="H191" s="158">
        <v>1189</v>
      </c>
      <c r="I191" s="156" t="s">
        <v>5419</v>
      </c>
      <c r="J191" s="156" t="s">
        <v>11637</v>
      </c>
      <c r="K191" s="47"/>
      <c r="L191" s="47"/>
      <c r="M191" s="47"/>
      <c r="N191" s="156"/>
      <c r="O191" s="156" t="s">
        <v>157</v>
      </c>
      <c r="P191" s="47"/>
      <c r="Q191" s="47"/>
      <c r="R191" s="47"/>
      <c r="S191" s="47" t="s">
        <v>13292</v>
      </c>
      <c r="T191" s="47" t="s">
        <v>13295</v>
      </c>
      <c r="U191" s="47"/>
    </row>
    <row r="192" spans="1:21" x14ac:dyDescent="0.3">
      <c r="A192" s="46">
        <v>193</v>
      </c>
      <c r="B192" s="47" t="s">
        <v>13291</v>
      </c>
      <c r="C192" s="47" t="s">
        <v>13291</v>
      </c>
      <c r="D192" s="47" t="s">
        <v>13291</v>
      </c>
      <c r="E192" s="47" t="s">
        <v>13291</v>
      </c>
      <c r="F192" s="47" t="s">
        <v>13291</v>
      </c>
      <c r="G192" s="47" t="s">
        <v>13291</v>
      </c>
      <c r="H192" s="158">
        <v>1190</v>
      </c>
      <c r="I192" s="156" t="s">
        <v>5420</v>
      </c>
      <c r="J192" s="156" t="s">
        <v>11745</v>
      </c>
      <c r="K192" s="47"/>
      <c r="L192" s="47"/>
      <c r="M192" s="47"/>
      <c r="N192" s="156"/>
      <c r="O192" s="156" t="s">
        <v>157</v>
      </c>
      <c r="P192" s="47"/>
      <c r="Q192" s="47"/>
      <c r="R192" s="47"/>
      <c r="S192" s="47" t="s">
        <v>13292</v>
      </c>
      <c r="T192" s="47" t="s">
        <v>13295</v>
      </c>
      <c r="U192" s="47"/>
    </row>
    <row r="193" spans="1:21" x14ac:dyDescent="0.3">
      <c r="A193" s="46">
        <v>194</v>
      </c>
      <c r="B193" s="47" t="s">
        <v>13291</v>
      </c>
      <c r="C193" s="47" t="s">
        <v>13291</v>
      </c>
      <c r="D193" s="47" t="s">
        <v>13291</v>
      </c>
      <c r="E193" s="47" t="s">
        <v>13291</v>
      </c>
      <c r="F193" s="47" t="s">
        <v>13291</v>
      </c>
      <c r="G193" s="47" t="s">
        <v>13291</v>
      </c>
      <c r="H193" s="158">
        <v>1191</v>
      </c>
      <c r="I193" s="156" t="s">
        <v>5421</v>
      </c>
      <c r="J193" s="156" t="s">
        <v>12062</v>
      </c>
      <c r="K193" s="47"/>
      <c r="L193" s="47"/>
      <c r="M193" s="47"/>
      <c r="N193" s="156"/>
      <c r="O193" s="156" t="s">
        <v>157</v>
      </c>
      <c r="P193" s="47"/>
      <c r="Q193" s="47"/>
      <c r="R193" s="47"/>
      <c r="S193" s="47" t="s">
        <v>13292</v>
      </c>
      <c r="T193" s="47" t="s">
        <v>13295</v>
      </c>
      <c r="U193" s="47"/>
    </row>
    <row r="194" spans="1:21" x14ac:dyDescent="0.3">
      <c r="A194" s="46">
        <v>195</v>
      </c>
      <c r="B194" s="47" t="s">
        <v>13291</v>
      </c>
      <c r="C194" s="47" t="s">
        <v>13291</v>
      </c>
      <c r="D194" s="47" t="s">
        <v>13291</v>
      </c>
      <c r="E194" s="47" t="s">
        <v>13291</v>
      </c>
      <c r="F194" s="47" t="s">
        <v>13291</v>
      </c>
      <c r="G194" s="47" t="s">
        <v>13291</v>
      </c>
      <c r="H194" s="158">
        <v>1192</v>
      </c>
      <c r="I194" s="156" t="s">
        <v>5422</v>
      </c>
      <c r="J194" s="156" t="s">
        <v>12063</v>
      </c>
      <c r="K194" s="47"/>
      <c r="L194" s="47"/>
      <c r="M194" s="47"/>
      <c r="N194" s="156"/>
      <c r="O194" s="156" t="s">
        <v>157</v>
      </c>
      <c r="P194" s="47"/>
      <c r="Q194" s="47"/>
      <c r="R194" s="47"/>
      <c r="S194" s="47" t="s">
        <v>13292</v>
      </c>
      <c r="T194" s="47" t="s">
        <v>13295</v>
      </c>
      <c r="U194" s="47"/>
    </row>
    <row r="195" spans="1:21" x14ac:dyDescent="0.3">
      <c r="A195" s="46">
        <v>196</v>
      </c>
      <c r="B195" s="47" t="s">
        <v>13291</v>
      </c>
      <c r="C195" s="47" t="s">
        <v>13291</v>
      </c>
      <c r="D195" s="47" t="s">
        <v>13291</v>
      </c>
      <c r="E195" s="47" t="s">
        <v>13291</v>
      </c>
      <c r="F195" s="47" t="s">
        <v>13291</v>
      </c>
      <c r="G195" s="47" t="s">
        <v>13291</v>
      </c>
      <c r="H195" s="158">
        <v>1193</v>
      </c>
      <c r="I195" s="156" t="s">
        <v>5423</v>
      </c>
      <c r="J195" s="156" t="s">
        <v>12064</v>
      </c>
      <c r="K195" s="47"/>
      <c r="L195" s="47"/>
      <c r="M195" s="47"/>
      <c r="N195" s="156"/>
      <c r="O195" s="156" t="s">
        <v>157</v>
      </c>
      <c r="P195" s="47"/>
      <c r="Q195" s="47"/>
      <c r="R195" s="47"/>
      <c r="S195" s="47" t="s">
        <v>13292</v>
      </c>
      <c r="T195" s="47" t="s">
        <v>13295</v>
      </c>
      <c r="U195" s="47"/>
    </row>
    <row r="196" spans="1:21" x14ac:dyDescent="0.3">
      <c r="A196" s="46">
        <v>197</v>
      </c>
      <c r="B196" s="47" t="s">
        <v>13291</v>
      </c>
      <c r="C196" s="47" t="s">
        <v>13291</v>
      </c>
      <c r="D196" s="47" t="s">
        <v>13291</v>
      </c>
      <c r="E196" s="47" t="s">
        <v>13291</v>
      </c>
      <c r="F196" s="47" t="s">
        <v>13291</v>
      </c>
      <c r="G196" s="47" t="s">
        <v>13291</v>
      </c>
      <c r="H196" s="158">
        <v>1194</v>
      </c>
      <c r="I196" s="156" t="s">
        <v>5424</v>
      </c>
      <c r="J196" s="156" t="s">
        <v>11534</v>
      </c>
      <c r="K196" s="47"/>
      <c r="L196" s="47"/>
      <c r="M196" s="47"/>
      <c r="N196" s="156"/>
      <c r="O196" s="156" t="s">
        <v>157</v>
      </c>
      <c r="P196" s="47"/>
      <c r="Q196" s="47"/>
      <c r="R196" s="47"/>
      <c r="S196" s="47" t="s">
        <v>13292</v>
      </c>
      <c r="T196" s="47" t="s">
        <v>13295</v>
      </c>
      <c r="U196" s="47"/>
    </row>
    <row r="197" spans="1:21" x14ac:dyDescent="0.3">
      <c r="A197" s="46">
        <v>198</v>
      </c>
      <c r="B197" s="47" t="s">
        <v>13291</v>
      </c>
      <c r="C197" s="47" t="s">
        <v>13291</v>
      </c>
      <c r="D197" s="47" t="s">
        <v>13291</v>
      </c>
      <c r="E197" s="47" t="s">
        <v>13291</v>
      </c>
      <c r="F197" s="47" t="s">
        <v>13291</v>
      </c>
      <c r="G197" s="47" t="s">
        <v>13291</v>
      </c>
      <c r="H197" s="158">
        <v>1195</v>
      </c>
      <c r="I197" s="156" t="s">
        <v>5425</v>
      </c>
      <c r="J197" s="156" t="s">
        <v>11529</v>
      </c>
      <c r="K197" s="47"/>
      <c r="L197" s="47"/>
      <c r="M197" s="47"/>
      <c r="N197" s="156"/>
      <c r="O197" s="156" t="s">
        <v>157</v>
      </c>
      <c r="P197" s="47"/>
      <c r="Q197" s="47"/>
      <c r="R197" s="47"/>
      <c r="S197" s="47" t="s">
        <v>13292</v>
      </c>
      <c r="T197" s="47" t="s">
        <v>13295</v>
      </c>
      <c r="U197" s="47"/>
    </row>
    <row r="198" spans="1:21" x14ac:dyDescent="0.3">
      <c r="A198" s="46">
        <v>199</v>
      </c>
      <c r="B198" s="47" t="s">
        <v>13291</v>
      </c>
      <c r="C198" s="47" t="s">
        <v>13291</v>
      </c>
      <c r="D198" s="47" t="s">
        <v>13291</v>
      </c>
      <c r="E198" s="47" t="s">
        <v>13291</v>
      </c>
      <c r="F198" s="47" t="s">
        <v>13291</v>
      </c>
      <c r="G198" s="47" t="s">
        <v>13291</v>
      </c>
      <c r="H198" s="158">
        <v>1196</v>
      </c>
      <c r="I198" s="156" t="s">
        <v>5426</v>
      </c>
      <c r="J198" s="156" t="s">
        <v>11978</v>
      </c>
      <c r="K198" s="47"/>
      <c r="L198" s="47"/>
      <c r="M198" s="47"/>
      <c r="N198" s="156"/>
      <c r="O198" s="156" t="s">
        <v>157</v>
      </c>
      <c r="P198" s="47"/>
      <c r="Q198" s="47"/>
      <c r="R198" s="47"/>
      <c r="S198" s="47" t="s">
        <v>13292</v>
      </c>
      <c r="T198" s="47" t="s">
        <v>13295</v>
      </c>
      <c r="U198" s="47"/>
    </row>
    <row r="199" spans="1:21" x14ac:dyDescent="0.3">
      <c r="A199" s="46">
        <v>200</v>
      </c>
      <c r="B199" s="47" t="s">
        <v>13291</v>
      </c>
      <c r="C199" s="47" t="s">
        <v>13291</v>
      </c>
      <c r="D199" s="47" t="s">
        <v>13291</v>
      </c>
      <c r="E199" s="47" t="s">
        <v>13291</v>
      </c>
      <c r="F199" s="47" t="s">
        <v>13291</v>
      </c>
      <c r="G199" s="47" t="s">
        <v>13291</v>
      </c>
      <c r="H199" s="158">
        <v>1197</v>
      </c>
      <c r="I199" s="156" t="s">
        <v>5427</v>
      </c>
      <c r="J199" s="156" t="s">
        <v>11979</v>
      </c>
      <c r="K199" s="47"/>
      <c r="L199" s="47"/>
      <c r="M199" s="47"/>
      <c r="N199" s="156"/>
      <c r="O199" s="156" t="s">
        <v>157</v>
      </c>
      <c r="P199" s="47"/>
      <c r="Q199" s="47"/>
      <c r="R199" s="47"/>
      <c r="S199" s="47" t="s">
        <v>13292</v>
      </c>
      <c r="T199" s="47" t="s">
        <v>13295</v>
      </c>
      <c r="U199" s="47"/>
    </row>
    <row r="200" spans="1:21" x14ac:dyDescent="0.3">
      <c r="A200" s="46">
        <v>201</v>
      </c>
      <c r="B200" s="47" t="s">
        <v>13291</v>
      </c>
      <c r="C200" s="47" t="s">
        <v>13291</v>
      </c>
      <c r="D200" s="47" t="s">
        <v>13291</v>
      </c>
      <c r="E200" s="47" t="s">
        <v>13291</v>
      </c>
      <c r="F200" s="47" t="s">
        <v>13291</v>
      </c>
      <c r="G200" s="47" t="s">
        <v>13291</v>
      </c>
      <c r="H200" s="158">
        <v>1198</v>
      </c>
      <c r="I200" s="156" t="s">
        <v>5428</v>
      </c>
      <c r="J200" s="156" t="s">
        <v>11553</v>
      </c>
      <c r="K200" s="47"/>
      <c r="L200" s="47"/>
      <c r="M200" s="47"/>
      <c r="N200" s="156"/>
      <c r="O200" s="156" t="s">
        <v>157</v>
      </c>
      <c r="P200" s="47"/>
      <c r="Q200" s="47"/>
      <c r="R200" s="47"/>
      <c r="S200" s="47" t="s">
        <v>13292</v>
      </c>
      <c r="T200" s="47" t="s">
        <v>13295</v>
      </c>
      <c r="U200" s="47"/>
    </row>
    <row r="201" spans="1:21" x14ac:dyDescent="0.3">
      <c r="A201" s="46">
        <v>202</v>
      </c>
      <c r="B201" s="47" t="s">
        <v>13291</v>
      </c>
      <c r="C201" s="47" t="s">
        <v>13291</v>
      </c>
      <c r="D201" s="47" t="s">
        <v>13291</v>
      </c>
      <c r="E201" s="47" t="s">
        <v>13291</v>
      </c>
      <c r="F201" s="47" t="s">
        <v>13291</v>
      </c>
      <c r="G201" s="47" t="s">
        <v>13291</v>
      </c>
      <c r="H201" s="158">
        <v>1199</v>
      </c>
      <c r="I201" s="156" t="s">
        <v>5429</v>
      </c>
      <c r="J201" s="156" t="s">
        <v>11554</v>
      </c>
      <c r="K201" s="47"/>
      <c r="L201" s="47"/>
      <c r="M201" s="47"/>
      <c r="N201" s="156"/>
      <c r="O201" s="156" t="s">
        <v>157</v>
      </c>
      <c r="P201" s="47"/>
      <c r="Q201" s="47"/>
      <c r="R201" s="47"/>
      <c r="S201" s="47" t="s">
        <v>13292</v>
      </c>
      <c r="T201" s="47" t="s">
        <v>13295</v>
      </c>
      <c r="U201" s="47"/>
    </row>
    <row r="202" spans="1:21" x14ac:dyDescent="0.3">
      <c r="A202" s="46">
        <v>203</v>
      </c>
      <c r="B202" s="47" t="s">
        <v>13291</v>
      </c>
      <c r="C202" s="47" t="s">
        <v>13291</v>
      </c>
      <c r="D202" s="47" t="s">
        <v>13291</v>
      </c>
      <c r="E202" s="47" t="s">
        <v>13291</v>
      </c>
      <c r="F202" s="47" t="s">
        <v>13291</v>
      </c>
      <c r="G202" s="47" t="s">
        <v>13291</v>
      </c>
      <c r="H202" s="158">
        <v>1200</v>
      </c>
      <c r="I202" s="156" t="s">
        <v>5430</v>
      </c>
      <c r="J202" s="156" t="s">
        <v>11555</v>
      </c>
      <c r="K202" s="47"/>
      <c r="L202" s="47"/>
      <c r="M202" s="47"/>
      <c r="N202" s="156"/>
      <c r="O202" s="156" t="s">
        <v>157</v>
      </c>
      <c r="P202" s="47"/>
      <c r="Q202" s="47"/>
      <c r="R202" s="47"/>
      <c r="S202" s="47" t="s">
        <v>13292</v>
      </c>
      <c r="T202" s="47" t="s">
        <v>13295</v>
      </c>
      <c r="U202" s="47"/>
    </row>
    <row r="203" spans="1:21" x14ac:dyDescent="0.3">
      <c r="A203" s="46">
        <v>204</v>
      </c>
      <c r="B203" s="47" t="s">
        <v>13291</v>
      </c>
      <c r="C203" s="47" t="s">
        <v>13291</v>
      </c>
      <c r="D203" s="47" t="s">
        <v>13291</v>
      </c>
      <c r="E203" s="47" t="s">
        <v>13291</v>
      </c>
      <c r="F203" s="47" t="s">
        <v>13291</v>
      </c>
      <c r="G203" s="47" t="s">
        <v>13291</v>
      </c>
      <c r="H203" s="158">
        <v>1201</v>
      </c>
      <c r="I203" s="156" t="s">
        <v>5431</v>
      </c>
      <c r="J203" s="156" t="s">
        <v>11558</v>
      </c>
      <c r="K203" s="47"/>
      <c r="L203" s="47"/>
      <c r="M203" s="47"/>
      <c r="N203" s="156"/>
      <c r="O203" s="156" t="s">
        <v>157</v>
      </c>
      <c r="P203" s="47"/>
      <c r="Q203" s="47"/>
      <c r="R203" s="47"/>
      <c r="S203" s="47" t="s">
        <v>13292</v>
      </c>
      <c r="T203" s="47" t="s">
        <v>13295</v>
      </c>
      <c r="U203" s="47"/>
    </row>
    <row r="204" spans="1:21" x14ac:dyDescent="0.3">
      <c r="A204" s="46">
        <v>205</v>
      </c>
      <c r="B204" s="47" t="s">
        <v>13291</v>
      </c>
      <c r="C204" s="47" t="s">
        <v>13291</v>
      </c>
      <c r="D204" s="47" t="s">
        <v>13291</v>
      </c>
      <c r="E204" s="47" t="s">
        <v>13291</v>
      </c>
      <c r="F204" s="47" t="s">
        <v>13291</v>
      </c>
      <c r="G204" s="47" t="s">
        <v>13291</v>
      </c>
      <c r="H204" s="158">
        <v>1202</v>
      </c>
      <c r="I204" s="156" t="s">
        <v>5432</v>
      </c>
      <c r="J204" s="156" t="s">
        <v>11559</v>
      </c>
      <c r="K204" s="47"/>
      <c r="L204" s="47"/>
      <c r="M204" s="47"/>
      <c r="N204" s="156"/>
      <c r="O204" s="156" t="s">
        <v>157</v>
      </c>
      <c r="P204" s="47"/>
      <c r="Q204" s="47"/>
      <c r="R204" s="47"/>
      <c r="S204" s="47" t="s">
        <v>13292</v>
      </c>
      <c r="T204" s="47" t="s">
        <v>13295</v>
      </c>
      <c r="U204" s="47"/>
    </row>
    <row r="205" spans="1:21" x14ac:dyDescent="0.3">
      <c r="A205" s="46">
        <v>206</v>
      </c>
      <c r="B205" s="47" t="s">
        <v>13291</v>
      </c>
      <c r="C205" s="47" t="s">
        <v>13291</v>
      </c>
      <c r="D205" s="47" t="s">
        <v>13291</v>
      </c>
      <c r="E205" s="47" t="s">
        <v>13291</v>
      </c>
      <c r="F205" s="47" t="s">
        <v>13291</v>
      </c>
      <c r="G205" s="47" t="s">
        <v>13291</v>
      </c>
      <c r="H205" s="158">
        <v>1203</v>
      </c>
      <c r="I205" s="156" t="s">
        <v>5433</v>
      </c>
      <c r="J205" s="156" t="s">
        <v>11557</v>
      </c>
      <c r="K205" s="47"/>
      <c r="L205" s="47"/>
      <c r="M205" s="47"/>
      <c r="N205" s="156"/>
      <c r="O205" s="156" t="s">
        <v>157</v>
      </c>
      <c r="P205" s="47"/>
      <c r="Q205" s="47"/>
      <c r="R205" s="47"/>
      <c r="S205" s="47" t="s">
        <v>13292</v>
      </c>
      <c r="T205" s="47" t="s">
        <v>13295</v>
      </c>
      <c r="U205" s="47"/>
    </row>
    <row r="206" spans="1:21" x14ac:dyDescent="0.3">
      <c r="A206" s="46">
        <v>207</v>
      </c>
      <c r="B206" s="47" t="s">
        <v>13291</v>
      </c>
      <c r="C206" s="47" t="s">
        <v>13291</v>
      </c>
      <c r="D206" s="47" t="s">
        <v>13291</v>
      </c>
      <c r="E206" s="47" t="s">
        <v>13291</v>
      </c>
      <c r="F206" s="47" t="s">
        <v>13291</v>
      </c>
      <c r="G206" s="47" t="s">
        <v>13291</v>
      </c>
      <c r="H206" s="158">
        <v>1204</v>
      </c>
      <c r="I206" s="156" t="s">
        <v>5434</v>
      </c>
      <c r="J206" s="156" t="s">
        <v>11556</v>
      </c>
      <c r="K206" s="47"/>
      <c r="L206" s="47"/>
      <c r="M206" s="47"/>
      <c r="N206" s="156"/>
      <c r="O206" s="156" t="s">
        <v>157</v>
      </c>
      <c r="P206" s="47"/>
      <c r="Q206" s="47"/>
      <c r="R206" s="47"/>
      <c r="S206" s="47" t="s">
        <v>13292</v>
      </c>
      <c r="T206" s="47" t="s">
        <v>13295</v>
      </c>
      <c r="U206" s="47"/>
    </row>
    <row r="207" spans="1:21" x14ac:dyDescent="0.3">
      <c r="A207" s="46">
        <v>208</v>
      </c>
      <c r="B207" s="47" t="s">
        <v>13291</v>
      </c>
      <c r="C207" s="47" t="s">
        <v>13291</v>
      </c>
      <c r="D207" s="47" t="s">
        <v>13291</v>
      </c>
      <c r="E207" s="47" t="s">
        <v>13291</v>
      </c>
      <c r="F207" s="47" t="s">
        <v>13291</v>
      </c>
      <c r="G207" s="47" t="s">
        <v>13291</v>
      </c>
      <c r="H207" s="158">
        <v>1205</v>
      </c>
      <c r="I207" s="156" t="s">
        <v>5435</v>
      </c>
      <c r="J207" s="156" t="s">
        <v>11530</v>
      </c>
      <c r="K207" s="47"/>
      <c r="L207" s="47"/>
      <c r="M207" s="47"/>
      <c r="N207" s="156"/>
      <c r="O207" s="156" t="s">
        <v>157</v>
      </c>
      <c r="P207" s="47"/>
      <c r="Q207" s="47"/>
      <c r="R207" s="47"/>
      <c r="S207" s="47" t="s">
        <v>13292</v>
      </c>
      <c r="T207" s="47" t="s">
        <v>13295</v>
      </c>
      <c r="U207" s="47"/>
    </row>
    <row r="208" spans="1:21" x14ac:dyDescent="0.3">
      <c r="A208" s="46">
        <v>209</v>
      </c>
      <c r="B208" s="47" t="s">
        <v>13291</v>
      </c>
      <c r="C208" s="47" t="s">
        <v>13291</v>
      </c>
      <c r="D208" s="47" t="s">
        <v>13291</v>
      </c>
      <c r="E208" s="47" t="s">
        <v>13291</v>
      </c>
      <c r="F208" s="47" t="s">
        <v>13291</v>
      </c>
      <c r="G208" s="47" t="s">
        <v>13291</v>
      </c>
      <c r="H208" s="158">
        <v>1206</v>
      </c>
      <c r="I208" s="156" t="s">
        <v>5436</v>
      </c>
      <c r="J208" s="156" t="s">
        <v>11531</v>
      </c>
      <c r="K208" s="47"/>
      <c r="L208" s="47"/>
      <c r="M208" s="47"/>
      <c r="N208" s="156"/>
      <c r="O208" s="156" t="s">
        <v>157</v>
      </c>
      <c r="P208" s="47"/>
      <c r="Q208" s="47"/>
      <c r="R208" s="47"/>
      <c r="S208" s="47" t="s">
        <v>13292</v>
      </c>
      <c r="T208" s="47" t="s">
        <v>13295</v>
      </c>
      <c r="U208" s="47"/>
    </row>
    <row r="209" spans="1:21" x14ac:dyDescent="0.3">
      <c r="A209" s="46">
        <v>210</v>
      </c>
      <c r="B209" s="47" t="s">
        <v>13291</v>
      </c>
      <c r="C209" s="47" t="s">
        <v>13291</v>
      </c>
      <c r="D209" s="47" t="s">
        <v>13291</v>
      </c>
      <c r="E209" s="47" t="s">
        <v>13291</v>
      </c>
      <c r="F209" s="47" t="s">
        <v>13291</v>
      </c>
      <c r="G209" s="47" t="s">
        <v>13291</v>
      </c>
      <c r="H209" s="158">
        <v>1207</v>
      </c>
      <c r="I209" s="156" t="s">
        <v>5437</v>
      </c>
      <c r="J209" s="156" t="s">
        <v>11535</v>
      </c>
      <c r="K209" s="47"/>
      <c r="L209" s="47"/>
      <c r="M209" s="47"/>
      <c r="N209" s="156"/>
      <c r="O209" s="156" t="s">
        <v>157</v>
      </c>
      <c r="P209" s="47"/>
      <c r="Q209" s="47"/>
      <c r="R209" s="47"/>
      <c r="S209" s="47" t="s">
        <v>13292</v>
      </c>
      <c r="T209" s="47" t="s">
        <v>13295</v>
      </c>
      <c r="U209" s="47"/>
    </row>
    <row r="210" spans="1:21" x14ac:dyDescent="0.3">
      <c r="A210" s="46">
        <v>211</v>
      </c>
      <c r="B210" s="47" t="s">
        <v>13291</v>
      </c>
      <c r="C210" s="47" t="s">
        <v>13291</v>
      </c>
      <c r="D210" s="47" t="s">
        <v>13291</v>
      </c>
      <c r="E210" s="47" t="s">
        <v>13291</v>
      </c>
      <c r="F210" s="47" t="s">
        <v>13291</v>
      </c>
      <c r="G210" s="47" t="s">
        <v>13291</v>
      </c>
      <c r="H210" s="158">
        <v>1208</v>
      </c>
      <c r="I210" s="156" t="s">
        <v>5438</v>
      </c>
      <c r="J210" s="156" t="s">
        <v>11560</v>
      </c>
      <c r="K210" s="47"/>
      <c r="L210" s="47"/>
      <c r="M210" s="47"/>
      <c r="N210" s="156"/>
      <c r="O210" s="156" t="s">
        <v>157</v>
      </c>
      <c r="P210" s="47"/>
      <c r="Q210" s="47"/>
      <c r="R210" s="47"/>
      <c r="S210" s="47" t="s">
        <v>13292</v>
      </c>
      <c r="T210" s="47" t="s">
        <v>13295</v>
      </c>
      <c r="U210" s="47"/>
    </row>
    <row r="211" spans="1:21" x14ac:dyDescent="0.3">
      <c r="A211" s="46">
        <v>212</v>
      </c>
      <c r="B211" s="47" t="s">
        <v>13291</v>
      </c>
      <c r="C211" s="47" t="s">
        <v>13291</v>
      </c>
      <c r="D211" s="47" t="s">
        <v>13291</v>
      </c>
      <c r="E211" s="47" t="s">
        <v>13291</v>
      </c>
      <c r="F211" s="47" t="s">
        <v>13291</v>
      </c>
      <c r="G211" s="47" t="s">
        <v>13291</v>
      </c>
      <c r="H211" s="158">
        <v>1209</v>
      </c>
      <c r="I211" s="156" t="s">
        <v>5439</v>
      </c>
      <c r="J211" s="156" t="s">
        <v>11536</v>
      </c>
      <c r="K211" s="47"/>
      <c r="L211" s="47"/>
      <c r="M211" s="47"/>
      <c r="N211" s="156"/>
      <c r="O211" s="156" t="s">
        <v>157</v>
      </c>
      <c r="P211" s="47"/>
      <c r="Q211" s="47"/>
      <c r="R211" s="47"/>
      <c r="S211" s="47" t="s">
        <v>13292</v>
      </c>
      <c r="T211" s="47" t="s">
        <v>13295</v>
      </c>
      <c r="U211" s="47"/>
    </row>
    <row r="212" spans="1:21" x14ac:dyDescent="0.3">
      <c r="A212" s="46">
        <v>213</v>
      </c>
      <c r="B212" s="47" t="s">
        <v>13291</v>
      </c>
      <c r="C212" s="47" t="s">
        <v>13291</v>
      </c>
      <c r="D212" s="47" t="s">
        <v>13291</v>
      </c>
      <c r="E212" s="47" t="s">
        <v>13291</v>
      </c>
      <c r="F212" s="47" t="s">
        <v>13291</v>
      </c>
      <c r="G212" s="47" t="s">
        <v>13291</v>
      </c>
      <c r="H212" s="158">
        <v>1210</v>
      </c>
      <c r="I212" s="156" t="s">
        <v>5440</v>
      </c>
      <c r="J212" s="156" t="s">
        <v>11746</v>
      </c>
      <c r="K212" s="47"/>
      <c r="L212" s="47"/>
      <c r="M212" s="47"/>
      <c r="N212" s="156"/>
      <c r="O212" s="156" t="s">
        <v>157</v>
      </c>
      <c r="P212" s="47"/>
      <c r="Q212" s="47"/>
      <c r="R212" s="47"/>
      <c r="S212" s="47" t="s">
        <v>13292</v>
      </c>
      <c r="T212" s="47" t="s">
        <v>13295</v>
      </c>
      <c r="U212" s="47"/>
    </row>
    <row r="213" spans="1:21" x14ac:dyDescent="0.3">
      <c r="A213" s="46">
        <v>214</v>
      </c>
      <c r="B213" s="47" t="s">
        <v>13291</v>
      </c>
      <c r="C213" s="47" t="s">
        <v>13291</v>
      </c>
      <c r="D213" s="47" t="s">
        <v>13291</v>
      </c>
      <c r="E213" s="47" t="s">
        <v>13291</v>
      </c>
      <c r="F213" s="47" t="s">
        <v>13291</v>
      </c>
      <c r="G213" s="47" t="s">
        <v>13291</v>
      </c>
      <c r="H213" s="158">
        <v>1211</v>
      </c>
      <c r="I213" s="156" t="s">
        <v>11104</v>
      </c>
      <c r="J213" s="156" t="s">
        <v>11980</v>
      </c>
      <c r="K213" s="47"/>
      <c r="L213" s="47"/>
      <c r="M213" s="47"/>
      <c r="N213" s="156"/>
      <c r="O213" s="156" t="s">
        <v>157</v>
      </c>
      <c r="P213" s="47"/>
      <c r="Q213" s="47"/>
      <c r="R213" s="47"/>
      <c r="S213" s="47" t="s">
        <v>13292</v>
      </c>
      <c r="T213" s="47" t="s">
        <v>13295</v>
      </c>
      <c r="U213" s="47"/>
    </row>
    <row r="214" spans="1:21" x14ac:dyDescent="0.3">
      <c r="A214" s="46">
        <v>215</v>
      </c>
      <c r="B214" s="47" t="s">
        <v>13291</v>
      </c>
      <c r="C214" s="47" t="s">
        <v>13291</v>
      </c>
      <c r="D214" s="47" t="s">
        <v>13291</v>
      </c>
      <c r="E214" s="47" t="s">
        <v>13291</v>
      </c>
      <c r="F214" s="47" t="s">
        <v>13291</v>
      </c>
      <c r="G214" s="47" t="s">
        <v>13291</v>
      </c>
      <c r="H214" s="158">
        <v>1212</v>
      </c>
      <c r="I214" s="156" t="s">
        <v>5441</v>
      </c>
      <c r="J214" s="156" t="s">
        <v>11747</v>
      </c>
      <c r="K214" s="47"/>
      <c r="L214" s="47"/>
      <c r="M214" s="47"/>
      <c r="N214" s="156"/>
      <c r="O214" s="156" t="s">
        <v>157</v>
      </c>
      <c r="P214" s="47"/>
      <c r="Q214" s="47"/>
      <c r="R214" s="47"/>
      <c r="S214" s="47" t="s">
        <v>13292</v>
      </c>
      <c r="T214" s="47" t="s">
        <v>13295</v>
      </c>
      <c r="U214" s="47"/>
    </row>
    <row r="215" spans="1:21" x14ac:dyDescent="0.3">
      <c r="A215" s="46">
        <v>216</v>
      </c>
      <c r="B215" s="47" t="s">
        <v>13291</v>
      </c>
      <c r="C215" s="47" t="s">
        <v>13291</v>
      </c>
      <c r="D215" s="47" t="s">
        <v>13291</v>
      </c>
      <c r="E215" s="47" t="s">
        <v>13291</v>
      </c>
      <c r="F215" s="47" t="s">
        <v>13291</v>
      </c>
      <c r="G215" s="47" t="s">
        <v>13291</v>
      </c>
      <c r="H215" s="158">
        <v>1213</v>
      </c>
      <c r="I215" s="156" t="s">
        <v>5442</v>
      </c>
      <c r="J215" s="156" t="s">
        <v>11638</v>
      </c>
      <c r="K215" s="47"/>
      <c r="L215" s="47"/>
      <c r="M215" s="47"/>
      <c r="N215" s="156"/>
      <c r="O215" s="156" t="s">
        <v>157</v>
      </c>
      <c r="P215" s="47"/>
      <c r="Q215" s="47"/>
      <c r="R215" s="47"/>
      <c r="S215" s="47" t="s">
        <v>13292</v>
      </c>
      <c r="T215" s="47" t="s">
        <v>13295</v>
      </c>
      <c r="U215" s="47"/>
    </row>
    <row r="216" spans="1:21" x14ac:dyDescent="0.3">
      <c r="A216" s="46">
        <v>217</v>
      </c>
      <c r="B216" s="47" t="s">
        <v>13291</v>
      </c>
      <c r="C216" s="47" t="s">
        <v>13291</v>
      </c>
      <c r="D216" s="47" t="s">
        <v>13291</v>
      </c>
      <c r="E216" s="47" t="s">
        <v>13291</v>
      </c>
      <c r="F216" s="47" t="s">
        <v>13291</v>
      </c>
      <c r="G216" s="47" t="s">
        <v>13291</v>
      </c>
      <c r="H216" s="158">
        <v>1214</v>
      </c>
      <c r="I216" s="156" t="s">
        <v>10992</v>
      </c>
      <c r="J216" s="156" t="s">
        <v>11748</v>
      </c>
      <c r="K216" s="47"/>
      <c r="L216" s="47"/>
      <c r="M216" s="47"/>
      <c r="N216" s="156"/>
      <c r="O216" s="156" t="s">
        <v>157</v>
      </c>
      <c r="P216" s="47"/>
      <c r="Q216" s="47"/>
      <c r="R216" s="47"/>
      <c r="S216" s="47" t="s">
        <v>13292</v>
      </c>
      <c r="T216" s="47" t="s">
        <v>13295</v>
      </c>
      <c r="U216" s="47"/>
    </row>
    <row r="217" spans="1:21" x14ac:dyDescent="0.3">
      <c r="A217" s="46">
        <v>218</v>
      </c>
      <c r="B217" s="47" t="s">
        <v>13291</v>
      </c>
      <c r="C217" s="47" t="s">
        <v>13291</v>
      </c>
      <c r="D217" s="47" t="s">
        <v>13291</v>
      </c>
      <c r="E217" s="47" t="s">
        <v>13291</v>
      </c>
      <c r="F217" s="47" t="s">
        <v>13291</v>
      </c>
      <c r="G217" s="47" t="s">
        <v>13291</v>
      </c>
      <c r="H217" s="158">
        <v>1215</v>
      </c>
      <c r="I217" s="156" t="s">
        <v>10993</v>
      </c>
      <c r="J217" s="156" t="s">
        <v>11749</v>
      </c>
      <c r="K217" s="47"/>
      <c r="L217" s="47"/>
      <c r="M217" s="47"/>
      <c r="N217" s="156"/>
      <c r="O217" s="156" t="s">
        <v>157</v>
      </c>
      <c r="P217" s="47"/>
      <c r="Q217" s="47"/>
      <c r="R217" s="47"/>
      <c r="S217" s="47" t="s">
        <v>13292</v>
      </c>
      <c r="T217" s="47" t="s">
        <v>13295</v>
      </c>
      <c r="U217" s="47"/>
    </row>
    <row r="218" spans="1:21" x14ac:dyDescent="0.3">
      <c r="A218" s="46">
        <v>219</v>
      </c>
      <c r="B218" s="47" t="s">
        <v>13291</v>
      </c>
      <c r="C218" s="47" t="s">
        <v>13291</v>
      </c>
      <c r="D218" s="47" t="s">
        <v>13291</v>
      </c>
      <c r="E218" s="47" t="s">
        <v>13291</v>
      </c>
      <c r="F218" s="47" t="s">
        <v>13291</v>
      </c>
      <c r="G218" s="47" t="s">
        <v>13291</v>
      </c>
      <c r="H218" s="158">
        <v>1216</v>
      </c>
      <c r="I218" s="156" t="s">
        <v>5443</v>
      </c>
      <c r="J218" s="156" t="s">
        <v>11561</v>
      </c>
      <c r="K218" s="47"/>
      <c r="L218" s="47"/>
      <c r="M218" s="47"/>
      <c r="N218" s="156"/>
      <c r="O218" s="156" t="s">
        <v>157</v>
      </c>
      <c r="P218" s="47"/>
      <c r="Q218" s="47"/>
      <c r="R218" s="47"/>
      <c r="S218" s="47" t="s">
        <v>13292</v>
      </c>
      <c r="T218" s="47" t="s">
        <v>13295</v>
      </c>
      <c r="U218" s="47"/>
    </row>
    <row r="219" spans="1:21" x14ac:dyDescent="0.3">
      <c r="A219" s="46">
        <v>220</v>
      </c>
      <c r="B219" s="47" t="s">
        <v>13291</v>
      </c>
      <c r="C219" s="47" t="s">
        <v>13291</v>
      </c>
      <c r="D219" s="47" t="s">
        <v>13291</v>
      </c>
      <c r="E219" s="47" t="s">
        <v>13291</v>
      </c>
      <c r="F219" s="47" t="s">
        <v>13291</v>
      </c>
      <c r="G219" s="47" t="s">
        <v>13291</v>
      </c>
      <c r="H219" s="158">
        <v>1217</v>
      </c>
      <c r="I219" s="156" t="s">
        <v>5444</v>
      </c>
      <c r="J219" s="156" t="s">
        <v>11562</v>
      </c>
      <c r="K219" s="47"/>
      <c r="L219" s="47"/>
      <c r="M219" s="47"/>
      <c r="N219" s="156"/>
      <c r="O219" s="156" t="s">
        <v>157</v>
      </c>
      <c r="P219" s="47"/>
      <c r="Q219" s="47"/>
      <c r="R219" s="47"/>
      <c r="S219" s="47" t="s">
        <v>13292</v>
      </c>
      <c r="T219" s="47" t="s">
        <v>13295</v>
      </c>
      <c r="U219" s="47"/>
    </row>
    <row r="220" spans="1:21" x14ac:dyDescent="0.3">
      <c r="A220" s="46">
        <v>221</v>
      </c>
      <c r="B220" s="47" t="s">
        <v>13291</v>
      </c>
      <c r="C220" s="47" t="s">
        <v>13291</v>
      </c>
      <c r="D220" s="47" t="s">
        <v>13291</v>
      </c>
      <c r="E220" s="47" t="s">
        <v>13291</v>
      </c>
      <c r="F220" s="47" t="s">
        <v>13291</v>
      </c>
      <c r="G220" s="47" t="s">
        <v>13291</v>
      </c>
      <c r="H220" s="158">
        <v>1218</v>
      </c>
      <c r="I220" s="156" t="s">
        <v>5445</v>
      </c>
      <c r="J220" s="156" t="s">
        <v>11537</v>
      </c>
      <c r="K220" s="47"/>
      <c r="L220" s="47"/>
      <c r="M220" s="47"/>
      <c r="N220" s="156"/>
      <c r="O220" s="156" t="s">
        <v>157</v>
      </c>
      <c r="P220" s="47"/>
      <c r="Q220" s="47"/>
      <c r="R220" s="47"/>
      <c r="S220" s="47" t="s">
        <v>13292</v>
      </c>
      <c r="T220" s="47" t="s">
        <v>13295</v>
      </c>
      <c r="U220" s="47"/>
    </row>
    <row r="221" spans="1:21" x14ac:dyDescent="0.3">
      <c r="A221" s="46">
        <v>222</v>
      </c>
      <c r="B221" s="47" t="s">
        <v>13291</v>
      </c>
      <c r="C221" s="47" t="s">
        <v>13291</v>
      </c>
      <c r="D221" s="47" t="s">
        <v>13291</v>
      </c>
      <c r="E221" s="47" t="s">
        <v>13291</v>
      </c>
      <c r="F221" s="47" t="s">
        <v>13291</v>
      </c>
      <c r="G221" s="47" t="s">
        <v>13291</v>
      </c>
      <c r="H221" s="158">
        <v>1219</v>
      </c>
      <c r="I221" s="156" t="s">
        <v>5446</v>
      </c>
      <c r="J221" s="156" t="s">
        <v>11563</v>
      </c>
      <c r="K221" s="47"/>
      <c r="L221" s="47"/>
      <c r="M221" s="47"/>
      <c r="N221" s="156"/>
      <c r="O221" s="156" t="s">
        <v>157</v>
      </c>
      <c r="P221" s="47"/>
      <c r="Q221" s="47"/>
      <c r="R221" s="47"/>
      <c r="S221" s="47" t="s">
        <v>13292</v>
      </c>
      <c r="T221" s="47" t="s">
        <v>13295</v>
      </c>
      <c r="U221" s="47"/>
    </row>
    <row r="222" spans="1:21" x14ac:dyDescent="0.3">
      <c r="A222" s="46">
        <v>223</v>
      </c>
      <c r="B222" s="47" t="s">
        <v>13291</v>
      </c>
      <c r="C222" s="47" t="s">
        <v>13291</v>
      </c>
      <c r="D222" s="47" t="s">
        <v>13291</v>
      </c>
      <c r="E222" s="47" t="s">
        <v>13291</v>
      </c>
      <c r="F222" s="47" t="s">
        <v>13291</v>
      </c>
      <c r="G222" s="47" t="s">
        <v>13291</v>
      </c>
      <c r="H222" s="158">
        <v>1220</v>
      </c>
      <c r="I222" s="156" t="s">
        <v>5447</v>
      </c>
      <c r="J222" s="156" t="s">
        <v>11564</v>
      </c>
      <c r="K222" s="47"/>
      <c r="L222" s="47"/>
      <c r="M222" s="47"/>
      <c r="N222" s="156"/>
      <c r="O222" s="156" t="s">
        <v>157</v>
      </c>
      <c r="P222" s="47"/>
      <c r="Q222" s="47"/>
      <c r="R222" s="47"/>
      <c r="S222" s="47" t="s">
        <v>13292</v>
      </c>
      <c r="T222" s="47" t="s">
        <v>13295</v>
      </c>
      <c r="U222" s="47"/>
    </row>
    <row r="223" spans="1:21" x14ac:dyDescent="0.3">
      <c r="A223" s="46">
        <v>224</v>
      </c>
      <c r="B223" s="47" t="s">
        <v>13291</v>
      </c>
      <c r="C223" s="47" t="s">
        <v>13291</v>
      </c>
      <c r="D223" s="47" t="s">
        <v>13291</v>
      </c>
      <c r="E223" s="47" t="s">
        <v>13291</v>
      </c>
      <c r="F223" s="47" t="s">
        <v>13291</v>
      </c>
      <c r="G223" s="47" t="s">
        <v>13291</v>
      </c>
      <c r="H223" s="158">
        <v>1221</v>
      </c>
      <c r="I223" s="156" t="s">
        <v>5448</v>
      </c>
      <c r="J223" s="156" t="s">
        <v>11565</v>
      </c>
      <c r="K223" s="47"/>
      <c r="L223" s="47"/>
      <c r="M223" s="47"/>
      <c r="N223" s="156"/>
      <c r="O223" s="156" t="s">
        <v>157</v>
      </c>
      <c r="P223" s="47"/>
      <c r="Q223" s="47"/>
      <c r="R223" s="47"/>
      <c r="S223" s="47" t="s">
        <v>13292</v>
      </c>
      <c r="T223" s="47" t="s">
        <v>13295</v>
      </c>
      <c r="U223" s="47"/>
    </row>
    <row r="224" spans="1:21" x14ac:dyDescent="0.3">
      <c r="A224" s="46">
        <v>225</v>
      </c>
      <c r="B224" s="47" t="s">
        <v>13291</v>
      </c>
      <c r="C224" s="47" t="s">
        <v>13291</v>
      </c>
      <c r="D224" s="47" t="s">
        <v>13291</v>
      </c>
      <c r="E224" s="47" t="s">
        <v>13291</v>
      </c>
      <c r="F224" s="47" t="s">
        <v>13291</v>
      </c>
      <c r="G224" s="47" t="s">
        <v>13291</v>
      </c>
      <c r="H224" s="158">
        <v>1222</v>
      </c>
      <c r="I224" s="156" t="s">
        <v>5449</v>
      </c>
      <c r="J224" s="156" t="s">
        <v>11566</v>
      </c>
      <c r="K224" s="47"/>
      <c r="L224" s="47"/>
      <c r="M224" s="47"/>
      <c r="N224" s="156"/>
      <c r="O224" s="156" t="s">
        <v>157</v>
      </c>
      <c r="P224" s="47"/>
      <c r="Q224" s="47"/>
      <c r="R224" s="47"/>
      <c r="S224" s="47" t="s">
        <v>13292</v>
      </c>
      <c r="T224" s="47" t="s">
        <v>13295</v>
      </c>
      <c r="U224" s="47"/>
    </row>
    <row r="225" spans="1:21" x14ac:dyDescent="0.3">
      <c r="A225" s="46">
        <v>226</v>
      </c>
      <c r="B225" s="47" t="s">
        <v>13291</v>
      </c>
      <c r="C225" s="47" t="s">
        <v>13291</v>
      </c>
      <c r="D225" s="47" t="s">
        <v>13291</v>
      </c>
      <c r="E225" s="47" t="s">
        <v>13291</v>
      </c>
      <c r="F225" s="47" t="s">
        <v>13291</v>
      </c>
      <c r="G225" s="47" t="s">
        <v>13291</v>
      </c>
      <c r="H225" s="158">
        <v>1223</v>
      </c>
      <c r="I225" s="156" t="s">
        <v>5450</v>
      </c>
      <c r="J225" s="156" t="s">
        <v>11567</v>
      </c>
      <c r="K225" s="47"/>
      <c r="L225" s="47"/>
      <c r="M225" s="47"/>
      <c r="N225" s="156"/>
      <c r="O225" s="156" t="s">
        <v>157</v>
      </c>
      <c r="P225" s="47"/>
      <c r="Q225" s="47"/>
      <c r="R225" s="47"/>
      <c r="S225" s="47" t="s">
        <v>13292</v>
      </c>
      <c r="T225" s="47" t="s">
        <v>13295</v>
      </c>
      <c r="U225" s="47"/>
    </row>
    <row r="226" spans="1:21" x14ac:dyDescent="0.3">
      <c r="A226" s="46">
        <v>227</v>
      </c>
      <c r="B226" s="47" t="s">
        <v>13291</v>
      </c>
      <c r="C226" s="47" t="s">
        <v>13291</v>
      </c>
      <c r="D226" s="47" t="s">
        <v>13291</v>
      </c>
      <c r="E226" s="47" t="s">
        <v>13291</v>
      </c>
      <c r="F226" s="47" t="s">
        <v>13291</v>
      </c>
      <c r="G226" s="47" t="s">
        <v>13291</v>
      </c>
      <c r="H226" s="158">
        <v>1224</v>
      </c>
      <c r="I226" s="156" t="s">
        <v>5451</v>
      </c>
      <c r="J226" s="156" t="s">
        <v>11538</v>
      </c>
      <c r="K226" s="47"/>
      <c r="L226" s="47"/>
      <c r="M226" s="47"/>
      <c r="N226" s="156"/>
      <c r="O226" s="156" t="s">
        <v>157</v>
      </c>
      <c r="P226" s="47"/>
      <c r="Q226" s="47"/>
      <c r="R226" s="47"/>
      <c r="S226" s="47" t="s">
        <v>13292</v>
      </c>
      <c r="T226" s="47" t="s">
        <v>13295</v>
      </c>
      <c r="U226" s="47"/>
    </row>
    <row r="227" spans="1:21" x14ac:dyDescent="0.3">
      <c r="A227" s="46">
        <v>228</v>
      </c>
      <c r="B227" s="47" t="s">
        <v>13291</v>
      </c>
      <c r="C227" s="47" t="s">
        <v>13291</v>
      </c>
      <c r="D227" s="47" t="s">
        <v>13291</v>
      </c>
      <c r="E227" s="47" t="s">
        <v>13291</v>
      </c>
      <c r="F227" s="47" t="s">
        <v>13291</v>
      </c>
      <c r="G227" s="47" t="s">
        <v>13291</v>
      </c>
      <c r="H227" s="158">
        <v>1225</v>
      </c>
      <c r="I227" s="156" t="s">
        <v>5452</v>
      </c>
      <c r="J227" s="156" t="s">
        <v>11568</v>
      </c>
      <c r="K227" s="47"/>
      <c r="L227" s="47"/>
      <c r="M227" s="47"/>
      <c r="N227" s="156"/>
      <c r="O227" s="156" t="s">
        <v>157</v>
      </c>
      <c r="P227" s="47"/>
      <c r="Q227" s="47"/>
      <c r="R227" s="47"/>
      <c r="S227" s="47" t="s">
        <v>13292</v>
      </c>
      <c r="T227" s="47" t="s">
        <v>13295</v>
      </c>
      <c r="U227" s="47"/>
    </row>
    <row r="228" spans="1:21" x14ac:dyDescent="0.3">
      <c r="A228" s="46">
        <v>229</v>
      </c>
      <c r="B228" s="47" t="s">
        <v>13291</v>
      </c>
      <c r="C228" s="47" t="s">
        <v>13291</v>
      </c>
      <c r="D228" s="47" t="s">
        <v>13291</v>
      </c>
      <c r="E228" s="47" t="s">
        <v>13291</v>
      </c>
      <c r="F228" s="47" t="s">
        <v>13291</v>
      </c>
      <c r="G228" s="47" t="s">
        <v>13291</v>
      </c>
      <c r="H228" s="158">
        <v>1226</v>
      </c>
      <c r="I228" s="156" t="s">
        <v>10930</v>
      </c>
      <c r="J228" s="156" t="s">
        <v>11569</v>
      </c>
      <c r="K228" s="47"/>
      <c r="L228" s="47"/>
      <c r="M228" s="47"/>
      <c r="N228" s="156"/>
      <c r="O228" s="156" t="s">
        <v>157</v>
      </c>
      <c r="P228" s="47"/>
      <c r="Q228" s="47"/>
      <c r="R228" s="47"/>
      <c r="S228" s="47" t="s">
        <v>13292</v>
      </c>
      <c r="T228" s="47" t="s">
        <v>13295</v>
      </c>
      <c r="U228" s="47"/>
    </row>
    <row r="229" spans="1:21" x14ac:dyDescent="0.3">
      <c r="A229" s="46">
        <v>230</v>
      </c>
      <c r="B229" s="47" t="s">
        <v>13291</v>
      </c>
      <c r="C229" s="47" t="s">
        <v>13291</v>
      </c>
      <c r="D229" s="47" t="s">
        <v>13291</v>
      </c>
      <c r="E229" s="47" t="s">
        <v>13291</v>
      </c>
      <c r="F229" s="47" t="s">
        <v>13291</v>
      </c>
      <c r="G229" s="47" t="s">
        <v>13291</v>
      </c>
      <c r="H229" s="158">
        <v>1227</v>
      </c>
      <c r="I229" s="156" t="s">
        <v>5453</v>
      </c>
      <c r="J229" s="156" t="s">
        <v>11570</v>
      </c>
      <c r="K229" s="47"/>
      <c r="L229" s="47"/>
      <c r="M229" s="47"/>
      <c r="N229" s="156"/>
      <c r="O229" s="156" t="s">
        <v>157</v>
      </c>
      <c r="P229" s="47"/>
      <c r="Q229" s="47"/>
      <c r="R229" s="47"/>
      <c r="S229" s="47" t="s">
        <v>13292</v>
      </c>
      <c r="T229" s="47" t="s">
        <v>13295</v>
      </c>
      <c r="U229" s="47"/>
    </row>
    <row r="230" spans="1:21" x14ac:dyDescent="0.3">
      <c r="A230" s="46">
        <v>231</v>
      </c>
      <c r="B230" s="47" t="s">
        <v>13291</v>
      </c>
      <c r="C230" s="47" t="s">
        <v>13291</v>
      </c>
      <c r="D230" s="47" t="s">
        <v>13291</v>
      </c>
      <c r="E230" s="47" t="s">
        <v>13291</v>
      </c>
      <c r="F230" s="47" t="s">
        <v>13291</v>
      </c>
      <c r="G230" s="47" t="s">
        <v>13291</v>
      </c>
      <c r="H230" s="158">
        <v>1228</v>
      </c>
      <c r="I230" s="156" t="s">
        <v>5454</v>
      </c>
      <c r="J230" s="156" t="s">
        <v>11571</v>
      </c>
      <c r="K230" s="47"/>
      <c r="L230" s="47"/>
      <c r="M230" s="47"/>
      <c r="N230" s="156"/>
      <c r="O230" s="156" t="s">
        <v>157</v>
      </c>
      <c r="P230" s="47"/>
      <c r="Q230" s="47"/>
      <c r="R230" s="47"/>
      <c r="S230" s="47" t="s">
        <v>13292</v>
      </c>
      <c r="T230" s="47" t="s">
        <v>13295</v>
      </c>
      <c r="U230" s="47"/>
    </row>
    <row r="231" spans="1:21" x14ac:dyDescent="0.3">
      <c r="A231" s="46">
        <v>232</v>
      </c>
      <c r="B231" s="47" t="s">
        <v>13291</v>
      </c>
      <c r="C231" s="47" t="s">
        <v>13291</v>
      </c>
      <c r="D231" s="47" t="s">
        <v>13291</v>
      </c>
      <c r="E231" s="47" t="s">
        <v>13291</v>
      </c>
      <c r="F231" s="47" t="s">
        <v>13291</v>
      </c>
      <c r="G231" s="47" t="s">
        <v>13291</v>
      </c>
      <c r="H231" s="158">
        <v>1229</v>
      </c>
      <c r="I231" s="156" t="s">
        <v>5455</v>
      </c>
      <c r="J231" s="156" t="s">
        <v>11572</v>
      </c>
      <c r="K231" s="47"/>
      <c r="L231" s="47"/>
      <c r="M231" s="47"/>
      <c r="N231" s="156"/>
      <c r="O231" s="156" t="s">
        <v>157</v>
      </c>
      <c r="P231" s="47"/>
      <c r="Q231" s="47"/>
      <c r="R231" s="47"/>
      <c r="S231" s="47" t="s">
        <v>13292</v>
      </c>
      <c r="T231" s="47" t="s">
        <v>13295</v>
      </c>
      <c r="U231" s="47"/>
    </row>
    <row r="232" spans="1:21" x14ac:dyDescent="0.3">
      <c r="A232" s="46">
        <v>233</v>
      </c>
      <c r="B232" s="47" t="s">
        <v>13291</v>
      </c>
      <c r="C232" s="47" t="s">
        <v>13291</v>
      </c>
      <c r="D232" s="47" t="s">
        <v>13291</v>
      </c>
      <c r="E232" s="47" t="s">
        <v>13291</v>
      </c>
      <c r="F232" s="47" t="s">
        <v>13291</v>
      </c>
      <c r="G232" s="47" t="s">
        <v>13291</v>
      </c>
      <c r="H232" s="158">
        <v>1230</v>
      </c>
      <c r="I232" s="156" t="s">
        <v>5456</v>
      </c>
      <c r="J232" s="156" t="s">
        <v>11573</v>
      </c>
      <c r="K232" s="47"/>
      <c r="L232" s="47"/>
      <c r="M232" s="47"/>
      <c r="N232" s="156"/>
      <c r="O232" s="156" t="s">
        <v>157</v>
      </c>
      <c r="P232" s="47"/>
      <c r="Q232" s="47"/>
      <c r="R232" s="47"/>
      <c r="S232" s="47" t="s">
        <v>13292</v>
      </c>
      <c r="T232" s="47" t="s">
        <v>13295</v>
      </c>
      <c r="U232" s="47"/>
    </row>
    <row r="233" spans="1:21" x14ac:dyDescent="0.3">
      <c r="A233" s="46">
        <v>234</v>
      </c>
      <c r="B233" s="47" t="s">
        <v>13291</v>
      </c>
      <c r="C233" s="47" t="s">
        <v>13291</v>
      </c>
      <c r="D233" s="47" t="s">
        <v>13291</v>
      </c>
      <c r="E233" s="47" t="s">
        <v>13291</v>
      </c>
      <c r="F233" s="47" t="s">
        <v>13291</v>
      </c>
      <c r="G233" s="47" t="s">
        <v>13291</v>
      </c>
      <c r="H233" s="158">
        <v>1233</v>
      </c>
      <c r="I233" s="156" t="s">
        <v>5459</v>
      </c>
      <c r="J233" s="156" t="s">
        <v>11942</v>
      </c>
      <c r="K233" s="47"/>
      <c r="L233" s="47"/>
      <c r="M233" s="47"/>
      <c r="N233" s="156"/>
      <c r="O233" s="156" t="s">
        <v>157</v>
      </c>
      <c r="P233" s="47"/>
      <c r="Q233" s="47"/>
      <c r="R233" s="47"/>
      <c r="S233" s="47" t="s">
        <v>13292</v>
      </c>
      <c r="T233" s="47" t="s">
        <v>13295</v>
      </c>
      <c r="U233" s="47"/>
    </row>
    <row r="234" spans="1:21" x14ac:dyDescent="0.3">
      <c r="A234" s="46">
        <v>235</v>
      </c>
      <c r="B234" s="47" t="s">
        <v>13291</v>
      </c>
      <c r="C234" s="47" t="s">
        <v>13291</v>
      </c>
      <c r="D234" s="47" t="s">
        <v>13291</v>
      </c>
      <c r="E234" s="47" t="s">
        <v>13291</v>
      </c>
      <c r="F234" s="47" t="s">
        <v>13291</v>
      </c>
      <c r="G234" s="47" t="s">
        <v>13291</v>
      </c>
      <c r="H234" s="158">
        <v>1234</v>
      </c>
      <c r="I234" s="156" t="s">
        <v>11090</v>
      </c>
      <c r="J234" s="156" t="s">
        <v>11943</v>
      </c>
      <c r="K234" s="47"/>
      <c r="L234" s="47"/>
      <c r="M234" s="47"/>
      <c r="N234" s="156"/>
      <c r="O234" s="156" t="s">
        <v>157</v>
      </c>
      <c r="P234" s="47"/>
      <c r="Q234" s="47"/>
      <c r="R234" s="47"/>
      <c r="S234" s="47" t="s">
        <v>13292</v>
      </c>
      <c r="T234" s="47" t="s">
        <v>13295</v>
      </c>
      <c r="U234" s="47"/>
    </row>
    <row r="235" spans="1:21" x14ac:dyDescent="0.3">
      <c r="A235" s="46">
        <v>236</v>
      </c>
      <c r="B235" s="47" t="s">
        <v>13291</v>
      </c>
      <c r="C235" s="47" t="s">
        <v>13291</v>
      </c>
      <c r="D235" s="47" t="s">
        <v>13291</v>
      </c>
      <c r="E235" s="47" t="s">
        <v>13291</v>
      </c>
      <c r="F235" s="47" t="s">
        <v>13291</v>
      </c>
      <c r="G235" s="47" t="s">
        <v>13291</v>
      </c>
      <c r="H235" s="158">
        <v>1235</v>
      </c>
      <c r="I235" s="156" t="s">
        <v>10950</v>
      </c>
      <c r="J235" s="156" t="s">
        <v>11639</v>
      </c>
      <c r="K235" s="47"/>
      <c r="L235" s="47"/>
      <c r="M235" s="47"/>
      <c r="N235" s="156"/>
      <c r="O235" s="156" t="s">
        <v>157</v>
      </c>
      <c r="P235" s="47"/>
      <c r="Q235" s="47"/>
      <c r="R235" s="47"/>
      <c r="S235" s="47" t="s">
        <v>13292</v>
      </c>
      <c r="T235" s="47" t="s">
        <v>13295</v>
      </c>
      <c r="U235" s="47"/>
    </row>
    <row r="236" spans="1:21" x14ac:dyDescent="0.3">
      <c r="A236" s="46">
        <v>237</v>
      </c>
      <c r="B236" s="47" t="s">
        <v>13291</v>
      </c>
      <c r="C236" s="47" t="s">
        <v>13291</v>
      </c>
      <c r="D236" s="47" t="s">
        <v>13291</v>
      </c>
      <c r="E236" s="47" t="s">
        <v>13291</v>
      </c>
      <c r="F236" s="47" t="s">
        <v>13291</v>
      </c>
      <c r="G236" s="47" t="s">
        <v>13291</v>
      </c>
      <c r="H236" s="158">
        <v>1236</v>
      </c>
      <c r="I236" s="156" t="s">
        <v>10951</v>
      </c>
      <c r="J236" s="156" t="s">
        <v>11640</v>
      </c>
      <c r="K236" s="47"/>
      <c r="L236" s="47"/>
      <c r="M236" s="47"/>
      <c r="N236" s="156"/>
      <c r="O236" s="156" t="s">
        <v>157</v>
      </c>
      <c r="P236" s="47"/>
      <c r="Q236" s="47"/>
      <c r="R236" s="47"/>
      <c r="S236" s="47" t="s">
        <v>13292</v>
      </c>
      <c r="T236" s="47" t="s">
        <v>13295</v>
      </c>
      <c r="U236" s="47"/>
    </row>
    <row r="237" spans="1:21" x14ac:dyDescent="0.3">
      <c r="A237" s="46">
        <v>238</v>
      </c>
      <c r="B237" s="47" t="s">
        <v>13291</v>
      </c>
      <c r="C237" s="47" t="s">
        <v>13291</v>
      </c>
      <c r="D237" s="47" t="s">
        <v>13291</v>
      </c>
      <c r="E237" s="47" t="s">
        <v>13291</v>
      </c>
      <c r="F237" s="47" t="s">
        <v>13291</v>
      </c>
      <c r="G237" s="47" t="s">
        <v>13291</v>
      </c>
      <c r="H237" s="158">
        <v>1237</v>
      </c>
      <c r="I237" s="156" t="s">
        <v>10952</v>
      </c>
      <c r="J237" s="156" t="s">
        <v>11641</v>
      </c>
      <c r="K237" s="47"/>
      <c r="L237" s="47"/>
      <c r="M237" s="47"/>
      <c r="N237" s="156"/>
      <c r="O237" s="156" t="s">
        <v>157</v>
      </c>
      <c r="P237" s="47"/>
      <c r="Q237" s="47"/>
      <c r="R237" s="47"/>
      <c r="S237" s="47" t="s">
        <v>13292</v>
      </c>
      <c r="T237" s="47" t="s">
        <v>13295</v>
      </c>
      <c r="U237" s="47"/>
    </row>
    <row r="238" spans="1:21" x14ac:dyDescent="0.3">
      <c r="A238" s="46">
        <v>239</v>
      </c>
      <c r="B238" s="47" t="s">
        <v>13291</v>
      </c>
      <c r="C238" s="47" t="s">
        <v>13291</v>
      </c>
      <c r="D238" s="47" t="s">
        <v>13291</v>
      </c>
      <c r="E238" s="47" t="s">
        <v>13291</v>
      </c>
      <c r="F238" s="47" t="s">
        <v>13291</v>
      </c>
      <c r="G238" s="47" t="s">
        <v>13291</v>
      </c>
      <c r="H238" s="158">
        <v>1238</v>
      </c>
      <c r="I238" s="156" t="s">
        <v>10994</v>
      </c>
      <c r="J238" s="156" t="s">
        <v>11750</v>
      </c>
      <c r="K238" s="47"/>
      <c r="L238" s="47"/>
      <c r="M238" s="47"/>
      <c r="N238" s="156"/>
      <c r="O238" s="156" t="s">
        <v>157</v>
      </c>
      <c r="P238" s="47"/>
      <c r="Q238" s="47"/>
      <c r="R238" s="47"/>
      <c r="S238" s="47" t="s">
        <v>13292</v>
      </c>
      <c r="T238" s="47" t="s">
        <v>13295</v>
      </c>
      <c r="U238" s="47"/>
    </row>
    <row r="239" spans="1:21" x14ac:dyDescent="0.3">
      <c r="A239" s="46">
        <v>240</v>
      </c>
      <c r="B239" s="47" t="s">
        <v>13291</v>
      </c>
      <c r="C239" s="47" t="s">
        <v>13291</v>
      </c>
      <c r="D239" s="47" t="s">
        <v>13291</v>
      </c>
      <c r="E239" s="47" t="s">
        <v>13291</v>
      </c>
      <c r="F239" s="47" t="s">
        <v>13291</v>
      </c>
      <c r="G239" s="47" t="s">
        <v>13291</v>
      </c>
      <c r="H239" s="158">
        <v>1239</v>
      </c>
      <c r="I239" s="156" t="s">
        <v>5460</v>
      </c>
      <c r="J239" s="156" t="s">
        <v>11981</v>
      </c>
      <c r="K239" s="47"/>
      <c r="L239" s="47"/>
      <c r="M239" s="47"/>
      <c r="N239" s="156"/>
      <c r="O239" s="156" t="s">
        <v>157</v>
      </c>
      <c r="P239" s="47"/>
      <c r="Q239" s="47"/>
      <c r="R239" s="47"/>
      <c r="S239" s="47" t="s">
        <v>13292</v>
      </c>
      <c r="T239" s="47" t="s">
        <v>13295</v>
      </c>
      <c r="U239" s="47"/>
    </row>
    <row r="240" spans="1:21" x14ac:dyDescent="0.3">
      <c r="A240" s="46">
        <v>241</v>
      </c>
      <c r="B240" s="47" t="s">
        <v>13291</v>
      </c>
      <c r="C240" s="47" t="s">
        <v>13291</v>
      </c>
      <c r="D240" s="47" t="s">
        <v>13291</v>
      </c>
      <c r="E240" s="47" t="s">
        <v>13291</v>
      </c>
      <c r="F240" s="47" t="s">
        <v>13291</v>
      </c>
      <c r="G240" s="47" t="s">
        <v>13291</v>
      </c>
      <c r="H240" s="158">
        <v>1240</v>
      </c>
      <c r="I240" s="156" t="s">
        <v>11105</v>
      </c>
      <c r="J240" s="156" t="s">
        <v>11982</v>
      </c>
      <c r="K240" s="47"/>
      <c r="L240" s="47"/>
      <c r="M240" s="47"/>
      <c r="N240" s="156"/>
      <c r="O240" s="156" t="s">
        <v>157</v>
      </c>
      <c r="P240" s="47"/>
      <c r="Q240" s="47"/>
      <c r="R240" s="47"/>
      <c r="S240" s="47" t="s">
        <v>13292</v>
      </c>
      <c r="T240" s="47" t="s">
        <v>13295</v>
      </c>
      <c r="U240" s="47"/>
    </row>
    <row r="241" spans="1:21" x14ac:dyDescent="0.3">
      <c r="A241" s="46">
        <v>242</v>
      </c>
      <c r="B241" s="47" t="s">
        <v>13291</v>
      </c>
      <c r="C241" s="47" t="s">
        <v>13291</v>
      </c>
      <c r="D241" s="47" t="s">
        <v>13291</v>
      </c>
      <c r="E241" s="47" t="s">
        <v>13291</v>
      </c>
      <c r="F241" s="47" t="s">
        <v>13291</v>
      </c>
      <c r="G241" s="47" t="s">
        <v>13291</v>
      </c>
      <c r="H241" s="158">
        <v>1241</v>
      </c>
      <c r="I241" s="156" t="s">
        <v>11106</v>
      </c>
      <c r="J241" s="156" t="s">
        <v>11983</v>
      </c>
      <c r="K241" s="47"/>
      <c r="L241" s="47"/>
      <c r="M241" s="47"/>
      <c r="N241" s="156"/>
      <c r="O241" s="156" t="s">
        <v>157</v>
      </c>
      <c r="P241" s="47"/>
      <c r="Q241" s="47"/>
      <c r="R241" s="47"/>
      <c r="S241" s="47" t="s">
        <v>13292</v>
      </c>
      <c r="T241" s="47" t="s">
        <v>13295</v>
      </c>
      <c r="U241" s="47"/>
    </row>
    <row r="242" spans="1:21" x14ac:dyDescent="0.3">
      <c r="A242" s="46">
        <v>243</v>
      </c>
      <c r="B242" s="47" t="s">
        <v>13291</v>
      </c>
      <c r="C242" s="47" t="s">
        <v>13291</v>
      </c>
      <c r="D242" s="47" t="s">
        <v>13291</v>
      </c>
      <c r="E242" s="47" t="s">
        <v>13291</v>
      </c>
      <c r="F242" s="47" t="s">
        <v>13291</v>
      </c>
      <c r="G242" s="47" t="s">
        <v>13291</v>
      </c>
      <c r="H242" s="158">
        <v>1242</v>
      </c>
      <c r="I242" s="156" t="s">
        <v>5461</v>
      </c>
      <c r="J242" s="156" t="s">
        <v>12022</v>
      </c>
      <c r="K242" s="47"/>
      <c r="L242" s="47"/>
      <c r="M242" s="47"/>
      <c r="N242" s="156"/>
      <c r="O242" s="156" t="s">
        <v>157</v>
      </c>
      <c r="P242" s="47"/>
      <c r="Q242" s="47"/>
      <c r="R242" s="47"/>
      <c r="S242" s="47" t="s">
        <v>13292</v>
      </c>
      <c r="T242" s="47" t="s">
        <v>13295</v>
      </c>
      <c r="U242" s="47"/>
    </row>
    <row r="243" spans="1:21" x14ac:dyDescent="0.3">
      <c r="A243" s="46">
        <v>244</v>
      </c>
      <c r="B243" s="47" t="s">
        <v>13291</v>
      </c>
      <c r="C243" s="47" t="s">
        <v>13291</v>
      </c>
      <c r="D243" s="47" t="s">
        <v>13291</v>
      </c>
      <c r="E243" s="47" t="s">
        <v>13291</v>
      </c>
      <c r="F243" s="47" t="s">
        <v>13291</v>
      </c>
      <c r="G243" s="47" t="s">
        <v>13291</v>
      </c>
      <c r="H243" s="158">
        <v>1243</v>
      </c>
      <c r="I243" s="156" t="s">
        <v>5462</v>
      </c>
      <c r="J243" s="156" t="s">
        <v>11751</v>
      </c>
      <c r="K243" s="47"/>
      <c r="L243" s="47"/>
      <c r="M243" s="47"/>
      <c r="N243" s="156"/>
      <c r="O243" s="156" t="s">
        <v>157</v>
      </c>
      <c r="P243" s="47"/>
      <c r="Q243" s="47"/>
      <c r="R243" s="47"/>
      <c r="S243" s="47" t="s">
        <v>13292</v>
      </c>
      <c r="T243" s="47" t="s">
        <v>13295</v>
      </c>
      <c r="U243" s="47"/>
    </row>
    <row r="244" spans="1:21" x14ac:dyDescent="0.3">
      <c r="A244" s="46">
        <v>245</v>
      </c>
      <c r="B244" s="47" t="s">
        <v>13291</v>
      </c>
      <c r="C244" s="47" t="s">
        <v>13291</v>
      </c>
      <c r="D244" s="47" t="s">
        <v>13291</v>
      </c>
      <c r="E244" s="47" t="s">
        <v>13291</v>
      </c>
      <c r="F244" s="47" t="s">
        <v>13291</v>
      </c>
      <c r="G244" s="47" t="s">
        <v>13291</v>
      </c>
      <c r="H244" s="158">
        <v>1244</v>
      </c>
      <c r="I244" s="156" t="s">
        <v>5463</v>
      </c>
      <c r="J244" s="156" t="s">
        <v>12065</v>
      </c>
      <c r="K244" s="47"/>
      <c r="L244" s="47"/>
      <c r="M244" s="47"/>
      <c r="N244" s="156"/>
      <c r="O244" s="156" t="s">
        <v>157</v>
      </c>
      <c r="P244" s="47"/>
      <c r="Q244" s="47"/>
      <c r="R244" s="47"/>
      <c r="S244" s="47" t="s">
        <v>13292</v>
      </c>
      <c r="T244" s="47" t="s">
        <v>13295</v>
      </c>
      <c r="U244" s="47"/>
    </row>
    <row r="245" spans="1:21" x14ac:dyDescent="0.3">
      <c r="A245" s="46">
        <v>246</v>
      </c>
      <c r="B245" s="47" t="s">
        <v>13291</v>
      </c>
      <c r="C245" s="47" t="s">
        <v>13291</v>
      </c>
      <c r="D245" s="47" t="s">
        <v>13291</v>
      </c>
      <c r="E245" s="47" t="s">
        <v>13291</v>
      </c>
      <c r="F245" s="47" t="s">
        <v>13291</v>
      </c>
      <c r="G245" s="47" t="s">
        <v>13291</v>
      </c>
      <c r="H245" s="158">
        <v>1245</v>
      </c>
      <c r="I245" s="156" t="s">
        <v>10995</v>
      </c>
      <c r="J245" s="156" t="s">
        <v>11752</v>
      </c>
      <c r="K245" s="47"/>
      <c r="L245" s="47"/>
      <c r="M245" s="47"/>
      <c r="N245" s="156"/>
      <c r="O245" s="156" t="s">
        <v>157</v>
      </c>
      <c r="P245" s="47"/>
      <c r="Q245" s="47"/>
      <c r="R245" s="47"/>
      <c r="S245" s="47" t="s">
        <v>13292</v>
      </c>
      <c r="T245" s="47" t="s">
        <v>13295</v>
      </c>
      <c r="U245" s="47"/>
    </row>
    <row r="246" spans="1:21" x14ac:dyDescent="0.3">
      <c r="A246" s="46">
        <v>247</v>
      </c>
      <c r="B246" s="47" t="s">
        <v>13291</v>
      </c>
      <c r="C246" s="47" t="s">
        <v>13291</v>
      </c>
      <c r="D246" s="47" t="s">
        <v>13291</v>
      </c>
      <c r="E246" s="47" t="s">
        <v>13291</v>
      </c>
      <c r="F246" s="47" t="s">
        <v>13291</v>
      </c>
      <c r="G246" s="47" t="s">
        <v>13291</v>
      </c>
      <c r="H246" s="158">
        <v>1246</v>
      </c>
      <c r="I246" s="156" t="s">
        <v>5464</v>
      </c>
      <c r="J246" s="156" t="s">
        <v>11753</v>
      </c>
      <c r="K246" s="47"/>
      <c r="L246" s="47"/>
      <c r="M246" s="47"/>
      <c r="N246" s="156"/>
      <c r="O246" s="156" t="s">
        <v>157</v>
      </c>
      <c r="P246" s="47"/>
      <c r="Q246" s="47"/>
      <c r="R246" s="47"/>
      <c r="S246" s="47" t="s">
        <v>13292</v>
      </c>
      <c r="T246" s="47" t="s">
        <v>13295</v>
      </c>
      <c r="U246" s="47"/>
    </row>
    <row r="247" spans="1:21" x14ac:dyDescent="0.3">
      <c r="A247" s="46">
        <v>248</v>
      </c>
      <c r="B247" s="47" t="s">
        <v>13291</v>
      </c>
      <c r="C247" s="47" t="s">
        <v>13291</v>
      </c>
      <c r="D247" s="47" t="s">
        <v>13291</v>
      </c>
      <c r="E247" s="47" t="s">
        <v>13291</v>
      </c>
      <c r="F247" s="47" t="s">
        <v>13291</v>
      </c>
      <c r="G247" s="47" t="s">
        <v>13291</v>
      </c>
      <c r="H247" s="158">
        <v>1247</v>
      </c>
      <c r="I247" s="156" t="s">
        <v>10996</v>
      </c>
      <c r="J247" s="156" t="s">
        <v>11754</v>
      </c>
      <c r="K247" s="47"/>
      <c r="L247" s="47"/>
      <c r="M247" s="47"/>
      <c r="N247" s="156"/>
      <c r="O247" s="156" t="s">
        <v>157</v>
      </c>
      <c r="P247" s="47"/>
      <c r="Q247" s="47"/>
      <c r="R247" s="47"/>
      <c r="S247" s="47" t="s">
        <v>13292</v>
      </c>
      <c r="T247" s="47" t="s">
        <v>13295</v>
      </c>
      <c r="U247" s="47"/>
    </row>
    <row r="248" spans="1:21" x14ac:dyDescent="0.3">
      <c r="A248" s="46">
        <v>249</v>
      </c>
      <c r="B248" s="47" t="s">
        <v>13291</v>
      </c>
      <c r="C248" s="47" t="s">
        <v>13291</v>
      </c>
      <c r="D248" s="47" t="s">
        <v>13291</v>
      </c>
      <c r="E248" s="47" t="s">
        <v>13291</v>
      </c>
      <c r="F248" s="47" t="s">
        <v>13291</v>
      </c>
      <c r="G248" s="47" t="s">
        <v>13291</v>
      </c>
      <c r="H248" s="158">
        <v>1248</v>
      </c>
      <c r="I248" s="156" t="s">
        <v>10997</v>
      </c>
      <c r="J248" s="156" t="s">
        <v>11755</v>
      </c>
      <c r="K248" s="47"/>
      <c r="L248" s="47"/>
      <c r="M248" s="47"/>
      <c r="N248" s="156"/>
      <c r="O248" s="156" t="s">
        <v>157</v>
      </c>
      <c r="P248" s="47"/>
      <c r="Q248" s="47"/>
      <c r="R248" s="47"/>
      <c r="S248" s="47" t="s">
        <v>13292</v>
      </c>
      <c r="T248" s="47" t="s">
        <v>13295</v>
      </c>
      <c r="U248" s="47"/>
    </row>
    <row r="249" spans="1:21" x14ac:dyDescent="0.3">
      <c r="A249" s="46">
        <v>250</v>
      </c>
      <c r="B249" s="47" t="s">
        <v>13291</v>
      </c>
      <c r="C249" s="47" t="s">
        <v>13291</v>
      </c>
      <c r="D249" s="47" t="s">
        <v>13291</v>
      </c>
      <c r="E249" s="47" t="s">
        <v>13291</v>
      </c>
      <c r="F249" s="47" t="s">
        <v>13291</v>
      </c>
      <c r="G249" s="47" t="s">
        <v>13291</v>
      </c>
      <c r="H249" s="158">
        <v>1249</v>
      </c>
      <c r="I249" s="156" t="s">
        <v>10998</v>
      </c>
      <c r="J249" s="156" t="s">
        <v>11756</v>
      </c>
      <c r="K249" s="47"/>
      <c r="L249" s="47"/>
      <c r="M249" s="47"/>
      <c r="N249" s="156"/>
      <c r="O249" s="156" t="s">
        <v>157</v>
      </c>
      <c r="P249" s="47"/>
      <c r="Q249" s="47"/>
      <c r="R249" s="47"/>
      <c r="S249" s="47" t="s">
        <v>13292</v>
      </c>
      <c r="T249" s="47" t="s">
        <v>13295</v>
      </c>
      <c r="U249" s="47"/>
    </row>
    <row r="250" spans="1:21" x14ac:dyDescent="0.3">
      <c r="A250" s="46">
        <v>251</v>
      </c>
      <c r="B250" s="47" t="s">
        <v>13291</v>
      </c>
      <c r="C250" s="47" t="s">
        <v>13291</v>
      </c>
      <c r="D250" s="47" t="s">
        <v>13291</v>
      </c>
      <c r="E250" s="47" t="s">
        <v>13291</v>
      </c>
      <c r="F250" s="47" t="s">
        <v>13291</v>
      </c>
      <c r="G250" s="47" t="s">
        <v>13291</v>
      </c>
      <c r="H250" s="158">
        <v>1250</v>
      </c>
      <c r="I250" s="156" t="s">
        <v>10999</v>
      </c>
      <c r="J250" s="156" t="s">
        <v>11757</v>
      </c>
      <c r="K250" s="47"/>
      <c r="L250" s="47"/>
      <c r="M250" s="47"/>
      <c r="N250" s="156"/>
      <c r="O250" s="156" t="s">
        <v>157</v>
      </c>
      <c r="P250" s="47"/>
      <c r="Q250" s="47"/>
      <c r="R250" s="47"/>
      <c r="S250" s="47" t="s">
        <v>13292</v>
      </c>
      <c r="T250" s="47" t="s">
        <v>13295</v>
      </c>
      <c r="U250" s="47"/>
    </row>
    <row r="251" spans="1:21" x14ac:dyDescent="0.3">
      <c r="A251" s="46">
        <v>252</v>
      </c>
      <c r="B251" s="47" t="s">
        <v>13291</v>
      </c>
      <c r="C251" s="47" t="s">
        <v>13291</v>
      </c>
      <c r="D251" s="47" t="s">
        <v>13291</v>
      </c>
      <c r="E251" s="47" t="s">
        <v>13291</v>
      </c>
      <c r="F251" s="47" t="s">
        <v>13291</v>
      </c>
      <c r="G251" s="47" t="s">
        <v>13291</v>
      </c>
      <c r="H251" s="158">
        <v>1251</v>
      </c>
      <c r="I251" s="156" t="s">
        <v>5465</v>
      </c>
      <c r="J251" s="156" t="s">
        <v>11758</v>
      </c>
      <c r="K251" s="47"/>
      <c r="L251" s="47"/>
      <c r="M251" s="47"/>
      <c r="N251" s="156"/>
      <c r="O251" s="156" t="s">
        <v>157</v>
      </c>
      <c r="P251" s="47"/>
      <c r="Q251" s="47"/>
      <c r="R251" s="47"/>
      <c r="S251" s="47" t="s">
        <v>13292</v>
      </c>
      <c r="T251" s="47" t="s">
        <v>13295</v>
      </c>
      <c r="U251" s="47"/>
    </row>
    <row r="252" spans="1:21" x14ac:dyDescent="0.3">
      <c r="A252" s="46">
        <v>253</v>
      </c>
      <c r="B252" s="47" t="s">
        <v>13291</v>
      </c>
      <c r="C252" s="47" t="s">
        <v>13291</v>
      </c>
      <c r="D252" s="47" t="s">
        <v>13291</v>
      </c>
      <c r="E252" s="47" t="s">
        <v>13291</v>
      </c>
      <c r="F252" s="47" t="s">
        <v>13291</v>
      </c>
      <c r="G252" s="47" t="s">
        <v>13291</v>
      </c>
      <c r="H252" s="158">
        <v>1252</v>
      </c>
      <c r="I252" s="156" t="s">
        <v>5466</v>
      </c>
      <c r="J252" s="156" t="s">
        <v>11574</v>
      </c>
      <c r="K252" s="47"/>
      <c r="L252" s="47"/>
      <c r="M252" s="47"/>
      <c r="N252" s="156"/>
      <c r="O252" s="156" t="s">
        <v>157</v>
      </c>
      <c r="P252" s="47"/>
      <c r="Q252" s="47"/>
      <c r="R252" s="47"/>
      <c r="S252" s="47" t="s">
        <v>13292</v>
      </c>
      <c r="T252" s="47" t="s">
        <v>13295</v>
      </c>
      <c r="U252" s="47"/>
    </row>
    <row r="253" spans="1:21" x14ac:dyDescent="0.3">
      <c r="A253" s="46">
        <v>254</v>
      </c>
      <c r="B253" s="47" t="s">
        <v>13291</v>
      </c>
      <c r="C253" s="47" t="s">
        <v>13291</v>
      </c>
      <c r="D253" s="47" t="s">
        <v>13291</v>
      </c>
      <c r="E253" s="47" t="s">
        <v>13291</v>
      </c>
      <c r="F253" s="47" t="s">
        <v>13291</v>
      </c>
      <c r="G253" s="47" t="s">
        <v>13291</v>
      </c>
      <c r="H253" s="158">
        <v>1253</v>
      </c>
      <c r="I253" s="156" t="s">
        <v>5467</v>
      </c>
      <c r="J253" s="156" t="s">
        <v>12139</v>
      </c>
      <c r="K253" s="47"/>
      <c r="L253" s="47"/>
      <c r="M253" s="47"/>
      <c r="N253" s="156"/>
      <c r="O253" s="156" t="s">
        <v>157</v>
      </c>
      <c r="P253" s="47"/>
      <c r="Q253" s="47"/>
      <c r="R253" s="47"/>
      <c r="S253" s="47" t="s">
        <v>13292</v>
      </c>
      <c r="T253" s="47" t="s">
        <v>13295</v>
      </c>
      <c r="U253" s="47"/>
    </row>
    <row r="254" spans="1:21" x14ac:dyDescent="0.3">
      <c r="A254" s="46">
        <v>255</v>
      </c>
      <c r="B254" s="47" t="s">
        <v>13291</v>
      </c>
      <c r="C254" s="47" t="s">
        <v>13291</v>
      </c>
      <c r="D254" s="47" t="s">
        <v>13291</v>
      </c>
      <c r="E254" s="47" t="s">
        <v>13291</v>
      </c>
      <c r="F254" s="47" t="s">
        <v>13291</v>
      </c>
      <c r="G254" s="47" t="s">
        <v>13291</v>
      </c>
      <c r="H254" s="158">
        <v>1254</v>
      </c>
      <c r="I254" s="156" t="s">
        <v>11179</v>
      </c>
      <c r="J254" s="156" t="s">
        <v>12140</v>
      </c>
      <c r="K254" s="47"/>
      <c r="L254" s="47"/>
      <c r="M254" s="47"/>
      <c r="N254" s="156"/>
      <c r="O254" s="156" t="s">
        <v>157</v>
      </c>
      <c r="P254" s="47"/>
      <c r="Q254" s="47"/>
      <c r="R254" s="47"/>
      <c r="S254" s="47" t="s">
        <v>13292</v>
      </c>
      <c r="T254" s="47" t="s">
        <v>13295</v>
      </c>
      <c r="U254" s="47"/>
    </row>
    <row r="255" spans="1:21" x14ac:dyDescent="0.3">
      <c r="A255" s="46">
        <v>256</v>
      </c>
      <c r="B255" s="47" t="s">
        <v>13291</v>
      </c>
      <c r="C255" s="47" t="s">
        <v>13291</v>
      </c>
      <c r="D255" s="47" t="s">
        <v>13291</v>
      </c>
      <c r="E255" s="47" t="s">
        <v>13291</v>
      </c>
      <c r="F255" s="47" t="s">
        <v>13291</v>
      </c>
      <c r="G255" s="47" t="s">
        <v>13291</v>
      </c>
      <c r="H255" s="158">
        <v>1255</v>
      </c>
      <c r="I255" s="156" t="s">
        <v>5468</v>
      </c>
      <c r="J255" s="156" t="s">
        <v>12141</v>
      </c>
      <c r="K255" s="47"/>
      <c r="L255" s="47"/>
      <c r="M255" s="47"/>
      <c r="N255" s="156"/>
      <c r="O255" s="156" t="s">
        <v>157</v>
      </c>
      <c r="P255" s="47"/>
      <c r="Q255" s="47"/>
      <c r="R255" s="47"/>
      <c r="S255" s="47" t="s">
        <v>13292</v>
      </c>
      <c r="T255" s="47" t="s">
        <v>13295</v>
      </c>
      <c r="U255" s="47"/>
    </row>
    <row r="256" spans="1:21" x14ac:dyDescent="0.3">
      <c r="A256" s="46">
        <v>257</v>
      </c>
      <c r="B256" s="47" t="s">
        <v>13291</v>
      </c>
      <c r="C256" s="47" t="s">
        <v>13291</v>
      </c>
      <c r="D256" s="47" t="s">
        <v>13291</v>
      </c>
      <c r="E256" s="47" t="s">
        <v>13291</v>
      </c>
      <c r="F256" s="47" t="s">
        <v>13291</v>
      </c>
      <c r="G256" s="47" t="s">
        <v>13291</v>
      </c>
      <c r="H256" s="158">
        <v>1256</v>
      </c>
      <c r="I256" s="156" t="s">
        <v>5469</v>
      </c>
      <c r="J256" s="156" t="s">
        <v>11759</v>
      </c>
      <c r="K256" s="47"/>
      <c r="L256" s="47"/>
      <c r="M256" s="47"/>
      <c r="N256" s="156"/>
      <c r="O256" s="156" t="s">
        <v>157</v>
      </c>
      <c r="P256" s="47"/>
      <c r="Q256" s="47"/>
      <c r="R256" s="47"/>
      <c r="S256" s="47" t="s">
        <v>13292</v>
      </c>
      <c r="T256" s="47" t="s">
        <v>13295</v>
      </c>
      <c r="U256" s="47"/>
    </row>
    <row r="257" spans="1:21" x14ac:dyDescent="0.3">
      <c r="A257" s="46">
        <v>258</v>
      </c>
      <c r="B257" s="47" t="s">
        <v>13291</v>
      </c>
      <c r="C257" s="47" t="s">
        <v>13291</v>
      </c>
      <c r="D257" s="47" t="s">
        <v>13291</v>
      </c>
      <c r="E257" s="47" t="s">
        <v>13291</v>
      </c>
      <c r="F257" s="47" t="s">
        <v>13291</v>
      </c>
      <c r="G257" s="47" t="s">
        <v>13291</v>
      </c>
      <c r="H257" s="158">
        <v>1257</v>
      </c>
      <c r="I257" s="156" t="s">
        <v>5470</v>
      </c>
      <c r="J257" s="156" t="s">
        <v>12142</v>
      </c>
      <c r="K257" s="47"/>
      <c r="L257" s="47"/>
      <c r="M257" s="47"/>
      <c r="N257" s="156"/>
      <c r="O257" s="156" t="s">
        <v>157</v>
      </c>
      <c r="P257" s="47"/>
      <c r="Q257" s="47"/>
      <c r="R257" s="47"/>
      <c r="S257" s="47" t="s">
        <v>13292</v>
      </c>
      <c r="T257" s="47" t="s">
        <v>13295</v>
      </c>
      <c r="U257" s="47"/>
    </row>
    <row r="258" spans="1:21" x14ac:dyDescent="0.3">
      <c r="A258" s="46">
        <v>259</v>
      </c>
      <c r="B258" s="47" t="s">
        <v>13291</v>
      </c>
      <c r="C258" s="47" t="s">
        <v>13291</v>
      </c>
      <c r="D258" s="47" t="s">
        <v>13291</v>
      </c>
      <c r="E258" s="47" t="s">
        <v>13291</v>
      </c>
      <c r="F258" s="47" t="s">
        <v>13291</v>
      </c>
      <c r="G258" s="47" t="s">
        <v>13291</v>
      </c>
      <c r="H258" s="158">
        <v>1258</v>
      </c>
      <c r="I258" s="156" t="s">
        <v>5471</v>
      </c>
      <c r="J258" s="156" t="s">
        <v>12143</v>
      </c>
      <c r="K258" s="47"/>
      <c r="L258" s="47"/>
      <c r="M258" s="47"/>
      <c r="N258" s="156"/>
      <c r="O258" s="156" t="s">
        <v>157</v>
      </c>
      <c r="P258" s="47"/>
      <c r="Q258" s="47"/>
      <c r="R258" s="47"/>
      <c r="S258" s="47" t="s">
        <v>13292</v>
      </c>
      <c r="T258" s="47" t="s">
        <v>13295</v>
      </c>
      <c r="U258" s="47"/>
    </row>
    <row r="259" spans="1:21" x14ac:dyDescent="0.3">
      <c r="A259" s="46">
        <v>260</v>
      </c>
      <c r="B259" s="47" t="s">
        <v>13291</v>
      </c>
      <c r="C259" s="47" t="s">
        <v>13291</v>
      </c>
      <c r="D259" s="47" t="s">
        <v>13291</v>
      </c>
      <c r="E259" s="47" t="s">
        <v>13291</v>
      </c>
      <c r="F259" s="47" t="s">
        <v>13291</v>
      </c>
      <c r="G259" s="47" t="s">
        <v>13291</v>
      </c>
      <c r="H259" s="158">
        <v>1259</v>
      </c>
      <c r="I259" s="156" t="s">
        <v>5472</v>
      </c>
      <c r="J259" s="156" t="s">
        <v>11760</v>
      </c>
      <c r="K259" s="47"/>
      <c r="L259" s="47"/>
      <c r="M259" s="47"/>
      <c r="N259" s="156"/>
      <c r="O259" s="156" t="s">
        <v>157</v>
      </c>
      <c r="P259" s="47"/>
      <c r="Q259" s="47"/>
      <c r="R259" s="47"/>
      <c r="S259" s="47" t="s">
        <v>13292</v>
      </c>
      <c r="T259" s="47" t="s">
        <v>13295</v>
      </c>
      <c r="U259" s="47"/>
    </row>
    <row r="260" spans="1:21" x14ac:dyDescent="0.3">
      <c r="A260" s="46">
        <v>261</v>
      </c>
      <c r="B260" s="47" t="s">
        <v>13291</v>
      </c>
      <c r="C260" s="47" t="s">
        <v>13291</v>
      </c>
      <c r="D260" s="47" t="s">
        <v>13291</v>
      </c>
      <c r="E260" s="47" t="s">
        <v>13291</v>
      </c>
      <c r="F260" s="47" t="s">
        <v>13291</v>
      </c>
      <c r="G260" s="47" t="s">
        <v>13291</v>
      </c>
      <c r="H260" s="158">
        <v>1260</v>
      </c>
      <c r="I260" s="156" t="s">
        <v>5473</v>
      </c>
      <c r="J260" s="156" t="s">
        <v>11761</v>
      </c>
      <c r="K260" s="47"/>
      <c r="L260" s="47"/>
      <c r="M260" s="47"/>
      <c r="N260" s="156"/>
      <c r="O260" s="156" t="s">
        <v>157</v>
      </c>
      <c r="P260" s="47"/>
      <c r="Q260" s="47"/>
      <c r="R260" s="47"/>
      <c r="S260" s="47" t="s">
        <v>13292</v>
      </c>
      <c r="T260" s="47" t="s">
        <v>13295</v>
      </c>
      <c r="U260" s="47"/>
    </row>
    <row r="261" spans="1:21" x14ac:dyDescent="0.3">
      <c r="A261" s="46">
        <v>262</v>
      </c>
      <c r="B261" s="47" t="s">
        <v>13291</v>
      </c>
      <c r="C261" s="47" t="s">
        <v>13291</v>
      </c>
      <c r="D261" s="47" t="s">
        <v>13291</v>
      </c>
      <c r="E261" s="47" t="s">
        <v>13291</v>
      </c>
      <c r="F261" s="47" t="s">
        <v>13291</v>
      </c>
      <c r="G261" s="47" t="s">
        <v>13291</v>
      </c>
      <c r="H261" s="158">
        <v>1261</v>
      </c>
      <c r="I261" s="156" t="s">
        <v>5474</v>
      </c>
      <c r="J261" s="156" t="s">
        <v>11762</v>
      </c>
      <c r="K261" s="47"/>
      <c r="L261" s="47"/>
      <c r="M261" s="47"/>
      <c r="N261" s="156"/>
      <c r="O261" s="156" t="s">
        <v>157</v>
      </c>
      <c r="P261" s="47"/>
      <c r="Q261" s="47"/>
      <c r="R261" s="47"/>
      <c r="S261" s="47" t="s">
        <v>13292</v>
      </c>
      <c r="T261" s="47" t="s">
        <v>13295</v>
      </c>
      <c r="U261" s="47"/>
    </row>
    <row r="262" spans="1:21" x14ac:dyDescent="0.3">
      <c r="A262" s="46">
        <v>263</v>
      </c>
      <c r="B262" s="47" t="s">
        <v>13291</v>
      </c>
      <c r="C262" s="47" t="s">
        <v>13291</v>
      </c>
      <c r="D262" s="47" t="s">
        <v>13291</v>
      </c>
      <c r="E262" s="47" t="s">
        <v>13291</v>
      </c>
      <c r="F262" s="47" t="s">
        <v>13291</v>
      </c>
      <c r="G262" s="47" t="s">
        <v>13291</v>
      </c>
      <c r="H262" s="158">
        <v>1262</v>
      </c>
      <c r="I262" s="156" t="s">
        <v>5475</v>
      </c>
      <c r="J262" s="156" t="s">
        <v>12144</v>
      </c>
      <c r="K262" s="47"/>
      <c r="L262" s="47"/>
      <c r="M262" s="47"/>
      <c r="N262" s="156"/>
      <c r="O262" s="156" t="s">
        <v>157</v>
      </c>
      <c r="P262" s="47"/>
      <c r="Q262" s="47"/>
      <c r="R262" s="47"/>
      <c r="S262" s="47" t="s">
        <v>13292</v>
      </c>
      <c r="T262" s="47" t="s">
        <v>13295</v>
      </c>
      <c r="U262" s="47"/>
    </row>
    <row r="263" spans="1:21" x14ac:dyDescent="0.3">
      <c r="A263" s="46">
        <v>264</v>
      </c>
      <c r="B263" s="47" t="s">
        <v>13291</v>
      </c>
      <c r="C263" s="47" t="s">
        <v>13291</v>
      </c>
      <c r="D263" s="47" t="s">
        <v>13291</v>
      </c>
      <c r="E263" s="47" t="s">
        <v>13291</v>
      </c>
      <c r="F263" s="47" t="s">
        <v>13291</v>
      </c>
      <c r="G263" s="47" t="s">
        <v>13291</v>
      </c>
      <c r="H263" s="158">
        <v>1263</v>
      </c>
      <c r="I263" s="156" t="s">
        <v>11180</v>
      </c>
      <c r="J263" s="156" t="s">
        <v>12145</v>
      </c>
      <c r="K263" s="47"/>
      <c r="L263" s="47"/>
      <c r="M263" s="47"/>
      <c r="N263" s="156"/>
      <c r="O263" s="156" t="s">
        <v>157</v>
      </c>
      <c r="P263" s="47"/>
      <c r="Q263" s="47"/>
      <c r="R263" s="47"/>
      <c r="S263" s="47" t="s">
        <v>13292</v>
      </c>
      <c r="T263" s="47" t="s">
        <v>13295</v>
      </c>
      <c r="U263" s="47"/>
    </row>
    <row r="264" spans="1:21" x14ac:dyDescent="0.3">
      <c r="A264" s="46">
        <v>265</v>
      </c>
      <c r="B264" s="47" t="s">
        <v>13291</v>
      </c>
      <c r="C264" s="47" t="s">
        <v>13291</v>
      </c>
      <c r="D264" s="47" t="s">
        <v>13291</v>
      </c>
      <c r="E264" s="47" t="s">
        <v>13291</v>
      </c>
      <c r="F264" s="47" t="s">
        <v>13291</v>
      </c>
      <c r="G264" s="47" t="s">
        <v>13291</v>
      </c>
      <c r="H264" s="158">
        <v>1264</v>
      </c>
      <c r="I264" s="156" t="s">
        <v>11181</v>
      </c>
      <c r="J264" s="156" t="s">
        <v>12146</v>
      </c>
      <c r="K264" s="47"/>
      <c r="L264" s="47"/>
      <c r="M264" s="47"/>
      <c r="N264" s="156"/>
      <c r="O264" s="156" t="s">
        <v>157</v>
      </c>
      <c r="P264" s="47"/>
      <c r="Q264" s="47"/>
      <c r="R264" s="47"/>
      <c r="S264" s="47" t="s">
        <v>13292</v>
      </c>
      <c r="T264" s="47" t="s">
        <v>13295</v>
      </c>
      <c r="U264" s="47"/>
    </row>
    <row r="265" spans="1:21" x14ac:dyDescent="0.3">
      <c r="A265" s="46">
        <v>266</v>
      </c>
      <c r="B265" s="47" t="s">
        <v>13291</v>
      </c>
      <c r="C265" s="47" t="s">
        <v>13291</v>
      </c>
      <c r="D265" s="47" t="s">
        <v>13291</v>
      </c>
      <c r="E265" s="47" t="s">
        <v>13291</v>
      </c>
      <c r="F265" s="47" t="s">
        <v>13291</v>
      </c>
      <c r="G265" s="47" t="s">
        <v>13291</v>
      </c>
      <c r="H265" s="158">
        <v>1265</v>
      </c>
      <c r="I265" s="156" t="s">
        <v>10931</v>
      </c>
      <c r="J265" s="156" t="s">
        <v>11575</v>
      </c>
      <c r="K265" s="47"/>
      <c r="L265" s="47"/>
      <c r="M265" s="47"/>
      <c r="N265" s="156"/>
      <c r="O265" s="156" t="s">
        <v>157</v>
      </c>
      <c r="P265" s="47"/>
      <c r="Q265" s="47"/>
      <c r="R265" s="47"/>
      <c r="S265" s="47" t="s">
        <v>13292</v>
      </c>
      <c r="T265" s="47" t="s">
        <v>13295</v>
      </c>
      <c r="U265" s="47"/>
    </row>
    <row r="266" spans="1:21" x14ac:dyDescent="0.3">
      <c r="A266" s="46">
        <v>267</v>
      </c>
      <c r="B266" s="47" t="s">
        <v>13291</v>
      </c>
      <c r="C266" s="47" t="s">
        <v>13291</v>
      </c>
      <c r="D266" s="47" t="s">
        <v>13291</v>
      </c>
      <c r="E266" s="47" t="s">
        <v>13291</v>
      </c>
      <c r="F266" s="47" t="s">
        <v>13291</v>
      </c>
      <c r="G266" s="47" t="s">
        <v>13291</v>
      </c>
      <c r="H266" s="158">
        <v>1266</v>
      </c>
      <c r="I266" s="156" t="s">
        <v>5476</v>
      </c>
      <c r="J266" s="156" t="s">
        <v>11539</v>
      </c>
      <c r="K266" s="47"/>
      <c r="L266" s="47"/>
      <c r="M266" s="47"/>
      <c r="N266" s="156"/>
      <c r="O266" s="156" t="s">
        <v>157</v>
      </c>
      <c r="P266" s="47"/>
      <c r="Q266" s="47"/>
      <c r="R266" s="47"/>
      <c r="S266" s="47" t="s">
        <v>13292</v>
      </c>
      <c r="T266" s="47" t="s">
        <v>13295</v>
      </c>
      <c r="U266" s="47"/>
    </row>
    <row r="267" spans="1:21" x14ac:dyDescent="0.3">
      <c r="A267" s="46">
        <v>268</v>
      </c>
      <c r="B267" s="47" t="s">
        <v>13291</v>
      </c>
      <c r="C267" s="47" t="s">
        <v>13291</v>
      </c>
      <c r="D267" s="47" t="s">
        <v>13291</v>
      </c>
      <c r="E267" s="47" t="s">
        <v>13291</v>
      </c>
      <c r="F267" s="47" t="s">
        <v>13291</v>
      </c>
      <c r="G267" s="47" t="s">
        <v>13291</v>
      </c>
      <c r="H267" s="158">
        <v>1267</v>
      </c>
      <c r="I267" s="156" t="s">
        <v>5477</v>
      </c>
      <c r="J267" s="156" t="s">
        <v>11763</v>
      </c>
      <c r="K267" s="47"/>
      <c r="L267" s="47"/>
      <c r="M267" s="47"/>
      <c r="N267" s="156"/>
      <c r="O267" s="156" t="s">
        <v>157</v>
      </c>
      <c r="P267" s="47"/>
      <c r="Q267" s="47"/>
      <c r="R267" s="47"/>
      <c r="S267" s="47" t="s">
        <v>13292</v>
      </c>
      <c r="T267" s="47" t="s">
        <v>13295</v>
      </c>
      <c r="U267" s="47"/>
    </row>
    <row r="268" spans="1:21" x14ac:dyDescent="0.3">
      <c r="A268" s="46">
        <v>269</v>
      </c>
      <c r="B268" s="47" t="s">
        <v>13291</v>
      </c>
      <c r="C268" s="47" t="s">
        <v>13291</v>
      </c>
      <c r="D268" s="47" t="s">
        <v>13291</v>
      </c>
      <c r="E268" s="47" t="s">
        <v>13291</v>
      </c>
      <c r="F268" s="47" t="s">
        <v>13291</v>
      </c>
      <c r="G268" s="47" t="s">
        <v>13291</v>
      </c>
      <c r="H268" s="158">
        <v>1268</v>
      </c>
      <c r="I268" s="156" t="s">
        <v>10953</v>
      </c>
      <c r="J268" s="156" t="s">
        <v>11642</v>
      </c>
      <c r="K268" s="47"/>
      <c r="L268" s="47"/>
      <c r="M268" s="47"/>
      <c r="N268" s="156"/>
      <c r="O268" s="156" t="s">
        <v>157</v>
      </c>
      <c r="P268" s="47"/>
      <c r="Q268" s="47"/>
      <c r="R268" s="47"/>
      <c r="S268" s="47" t="s">
        <v>13292</v>
      </c>
      <c r="T268" s="47" t="s">
        <v>13295</v>
      </c>
      <c r="U268" s="47"/>
    </row>
    <row r="269" spans="1:21" x14ac:dyDescent="0.3">
      <c r="A269" s="46">
        <v>270</v>
      </c>
      <c r="B269" s="47" t="s">
        <v>13291</v>
      </c>
      <c r="C269" s="47" t="s">
        <v>13291</v>
      </c>
      <c r="D269" s="47" t="s">
        <v>13291</v>
      </c>
      <c r="E269" s="47" t="s">
        <v>13291</v>
      </c>
      <c r="F269" s="47" t="s">
        <v>13291</v>
      </c>
      <c r="G269" s="47" t="s">
        <v>13291</v>
      </c>
      <c r="H269" s="158">
        <v>1269</v>
      </c>
      <c r="I269" s="156" t="s">
        <v>5478</v>
      </c>
      <c r="J269" s="156" t="s">
        <v>11764</v>
      </c>
      <c r="K269" s="47"/>
      <c r="L269" s="47"/>
      <c r="M269" s="47"/>
      <c r="N269" s="156"/>
      <c r="O269" s="156" t="s">
        <v>157</v>
      </c>
      <c r="P269" s="47"/>
      <c r="Q269" s="47"/>
      <c r="R269" s="47"/>
      <c r="S269" s="47" t="s">
        <v>13292</v>
      </c>
      <c r="T269" s="47" t="s">
        <v>13295</v>
      </c>
      <c r="U269" s="47"/>
    </row>
    <row r="270" spans="1:21" x14ac:dyDescent="0.3">
      <c r="A270" s="46">
        <v>271</v>
      </c>
      <c r="B270" s="47" t="s">
        <v>13291</v>
      </c>
      <c r="C270" s="47" t="s">
        <v>13291</v>
      </c>
      <c r="D270" s="47" t="s">
        <v>13291</v>
      </c>
      <c r="E270" s="47" t="s">
        <v>13291</v>
      </c>
      <c r="F270" s="47" t="s">
        <v>13291</v>
      </c>
      <c r="G270" s="47" t="s">
        <v>13291</v>
      </c>
      <c r="H270" s="158">
        <v>1270</v>
      </c>
      <c r="I270" s="156" t="s">
        <v>5479</v>
      </c>
      <c r="J270" s="156" t="s">
        <v>11984</v>
      </c>
      <c r="K270" s="47"/>
      <c r="L270" s="47"/>
      <c r="M270" s="47"/>
      <c r="N270" s="156"/>
      <c r="O270" s="156" t="s">
        <v>157</v>
      </c>
      <c r="P270" s="47"/>
      <c r="Q270" s="47"/>
      <c r="R270" s="47"/>
      <c r="S270" s="47" t="s">
        <v>13292</v>
      </c>
      <c r="T270" s="47" t="s">
        <v>13295</v>
      </c>
      <c r="U270" s="47"/>
    </row>
    <row r="271" spans="1:21" x14ac:dyDescent="0.3">
      <c r="A271" s="46">
        <v>272</v>
      </c>
      <c r="B271" s="47" t="s">
        <v>13291</v>
      </c>
      <c r="C271" s="47" t="s">
        <v>13291</v>
      </c>
      <c r="D271" s="47" t="s">
        <v>13291</v>
      </c>
      <c r="E271" s="47" t="s">
        <v>13291</v>
      </c>
      <c r="F271" s="47" t="s">
        <v>13291</v>
      </c>
      <c r="G271" s="47" t="s">
        <v>13291</v>
      </c>
      <c r="H271" s="158">
        <v>1271</v>
      </c>
      <c r="I271" s="156" t="s">
        <v>5480</v>
      </c>
      <c r="J271" s="156" t="s">
        <v>11765</v>
      </c>
      <c r="K271" s="47"/>
      <c r="L271" s="47"/>
      <c r="M271" s="47"/>
      <c r="N271" s="156"/>
      <c r="O271" s="156" t="s">
        <v>157</v>
      </c>
      <c r="P271" s="47"/>
      <c r="Q271" s="47"/>
      <c r="R271" s="47"/>
      <c r="S271" s="47" t="s">
        <v>13292</v>
      </c>
      <c r="T271" s="47" t="s">
        <v>13295</v>
      </c>
      <c r="U271" s="47"/>
    </row>
    <row r="272" spans="1:21" x14ac:dyDescent="0.3">
      <c r="A272" s="46">
        <v>273</v>
      </c>
      <c r="B272" s="47" t="s">
        <v>13291</v>
      </c>
      <c r="C272" s="47" t="s">
        <v>13291</v>
      </c>
      <c r="D272" s="47" t="s">
        <v>13291</v>
      </c>
      <c r="E272" s="47" t="s">
        <v>13291</v>
      </c>
      <c r="F272" s="47" t="s">
        <v>13291</v>
      </c>
      <c r="G272" s="47" t="s">
        <v>13291</v>
      </c>
      <c r="H272" s="158">
        <v>1272</v>
      </c>
      <c r="I272" s="156" t="s">
        <v>5481</v>
      </c>
      <c r="J272" s="156" t="s">
        <v>11766</v>
      </c>
      <c r="K272" s="47"/>
      <c r="L272" s="47"/>
      <c r="M272" s="47"/>
      <c r="N272" s="156"/>
      <c r="O272" s="156" t="s">
        <v>157</v>
      </c>
      <c r="P272" s="47"/>
      <c r="Q272" s="47"/>
      <c r="R272" s="47"/>
      <c r="S272" s="47" t="s">
        <v>13292</v>
      </c>
      <c r="T272" s="47" t="s">
        <v>13295</v>
      </c>
      <c r="U272" s="47"/>
    </row>
    <row r="273" spans="1:21" x14ac:dyDescent="0.3">
      <c r="A273" s="46">
        <v>274</v>
      </c>
      <c r="B273" s="47" t="s">
        <v>13291</v>
      </c>
      <c r="C273" s="47" t="s">
        <v>13291</v>
      </c>
      <c r="D273" s="47" t="s">
        <v>13291</v>
      </c>
      <c r="E273" s="47" t="s">
        <v>13291</v>
      </c>
      <c r="F273" s="47" t="s">
        <v>13291</v>
      </c>
      <c r="G273" s="47" t="s">
        <v>13291</v>
      </c>
      <c r="H273" s="158">
        <v>1273</v>
      </c>
      <c r="I273" s="156" t="s">
        <v>5482</v>
      </c>
      <c r="J273" s="156" t="s">
        <v>11643</v>
      </c>
      <c r="K273" s="47"/>
      <c r="L273" s="47"/>
      <c r="M273" s="47"/>
      <c r="N273" s="156"/>
      <c r="O273" s="156" t="s">
        <v>157</v>
      </c>
      <c r="P273" s="47"/>
      <c r="Q273" s="47"/>
      <c r="R273" s="47"/>
      <c r="S273" s="47" t="s">
        <v>13292</v>
      </c>
      <c r="T273" s="47" t="s">
        <v>13295</v>
      </c>
      <c r="U273" s="47"/>
    </row>
    <row r="274" spans="1:21" x14ac:dyDescent="0.3">
      <c r="A274" s="46">
        <v>275</v>
      </c>
      <c r="B274" s="47" t="s">
        <v>13291</v>
      </c>
      <c r="C274" s="47" t="s">
        <v>13291</v>
      </c>
      <c r="D274" s="47" t="s">
        <v>13291</v>
      </c>
      <c r="E274" s="47" t="s">
        <v>13291</v>
      </c>
      <c r="F274" s="47" t="s">
        <v>13291</v>
      </c>
      <c r="G274" s="47" t="s">
        <v>13291</v>
      </c>
      <c r="H274" s="158">
        <v>1274</v>
      </c>
      <c r="I274" s="156" t="s">
        <v>5483</v>
      </c>
      <c r="J274" s="156" t="s">
        <v>11767</v>
      </c>
      <c r="K274" s="47"/>
      <c r="L274" s="47"/>
      <c r="M274" s="47"/>
      <c r="N274" s="156"/>
      <c r="O274" s="156" t="s">
        <v>157</v>
      </c>
      <c r="P274" s="47"/>
      <c r="Q274" s="47"/>
      <c r="R274" s="47"/>
      <c r="S274" s="47" t="s">
        <v>13292</v>
      </c>
      <c r="T274" s="47" t="s">
        <v>13295</v>
      </c>
      <c r="U274" s="47"/>
    </row>
    <row r="275" spans="1:21" x14ac:dyDescent="0.3">
      <c r="A275" s="46">
        <v>276</v>
      </c>
      <c r="B275" s="47" t="s">
        <v>13291</v>
      </c>
      <c r="C275" s="47" t="s">
        <v>13291</v>
      </c>
      <c r="D275" s="47" t="s">
        <v>13291</v>
      </c>
      <c r="E275" s="47" t="s">
        <v>13291</v>
      </c>
      <c r="F275" s="47" t="s">
        <v>13291</v>
      </c>
      <c r="G275" s="47" t="s">
        <v>13291</v>
      </c>
      <c r="H275" s="158">
        <v>1275</v>
      </c>
      <c r="I275" s="156" t="s">
        <v>11000</v>
      </c>
      <c r="J275" s="156" t="s">
        <v>11768</v>
      </c>
      <c r="K275" s="47"/>
      <c r="L275" s="47"/>
      <c r="M275" s="47"/>
      <c r="N275" s="156"/>
      <c r="O275" s="156" t="s">
        <v>157</v>
      </c>
      <c r="P275" s="47"/>
      <c r="Q275" s="47"/>
      <c r="R275" s="47"/>
      <c r="S275" s="47" t="s">
        <v>13292</v>
      </c>
      <c r="T275" s="47" t="s">
        <v>13295</v>
      </c>
      <c r="U275" s="47"/>
    </row>
    <row r="276" spans="1:21" x14ac:dyDescent="0.3">
      <c r="A276" s="46">
        <v>277</v>
      </c>
      <c r="B276" s="47" t="s">
        <v>13291</v>
      </c>
      <c r="C276" s="47" t="s">
        <v>13291</v>
      </c>
      <c r="D276" s="47" t="s">
        <v>13291</v>
      </c>
      <c r="E276" s="47" t="s">
        <v>13291</v>
      </c>
      <c r="F276" s="47" t="s">
        <v>13291</v>
      </c>
      <c r="G276" s="47" t="s">
        <v>13291</v>
      </c>
      <c r="H276" s="158">
        <v>1276</v>
      </c>
      <c r="I276" s="156" t="s">
        <v>5484</v>
      </c>
      <c r="J276" s="156" t="s">
        <v>11769</v>
      </c>
      <c r="K276" s="47"/>
      <c r="L276" s="47"/>
      <c r="M276" s="47"/>
      <c r="N276" s="156"/>
      <c r="O276" s="156" t="s">
        <v>157</v>
      </c>
      <c r="P276" s="47"/>
      <c r="Q276" s="47"/>
      <c r="R276" s="47"/>
      <c r="S276" s="47" t="s">
        <v>13292</v>
      </c>
      <c r="T276" s="47" t="s">
        <v>13295</v>
      </c>
      <c r="U276" s="47"/>
    </row>
    <row r="277" spans="1:21" x14ac:dyDescent="0.3">
      <c r="A277" s="46">
        <v>278</v>
      </c>
      <c r="B277" s="47" t="s">
        <v>13291</v>
      </c>
      <c r="C277" s="47" t="s">
        <v>13291</v>
      </c>
      <c r="D277" s="47" t="s">
        <v>13291</v>
      </c>
      <c r="E277" s="47" t="s">
        <v>13291</v>
      </c>
      <c r="F277" s="47" t="s">
        <v>13291</v>
      </c>
      <c r="G277" s="47" t="s">
        <v>13291</v>
      </c>
      <c r="H277" s="158">
        <v>1277</v>
      </c>
      <c r="I277" s="156" t="s">
        <v>11001</v>
      </c>
      <c r="J277" s="156" t="s">
        <v>11770</v>
      </c>
      <c r="K277" s="47"/>
      <c r="L277" s="47"/>
      <c r="M277" s="47"/>
      <c r="N277" s="156"/>
      <c r="O277" s="156" t="s">
        <v>157</v>
      </c>
      <c r="P277" s="47"/>
      <c r="Q277" s="47"/>
      <c r="R277" s="47"/>
      <c r="S277" s="47" t="s">
        <v>13292</v>
      </c>
      <c r="T277" s="47" t="s">
        <v>13295</v>
      </c>
      <c r="U277" s="47"/>
    </row>
    <row r="278" spans="1:21" x14ac:dyDescent="0.3">
      <c r="A278" s="46">
        <v>279</v>
      </c>
      <c r="B278" s="47" t="s">
        <v>13291</v>
      </c>
      <c r="C278" s="47" t="s">
        <v>13291</v>
      </c>
      <c r="D278" s="47" t="s">
        <v>13291</v>
      </c>
      <c r="E278" s="47" t="s">
        <v>13291</v>
      </c>
      <c r="F278" s="47" t="s">
        <v>13291</v>
      </c>
      <c r="G278" s="47" t="s">
        <v>13291</v>
      </c>
      <c r="H278" s="158">
        <v>1278</v>
      </c>
      <c r="I278" s="156" t="s">
        <v>5485</v>
      </c>
      <c r="J278" s="156" t="s">
        <v>11771</v>
      </c>
      <c r="K278" s="47"/>
      <c r="L278" s="47"/>
      <c r="M278" s="47"/>
      <c r="N278" s="156"/>
      <c r="O278" s="156" t="s">
        <v>157</v>
      </c>
      <c r="P278" s="47"/>
      <c r="Q278" s="47"/>
      <c r="R278" s="47"/>
      <c r="S278" s="47" t="s">
        <v>13292</v>
      </c>
      <c r="T278" s="47" t="s">
        <v>13295</v>
      </c>
      <c r="U278" s="47"/>
    </row>
    <row r="279" spans="1:21" x14ac:dyDescent="0.3">
      <c r="A279" s="46">
        <v>280</v>
      </c>
      <c r="B279" s="47" t="s">
        <v>13291</v>
      </c>
      <c r="C279" s="47" t="s">
        <v>13291</v>
      </c>
      <c r="D279" s="47" t="s">
        <v>13291</v>
      </c>
      <c r="E279" s="47" t="s">
        <v>13291</v>
      </c>
      <c r="F279" s="47" t="s">
        <v>13291</v>
      </c>
      <c r="G279" s="47" t="s">
        <v>13291</v>
      </c>
      <c r="H279" s="158">
        <v>1279</v>
      </c>
      <c r="I279" s="156" t="s">
        <v>5486</v>
      </c>
      <c r="J279" s="156" t="s">
        <v>11772</v>
      </c>
      <c r="K279" s="47"/>
      <c r="L279" s="47"/>
      <c r="M279" s="47"/>
      <c r="N279" s="156"/>
      <c r="O279" s="156" t="s">
        <v>157</v>
      </c>
      <c r="P279" s="47"/>
      <c r="Q279" s="47"/>
      <c r="R279" s="47"/>
      <c r="S279" s="47" t="s">
        <v>13292</v>
      </c>
      <c r="T279" s="47" t="s">
        <v>13295</v>
      </c>
      <c r="U279" s="47"/>
    </row>
    <row r="280" spans="1:21" x14ac:dyDescent="0.3">
      <c r="A280" s="46">
        <v>281</v>
      </c>
      <c r="B280" s="47" t="s">
        <v>13291</v>
      </c>
      <c r="C280" s="47" t="s">
        <v>13291</v>
      </c>
      <c r="D280" s="47" t="s">
        <v>13291</v>
      </c>
      <c r="E280" s="47" t="s">
        <v>13291</v>
      </c>
      <c r="F280" s="47" t="s">
        <v>13291</v>
      </c>
      <c r="G280" s="47" t="s">
        <v>13291</v>
      </c>
      <c r="H280" s="158">
        <v>1280</v>
      </c>
      <c r="I280" s="156" t="s">
        <v>11107</v>
      </c>
      <c r="J280" s="156" t="s">
        <v>11985</v>
      </c>
      <c r="K280" s="47"/>
      <c r="L280" s="47"/>
      <c r="M280" s="47"/>
      <c r="N280" s="156"/>
      <c r="O280" s="156" t="s">
        <v>157</v>
      </c>
      <c r="P280" s="47"/>
      <c r="Q280" s="47"/>
      <c r="R280" s="47"/>
      <c r="S280" s="47" t="s">
        <v>13292</v>
      </c>
      <c r="T280" s="47" t="s">
        <v>13295</v>
      </c>
      <c r="U280" s="47"/>
    </row>
    <row r="281" spans="1:21" x14ac:dyDescent="0.3">
      <c r="A281" s="46">
        <v>282</v>
      </c>
      <c r="B281" s="47" t="s">
        <v>13291</v>
      </c>
      <c r="C281" s="47" t="s">
        <v>13291</v>
      </c>
      <c r="D281" s="47" t="s">
        <v>13291</v>
      </c>
      <c r="E281" s="47" t="s">
        <v>13291</v>
      </c>
      <c r="F281" s="47" t="s">
        <v>13291</v>
      </c>
      <c r="G281" s="47" t="s">
        <v>13291</v>
      </c>
      <c r="H281" s="158">
        <v>1281</v>
      </c>
      <c r="I281" s="156" t="s">
        <v>5487</v>
      </c>
      <c r="J281" s="156" t="s">
        <v>12066</v>
      </c>
      <c r="K281" s="47"/>
      <c r="L281" s="47"/>
      <c r="M281" s="47"/>
      <c r="N281" s="156"/>
      <c r="O281" s="156" t="s">
        <v>157</v>
      </c>
      <c r="P281" s="47"/>
      <c r="Q281" s="47"/>
      <c r="R281" s="47"/>
      <c r="S281" s="47" t="s">
        <v>13292</v>
      </c>
      <c r="T281" s="47" t="s">
        <v>13295</v>
      </c>
      <c r="U281" s="47"/>
    </row>
    <row r="282" spans="1:21" x14ac:dyDescent="0.3">
      <c r="A282" s="46">
        <v>283</v>
      </c>
      <c r="B282" s="47" t="s">
        <v>13291</v>
      </c>
      <c r="C282" s="47" t="s">
        <v>13291</v>
      </c>
      <c r="D282" s="47" t="s">
        <v>13291</v>
      </c>
      <c r="E282" s="47" t="s">
        <v>13291</v>
      </c>
      <c r="F282" s="47" t="s">
        <v>13291</v>
      </c>
      <c r="G282" s="47" t="s">
        <v>13291</v>
      </c>
      <c r="H282" s="158">
        <v>1282</v>
      </c>
      <c r="I282" s="156" t="s">
        <v>11144</v>
      </c>
      <c r="J282" s="156" t="s">
        <v>12067</v>
      </c>
      <c r="K282" s="47"/>
      <c r="L282" s="47"/>
      <c r="M282" s="47"/>
      <c r="N282" s="156"/>
      <c r="O282" s="156" t="s">
        <v>157</v>
      </c>
      <c r="P282" s="47"/>
      <c r="Q282" s="47"/>
      <c r="R282" s="47"/>
      <c r="S282" s="47" t="s">
        <v>13292</v>
      </c>
      <c r="T282" s="47" t="s">
        <v>13295</v>
      </c>
      <c r="U282" s="47"/>
    </row>
    <row r="283" spans="1:21" x14ac:dyDescent="0.3">
      <c r="A283" s="46">
        <v>284</v>
      </c>
      <c r="B283" s="47" t="s">
        <v>13291</v>
      </c>
      <c r="C283" s="47" t="s">
        <v>13291</v>
      </c>
      <c r="D283" s="47" t="s">
        <v>13291</v>
      </c>
      <c r="E283" s="47" t="s">
        <v>13291</v>
      </c>
      <c r="F283" s="47" t="s">
        <v>13291</v>
      </c>
      <c r="G283" s="47" t="s">
        <v>13291</v>
      </c>
      <c r="H283" s="158">
        <v>1283</v>
      </c>
      <c r="I283" s="156" t="s">
        <v>11002</v>
      </c>
      <c r="J283" s="156" t="s">
        <v>11773</v>
      </c>
      <c r="K283" s="47"/>
      <c r="L283" s="47"/>
      <c r="M283" s="47"/>
      <c r="N283" s="156"/>
      <c r="O283" s="156" t="s">
        <v>157</v>
      </c>
      <c r="P283" s="47"/>
      <c r="Q283" s="47"/>
      <c r="R283" s="47"/>
      <c r="S283" s="47" t="s">
        <v>13292</v>
      </c>
      <c r="T283" s="47" t="s">
        <v>13295</v>
      </c>
      <c r="U283" s="47"/>
    </row>
    <row r="284" spans="1:21" x14ac:dyDescent="0.3">
      <c r="A284" s="46">
        <v>285</v>
      </c>
      <c r="B284" s="47" t="s">
        <v>13291</v>
      </c>
      <c r="C284" s="47" t="s">
        <v>13291</v>
      </c>
      <c r="D284" s="47" t="s">
        <v>13291</v>
      </c>
      <c r="E284" s="47" t="s">
        <v>13291</v>
      </c>
      <c r="F284" s="47" t="s">
        <v>13291</v>
      </c>
      <c r="G284" s="47" t="s">
        <v>13291</v>
      </c>
      <c r="H284" s="158">
        <v>1284</v>
      </c>
      <c r="I284" s="156" t="s">
        <v>5488</v>
      </c>
      <c r="J284" s="156" t="s">
        <v>12068</v>
      </c>
      <c r="K284" s="47"/>
      <c r="L284" s="47"/>
      <c r="M284" s="47"/>
      <c r="N284" s="156"/>
      <c r="O284" s="156" t="s">
        <v>157</v>
      </c>
      <c r="P284" s="47"/>
      <c r="Q284" s="47"/>
      <c r="R284" s="47"/>
      <c r="S284" s="47" t="s">
        <v>13292</v>
      </c>
      <c r="T284" s="47" t="s">
        <v>13295</v>
      </c>
      <c r="U284" s="47"/>
    </row>
    <row r="285" spans="1:21" x14ac:dyDescent="0.3">
      <c r="A285" s="46">
        <v>286</v>
      </c>
      <c r="B285" s="47" t="s">
        <v>13291</v>
      </c>
      <c r="C285" s="47" t="s">
        <v>13291</v>
      </c>
      <c r="D285" s="47" t="s">
        <v>13291</v>
      </c>
      <c r="E285" s="47" t="s">
        <v>13291</v>
      </c>
      <c r="F285" s="47" t="s">
        <v>13291</v>
      </c>
      <c r="G285" s="47" t="s">
        <v>13291</v>
      </c>
      <c r="H285" s="158">
        <v>1285</v>
      </c>
      <c r="I285" s="156" t="s">
        <v>11145</v>
      </c>
      <c r="J285" s="156" t="s">
        <v>12069</v>
      </c>
      <c r="K285" s="47"/>
      <c r="L285" s="47"/>
      <c r="M285" s="47"/>
      <c r="N285" s="156"/>
      <c r="O285" s="156" t="s">
        <v>157</v>
      </c>
      <c r="P285" s="47"/>
      <c r="Q285" s="47"/>
      <c r="R285" s="47"/>
      <c r="S285" s="47" t="s">
        <v>13292</v>
      </c>
      <c r="T285" s="47" t="s">
        <v>13295</v>
      </c>
      <c r="U285" s="47"/>
    </row>
    <row r="286" spans="1:21" x14ac:dyDescent="0.3">
      <c r="A286" s="46">
        <v>287</v>
      </c>
      <c r="B286" s="47" t="s">
        <v>13291</v>
      </c>
      <c r="C286" s="47" t="s">
        <v>13291</v>
      </c>
      <c r="D286" s="47" t="s">
        <v>13291</v>
      </c>
      <c r="E286" s="47" t="s">
        <v>13291</v>
      </c>
      <c r="F286" s="47" t="s">
        <v>13291</v>
      </c>
      <c r="G286" s="47" t="s">
        <v>13291</v>
      </c>
      <c r="H286" s="158">
        <v>1286</v>
      </c>
      <c r="I286" s="156" t="s">
        <v>11146</v>
      </c>
      <c r="J286" s="156" t="s">
        <v>12070</v>
      </c>
      <c r="K286" s="47"/>
      <c r="L286" s="47"/>
      <c r="M286" s="47"/>
      <c r="N286" s="156"/>
      <c r="O286" s="156" t="s">
        <v>157</v>
      </c>
      <c r="P286" s="47"/>
      <c r="Q286" s="47"/>
      <c r="R286" s="47"/>
      <c r="S286" s="47" t="s">
        <v>13292</v>
      </c>
      <c r="T286" s="47" t="s">
        <v>13295</v>
      </c>
      <c r="U286" s="47"/>
    </row>
    <row r="287" spans="1:21" x14ac:dyDescent="0.3">
      <c r="A287" s="46">
        <v>288</v>
      </c>
      <c r="B287" s="47" t="s">
        <v>13291</v>
      </c>
      <c r="C287" s="47" t="s">
        <v>13291</v>
      </c>
      <c r="D287" s="47" t="s">
        <v>13291</v>
      </c>
      <c r="E287" s="47" t="s">
        <v>13291</v>
      </c>
      <c r="F287" s="47" t="s">
        <v>13291</v>
      </c>
      <c r="G287" s="47" t="s">
        <v>13291</v>
      </c>
      <c r="H287" s="158">
        <v>1287</v>
      </c>
      <c r="I287" s="156" t="s">
        <v>11147</v>
      </c>
      <c r="J287" s="156" t="s">
        <v>12071</v>
      </c>
      <c r="K287" s="47"/>
      <c r="L287" s="47"/>
      <c r="M287" s="47"/>
      <c r="N287" s="156"/>
      <c r="O287" s="156" t="s">
        <v>157</v>
      </c>
      <c r="P287" s="47"/>
      <c r="Q287" s="47"/>
      <c r="R287" s="47"/>
      <c r="S287" s="47" t="s">
        <v>13292</v>
      </c>
      <c r="T287" s="47" t="s">
        <v>13295</v>
      </c>
      <c r="U287" s="47"/>
    </row>
    <row r="288" spans="1:21" x14ac:dyDescent="0.3">
      <c r="A288" s="46">
        <v>289</v>
      </c>
      <c r="B288" s="47" t="s">
        <v>13291</v>
      </c>
      <c r="C288" s="47" t="s">
        <v>13291</v>
      </c>
      <c r="D288" s="47" t="s">
        <v>13291</v>
      </c>
      <c r="E288" s="47" t="s">
        <v>13291</v>
      </c>
      <c r="F288" s="47" t="s">
        <v>13291</v>
      </c>
      <c r="G288" s="47" t="s">
        <v>13291</v>
      </c>
      <c r="H288" s="158">
        <v>1288</v>
      </c>
      <c r="I288" s="156" t="s">
        <v>5489</v>
      </c>
      <c r="J288" s="156" t="s">
        <v>12147</v>
      </c>
      <c r="K288" s="47"/>
      <c r="L288" s="47"/>
      <c r="M288" s="47"/>
      <c r="N288" s="156"/>
      <c r="O288" s="156" t="s">
        <v>157</v>
      </c>
      <c r="P288" s="47"/>
      <c r="Q288" s="47"/>
      <c r="R288" s="47"/>
      <c r="S288" s="47" t="s">
        <v>13292</v>
      </c>
      <c r="T288" s="47" t="s">
        <v>13295</v>
      </c>
      <c r="U288" s="47"/>
    </row>
    <row r="289" spans="1:21" x14ac:dyDescent="0.3">
      <c r="A289" s="46">
        <v>290</v>
      </c>
      <c r="B289" s="47" t="s">
        <v>13291</v>
      </c>
      <c r="C289" s="47" t="s">
        <v>13291</v>
      </c>
      <c r="D289" s="47" t="s">
        <v>13291</v>
      </c>
      <c r="E289" s="47" t="s">
        <v>13291</v>
      </c>
      <c r="F289" s="47" t="s">
        <v>13291</v>
      </c>
      <c r="G289" s="47" t="s">
        <v>13291</v>
      </c>
      <c r="H289" s="158">
        <v>1289</v>
      </c>
      <c r="I289" s="156" t="s">
        <v>5490</v>
      </c>
      <c r="J289" s="156" t="s">
        <v>12148</v>
      </c>
      <c r="K289" s="47"/>
      <c r="L289" s="47"/>
      <c r="M289" s="47"/>
      <c r="N289" s="156"/>
      <c r="O289" s="156" t="s">
        <v>157</v>
      </c>
      <c r="P289" s="47"/>
      <c r="Q289" s="47"/>
      <c r="R289" s="47"/>
      <c r="S289" s="47" t="s">
        <v>13292</v>
      </c>
      <c r="T289" s="47" t="s">
        <v>13295</v>
      </c>
      <c r="U289" s="47"/>
    </row>
    <row r="290" spans="1:21" x14ac:dyDescent="0.3">
      <c r="A290" s="46">
        <v>291</v>
      </c>
      <c r="B290" s="47" t="s">
        <v>13291</v>
      </c>
      <c r="C290" s="47" t="s">
        <v>13291</v>
      </c>
      <c r="D290" s="47" t="s">
        <v>13291</v>
      </c>
      <c r="E290" s="47" t="s">
        <v>13291</v>
      </c>
      <c r="F290" s="47" t="s">
        <v>13291</v>
      </c>
      <c r="G290" s="47" t="s">
        <v>13291</v>
      </c>
      <c r="H290" s="158">
        <v>1290</v>
      </c>
      <c r="I290" s="156" t="s">
        <v>5491</v>
      </c>
      <c r="J290" s="156" t="s">
        <v>12150</v>
      </c>
      <c r="K290" s="47"/>
      <c r="L290" s="47"/>
      <c r="M290" s="47"/>
      <c r="N290" s="156"/>
      <c r="O290" s="156" t="s">
        <v>157</v>
      </c>
      <c r="P290" s="47"/>
      <c r="Q290" s="47"/>
      <c r="R290" s="47"/>
      <c r="S290" s="47" t="s">
        <v>13292</v>
      </c>
      <c r="T290" s="47" t="s">
        <v>13295</v>
      </c>
      <c r="U290" s="47"/>
    </row>
    <row r="291" spans="1:21" x14ac:dyDescent="0.3">
      <c r="A291" s="46">
        <v>292</v>
      </c>
      <c r="B291" s="47" t="s">
        <v>13291</v>
      </c>
      <c r="C291" s="47" t="s">
        <v>13291</v>
      </c>
      <c r="D291" s="47" t="s">
        <v>13291</v>
      </c>
      <c r="E291" s="47" t="s">
        <v>13291</v>
      </c>
      <c r="F291" s="47" t="s">
        <v>13291</v>
      </c>
      <c r="G291" s="47" t="s">
        <v>13291</v>
      </c>
      <c r="H291" s="158">
        <v>1291</v>
      </c>
      <c r="I291" s="156" t="s">
        <v>5492</v>
      </c>
      <c r="J291" s="156" t="s">
        <v>12149</v>
      </c>
      <c r="K291" s="47"/>
      <c r="L291" s="47"/>
      <c r="M291" s="47"/>
      <c r="N291" s="156"/>
      <c r="O291" s="156" t="s">
        <v>157</v>
      </c>
      <c r="P291" s="47"/>
      <c r="Q291" s="47"/>
      <c r="R291" s="47"/>
      <c r="S291" s="47" t="s">
        <v>13292</v>
      </c>
      <c r="T291" s="47" t="s">
        <v>13295</v>
      </c>
      <c r="U291" s="47"/>
    </row>
    <row r="292" spans="1:21" x14ac:dyDescent="0.3">
      <c r="A292" s="46">
        <v>293</v>
      </c>
      <c r="B292" s="47" t="s">
        <v>13291</v>
      </c>
      <c r="C292" s="47" t="s">
        <v>13291</v>
      </c>
      <c r="D292" s="47" t="s">
        <v>13291</v>
      </c>
      <c r="E292" s="47" t="s">
        <v>13291</v>
      </c>
      <c r="F292" s="47" t="s">
        <v>13291</v>
      </c>
      <c r="G292" s="47" t="s">
        <v>13291</v>
      </c>
      <c r="H292" s="158">
        <v>1292</v>
      </c>
      <c r="I292" s="156" t="s">
        <v>11003</v>
      </c>
      <c r="J292" s="156" t="s">
        <v>11774</v>
      </c>
      <c r="K292" s="47"/>
      <c r="L292" s="47"/>
      <c r="M292" s="47"/>
      <c r="N292" s="156"/>
      <c r="O292" s="156" t="s">
        <v>157</v>
      </c>
      <c r="P292" s="47"/>
      <c r="Q292" s="47"/>
      <c r="R292" s="47"/>
      <c r="S292" s="47" t="s">
        <v>13292</v>
      </c>
      <c r="T292" s="47" t="s">
        <v>13295</v>
      </c>
      <c r="U292" s="47"/>
    </row>
    <row r="293" spans="1:21" x14ac:dyDescent="0.3">
      <c r="A293" s="46">
        <v>294</v>
      </c>
      <c r="B293" s="47" t="s">
        <v>13291</v>
      </c>
      <c r="C293" s="47" t="s">
        <v>13291</v>
      </c>
      <c r="D293" s="47" t="s">
        <v>13291</v>
      </c>
      <c r="E293" s="47" t="s">
        <v>13291</v>
      </c>
      <c r="F293" s="47" t="s">
        <v>13291</v>
      </c>
      <c r="G293" s="47" t="s">
        <v>13291</v>
      </c>
      <c r="H293" s="158">
        <v>1293</v>
      </c>
      <c r="I293" s="156" t="s">
        <v>10932</v>
      </c>
      <c r="J293" s="156" t="s">
        <v>11576</v>
      </c>
      <c r="K293" s="47"/>
      <c r="L293" s="47"/>
      <c r="M293" s="47"/>
      <c r="N293" s="156"/>
      <c r="O293" s="156" t="s">
        <v>157</v>
      </c>
      <c r="P293" s="47"/>
      <c r="Q293" s="47"/>
      <c r="R293" s="47"/>
      <c r="S293" s="47" t="s">
        <v>13292</v>
      </c>
      <c r="T293" s="47" t="s">
        <v>13295</v>
      </c>
      <c r="U293" s="47"/>
    </row>
    <row r="294" spans="1:21" x14ac:dyDescent="0.3">
      <c r="A294" s="46">
        <v>295</v>
      </c>
      <c r="B294" s="47" t="s">
        <v>13291</v>
      </c>
      <c r="C294" s="47" t="s">
        <v>13291</v>
      </c>
      <c r="D294" s="47" t="s">
        <v>13291</v>
      </c>
      <c r="E294" s="47" t="s">
        <v>13291</v>
      </c>
      <c r="F294" s="47" t="s">
        <v>13291</v>
      </c>
      <c r="G294" s="47" t="s">
        <v>13291</v>
      </c>
      <c r="H294" s="158">
        <v>1294</v>
      </c>
      <c r="I294" s="156" t="s">
        <v>5493</v>
      </c>
      <c r="J294" s="156" t="s">
        <v>11775</v>
      </c>
      <c r="K294" s="47"/>
      <c r="L294" s="47"/>
      <c r="M294" s="47"/>
      <c r="N294" s="156"/>
      <c r="O294" s="156" t="s">
        <v>157</v>
      </c>
      <c r="P294" s="47"/>
      <c r="Q294" s="47"/>
      <c r="R294" s="47"/>
      <c r="S294" s="47" t="s">
        <v>13292</v>
      </c>
      <c r="T294" s="47" t="s">
        <v>13295</v>
      </c>
      <c r="U294" s="47"/>
    </row>
    <row r="295" spans="1:21" x14ac:dyDescent="0.3">
      <c r="A295" s="46">
        <v>296</v>
      </c>
      <c r="B295" s="47" t="s">
        <v>13291</v>
      </c>
      <c r="C295" s="47" t="s">
        <v>13291</v>
      </c>
      <c r="D295" s="47" t="s">
        <v>13291</v>
      </c>
      <c r="E295" s="47" t="s">
        <v>13291</v>
      </c>
      <c r="F295" s="47" t="s">
        <v>13291</v>
      </c>
      <c r="G295" s="47" t="s">
        <v>13291</v>
      </c>
      <c r="H295" s="158">
        <v>1295</v>
      </c>
      <c r="I295" s="156" t="s">
        <v>5494</v>
      </c>
      <c r="J295" s="156" t="s">
        <v>11944</v>
      </c>
      <c r="K295" s="47"/>
      <c r="L295" s="47"/>
      <c r="M295" s="47"/>
      <c r="N295" s="156"/>
      <c r="O295" s="156" t="s">
        <v>157</v>
      </c>
      <c r="P295" s="47"/>
      <c r="Q295" s="47"/>
      <c r="R295" s="47"/>
      <c r="S295" s="47" t="s">
        <v>13292</v>
      </c>
      <c r="T295" s="47" t="s">
        <v>13295</v>
      </c>
      <c r="U295" s="47"/>
    </row>
    <row r="296" spans="1:21" x14ac:dyDescent="0.3">
      <c r="A296" s="46">
        <v>297</v>
      </c>
      <c r="B296" s="47" t="s">
        <v>13291</v>
      </c>
      <c r="C296" s="47" t="s">
        <v>13291</v>
      </c>
      <c r="D296" s="47" t="s">
        <v>13291</v>
      </c>
      <c r="E296" s="47" t="s">
        <v>13291</v>
      </c>
      <c r="F296" s="47" t="s">
        <v>13291</v>
      </c>
      <c r="G296" s="47" t="s">
        <v>13291</v>
      </c>
      <c r="H296" s="158">
        <v>1296</v>
      </c>
      <c r="I296" s="156" t="s">
        <v>5495</v>
      </c>
      <c r="J296" s="156" t="s">
        <v>11644</v>
      </c>
      <c r="K296" s="47"/>
      <c r="L296" s="47"/>
      <c r="M296" s="47"/>
      <c r="N296" s="156"/>
      <c r="O296" s="156" t="s">
        <v>157</v>
      </c>
      <c r="P296" s="47"/>
      <c r="Q296" s="47"/>
      <c r="R296" s="47"/>
      <c r="S296" s="47" t="s">
        <v>13292</v>
      </c>
      <c r="T296" s="47" t="s">
        <v>13295</v>
      </c>
      <c r="U296" s="47"/>
    </row>
    <row r="297" spans="1:21" x14ac:dyDescent="0.3">
      <c r="A297" s="46">
        <v>298</v>
      </c>
      <c r="B297" s="47" t="s">
        <v>13291</v>
      </c>
      <c r="C297" s="47" t="s">
        <v>13291</v>
      </c>
      <c r="D297" s="47" t="s">
        <v>13291</v>
      </c>
      <c r="E297" s="47" t="s">
        <v>13291</v>
      </c>
      <c r="F297" s="47" t="s">
        <v>13291</v>
      </c>
      <c r="G297" s="47" t="s">
        <v>13291</v>
      </c>
      <c r="H297" s="158">
        <v>1297</v>
      </c>
      <c r="I297" s="156" t="s">
        <v>5496</v>
      </c>
      <c r="J297" s="156" t="s">
        <v>11776</v>
      </c>
      <c r="K297" s="47"/>
      <c r="L297" s="47"/>
      <c r="M297" s="47"/>
      <c r="N297" s="156"/>
      <c r="O297" s="156" t="s">
        <v>157</v>
      </c>
      <c r="P297" s="47"/>
      <c r="Q297" s="47"/>
      <c r="R297" s="47"/>
      <c r="S297" s="47" t="s">
        <v>13292</v>
      </c>
      <c r="T297" s="47" t="s">
        <v>13295</v>
      </c>
      <c r="U297" s="47"/>
    </row>
    <row r="298" spans="1:21" x14ac:dyDescent="0.3">
      <c r="A298" s="46">
        <v>299</v>
      </c>
      <c r="B298" s="47" t="s">
        <v>13291</v>
      </c>
      <c r="C298" s="47" t="s">
        <v>13291</v>
      </c>
      <c r="D298" s="47" t="s">
        <v>13291</v>
      </c>
      <c r="E298" s="47" t="s">
        <v>13291</v>
      </c>
      <c r="F298" s="47" t="s">
        <v>13291</v>
      </c>
      <c r="G298" s="47" t="s">
        <v>13291</v>
      </c>
      <c r="H298" s="158">
        <v>1298</v>
      </c>
      <c r="I298" s="156" t="s">
        <v>5497</v>
      </c>
      <c r="J298" s="156" t="s">
        <v>11645</v>
      </c>
      <c r="K298" s="47"/>
      <c r="L298" s="47"/>
      <c r="M298" s="47"/>
      <c r="N298" s="156"/>
      <c r="O298" s="156" t="s">
        <v>157</v>
      </c>
      <c r="P298" s="47"/>
      <c r="Q298" s="47"/>
      <c r="R298" s="47"/>
      <c r="S298" s="47" t="s">
        <v>13292</v>
      </c>
      <c r="T298" s="47" t="s">
        <v>13295</v>
      </c>
      <c r="U298" s="47"/>
    </row>
    <row r="299" spans="1:21" x14ac:dyDescent="0.3">
      <c r="A299" s="46">
        <v>300</v>
      </c>
      <c r="B299" s="47" t="s">
        <v>13291</v>
      </c>
      <c r="C299" s="47" t="s">
        <v>13291</v>
      </c>
      <c r="D299" s="47" t="s">
        <v>13291</v>
      </c>
      <c r="E299" s="47" t="s">
        <v>13291</v>
      </c>
      <c r="F299" s="47" t="s">
        <v>13291</v>
      </c>
      <c r="G299" s="47" t="s">
        <v>13291</v>
      </c>
      <c r="H299" s="158">
        <v>1299</v>
      </c>
      <c r="I299" s="156" t="s">
        <v>11004</v>
      </c>
      <c r="J299" s="156" t="s">
        <v>11777</v>
      </c>
      <c r="K299" s="47"/>
      <c r="L299" s="47"/>
      <c r="M299" s="47"/>
      <c r="N299" s="156"/>
      <c r="O299" s="156" t="s">
        <v>157</v>
      </c>
      <c r="P299" s="47"/>
      <c r="Q299" s="47"/>
      <c r="R299" s="47"/>
      <c r="S299" s="47" t="s">
        <v>13292</v>
      </c>
      <c r="T299" s="47" t="s">
        <v>13295</v>
      </c>
      <c r="U299" s="47"/>
    </row>
    <row r="300" spans="1:21" x14ac:dyDescent="0.3">
      <c r="A300" s="46">
        <v>301</v>
      </c>
      <c r="B300" s="47" t="s">
        <v>13291</v>
      </c>
      <c r="C300" s="47" t="s">
        <v>13291</v>
      </c>
      <c r="D300" s="47" t="s">
        <v>13291</v>
      </c>
      <c r="E300" s="47" t="s">
        <v>13291</v>
      </c>
      <c r="F300" s="47" t="s">
        <v>13291</v>
      </c>
      <c r="G300" s="47" t="s">
        <v>13291</v>
      </c>
      <c r="H300" s="158">
        <v>1300</v>
      </c>
      <c r="I300" s="156" t="s">
        <v>5498</v>
      </c>
      <c r="J300" s="156" t="s">
        <v>11778</v>
      </c>
      <c r="K300" s="47"/>
      <c r="L300" s="47"/>
      <c r="M300" s="47"/>
      <c r="N300" s="156"/>
      <c r="O300" s="156" t="s">
        <v>157</v>
      </c>
      <c r="P300" s="47"/>
      <c r="Q300" s="47"/>
      <c r="R300" s="47"/>
      <c r="S300" s="47" t="s">
        <v>13292</v>
      </c>
      <c r="T300" s="47" t="s">
        <v>13295</v>
      </c>
      <c r="U300" s="47"/>
    </row>
    <row r="301" spans="1:21" x14ac:dyDescent="0.3">
      <c r="A301" s="46">
        <v>302</v>
      </c>
      <c r="B301" s="47" t="s">
        <v>13291</v>
      </c>
      <c r="C301" s="47" t="s">
        <v>13291</v>
      </c>
      <c r="D301" s="47" t="s">
        <v>13291</v>
      </c>
      <c r="E301" s="47" t="s">
        <v>13291</v>
      </c>
      <c r="F301" s="47" t="s">
        <v>13291</v>
      </c>
      <c r="G301" s="47" t="s">
        <v>13291</v>
      </c>
      <c r="H301" s="158">
        <v>1301</v>
      </c>
      <c r="I301" s="156" t="s">
        <v>5499</v>
      </c>
      <c r="J301" s="156" t="s">
        <v>11779</v>
      </c>
      <c r="K301" s="47"/>
      <c r="L301" s="47"/>
      <c r="M301" s="47"/>
      <c r="N301" s="156"/>
      <c r="O301" s="156" t="s">
        <v>157</v>
      </c>
      <c r="P301" s="47"/>
      <c r="Q301" s="47"/>
      <c r="R301" s="47"/>
      <c r="S301" s="47" t="s">
        <v>13292</v>
      </c>
      <c r="T301" s="47" t="s">
        <v>13295</v>
      </c>
      <c r="U301" s="47"/>
    </row>
    <row r="302" spans="1:21" x14ac:dyDescent="0.3">
      <c r="A302" s="46">
        <v>303</v>
      </c>
      <c r="B302" s="47" t="s">
        <v>13291</v>
      </c>
      <c r="C302" s="47" t="s">
        <v>13291</v>
      </c>
      <c r="D302" s="47" t="s">
        <v>13291</v>
      </c>
      <c r="E302" s="47" t="s">
        <v>13291</v>
      </c>
      <c r="F302" s="47" t="s">
        <v>13291</v>
      </c>
      <c r="G302" s="47" t="s">
        <v>13291</v>
      </c>
      <c r="H302" s="158">
        <v>1302</v>
      </c>
      <c r="I302" s="156" t="s">
        <v>5500</v>
      </c>
      <c r="J302" s="156" t="s">
        <v>11780</v>
      </c>
      <c r="K302" s="47"/>
      <c r="L302" s="47"/>
      <c r="M302" s="47"/>
      <c r="N302" s="156"/>
      <c r="O302" s="156" t="s">
        <v>157</v>
      </c>
      <c r="P302" s="47"/>
      <c r="Q302" s="47"/>
      <c r="R302" s="47"/>
      <c r="S302" s="47" t="s">
        <v>13292</v>
      </c>
      <c r="T302" s="47" t="s">
        <v>13295</v>
      </c>
      <c r="U302" s="47"/>
    </row>
    <row r="303" spans="1:21" x14ac:dyDescent="0.3">
      <c r="A303" s="46">
        <v>304</v>
      </c>
      <c r="B303" s="47" t="s">
        <v>13291</v>
      </c>
      <c r="C303" s="47" t="s">
        <v>13291</v>
      </c>
      <c r="D303" s="47" t="s">
        <v>13291</v>
      </c>
      <c r="E303" s="47" t="s">
        <v>13291</v>
      </c>
      <c r="F303" s="47" t="s">
        <v>13291</v>
      </c>
      <c r="G303" s="47" t="s">
        <v>13291</v>
      </c>
      <c r="H303" s="158">
        <v>1303</v>
      </c>
      <c r="I303" s="156" t="s">
        <v>11005</v>
      </c>
      <c r="J303" s="156" t="s">
        <v>11781</v>
      </c>
      <c r="K303" s="47"/>
      <c r="L303" s="47"/>
      <c r="M303" s="47"/>
      <c r="N303" s="156"/>
      <c r="O303" s="156" t="s">
        <v>157</v>
      </c>
      <c r="P303" s="47"/>
      <c r="Q303" s="47"/>
      <c r="R303" s="47"/>
      <c r="S303" s="47" t="s">
        <v>13292</v>
      </c>
      <c r="T303" s="47" t="s">
        <v>13295</v>
      </c>
      <c r="U303" s="47"/>
    </row>
    <row r="304" spans="1:21" x14ac:dyDescent="0.3">
      <c r="A304" s="46">
        <v>305</v>
      </c>
      <c r="B304" s="47" t="s">
        <v>13291</v>
      </c>
      <c r="C304" s="47" t="s">
        <v>13291</v>
      </c>
      <c r="D304" s="47" t="s">
        <v>13291</v>
      </c>
      <c r="E304" s="47" t="s">
        <v>13291</v>
      </c>
      <c r="F304" s="47" t="s">
        <v>13291</v>
      </c>
      <c r="G304" s="47" t="s">
        <v>13291</v>
      </c>
      <c r="H304" s="158">
        <v>1304</v>
      </c>
      <c r="I304" s="156" t="s">
        <v>11006</v>
      </c>
      <c r="J304" s="156" t="s">
        <v>11782</v>
      </c>
      <c r="K304" s="47"/>
      <c r="L304" s="47"/>
      <c r="M304" s="47"/>
      <c r="N304" s="156"/>
      <c r="O304" s="156" t="s">
        <v>157</v>
      </c>
      <c r="P304" s="47"/>
      <c r="Q304" s="47"/>
      <c r="R304" s="47"/>
      <c r="S304" s="47" t="s">
        <v>13292</v>
      </c>
      <c r="T304" s="47" t="s">
        <v>13295</v>
      </c>
      <c r="U304" s="47"/>
    </row>
    <row r="305" spans="1:21" x14ac:dyDescent="0.3">
      <c r="A305" s="46">
        <v>306</v>
      </c>
      <c r="B305" s="47" t="s">
        <v>13291</v>
      </c>
      <c r="C305" s="47" t="s">
        <v>13291</v>
      </c>
      <c r="D305" s="47" t="s">
        <v>13291</v>
      </c>
      <c r="E305" s="47" t="s">
        <v>13291</v>
      </c>
      <c r="F305" s="47" t="s">
        <v>13291</v>
      </c>
      <c r="G305" s="47" t="s">
        <v>13291</v>
      </c>
      <c r="H305" s="158">
        <v>1305</v>
      </c>
      <c r="I305" s="156" t="s">
        <v>5501</v>
      </c>
      <c r="J305" s="156" t="s">
        <v>11577</v>
      </c>
      <c r="K305" s="47"/>
      <c r="L305" s="47"/>
      <c r="M305" s="47"/>
      <c r="N305" s="156"/>
      <c r="O305" s="156" t="s">
        <v>157</v>
      </c>
      <c r="P305" s="47"/>
      <c r="Q305" s="47"/>
      <c r="R305" s="47"/>
      <c r="S305" s="47" t="s">
        <v>13292</v>
      </c>
      <c r="T305" s="47" t="s">
        <v>13295</v>
      </c>
      <c r="U305" s="47"/>
    </row>
    <row r="306" spans="1:21" x14ac:dyDescent="0.3">
      <c r="A306" s="46">
        <v>307</v>
      </c>
      <c r="B306" s="47" t="s">
        <v>13291</v>
      </c>
      <c r="C306" s="47" t="s">
        <v>13291</v>
      </c>
      <c r="D306" s="47" t="s">
        <v>13291</v>
      </c>
      <c r="E306" s="47" t="s">
        <v>13291</v>
      </c>
      <c r="F306" s="47" t="s">
        <v>13291</v>
      </c>
      <c r="G306" s="47" t="s">
        <v>13291</v>
      </c>
      <c r="H306" s="158">
        <v>1306</v>
      </c>
      <c r="I306" s="156" t="s">
        <v>11182</v>
      </c>
      <c r="J306" s="156" t="s">
        <v>12151</v>
      </c>
      <c r="K306" s="47"/>
      <c r="L306" s="47"/>
      <c r="M306" s="47"/>
      <c r="N306" s="156"/>
      <c r="O306" s="156" t="s">
        <v>157</v>
      </c>
      <c r="P306" s="47"/>
      <c r="Q306" s="47"/>
      <c r="R306" s="47"/>
      <c r="S306" s="47" t="s">
        <v>13292</v>
      </c>
      <c r="T306" s="47" t="s">
        <v>13295</v>
      </c>
      <c r="U306" s="47"/>
    </row>
    <row r="307" spans="1:21" x14ac:dyDescent="0.3">
      <c r="A307" s="46">
        <v>308</v>
      </c>
      <c r="B307" s="47" t="s">
        <v>13291</v>
      </c>
      <c r="C307" s="47" t="s">
        <v>13291</v>
      </c>
      <c r="D307" s="47" t="s">
        <v>13291</v>
      </c>
      <c r="E307" s="47" t="s">
        <v>13291</v>
      </c>
      <c r="F307" s="47" t="s">
        <v>13291</v>
      </c>
      <c r="G307" s="47" t="s">
        <v>13291</v>
      </c>
      <c r="H307" s="158">
        <v>1307</v>
      </c>
      <c r="I307" s="156" t="s">
        <v>11183</v>
      </c>
      <c r="J307" s="156" t="s">
        <v>12152</v>
      </c>
      <c r="K307" s="47"/>
      <c r="L307" s="47"/>
      <c r="M307" s="47"/>
      <c r="N307" s="156"/>
      <c r="O307" s="156" t="s">
        <v>157</v>
      </c>
      <c r="P307" s="47"/>
      <c r="Q307" s="47"/>
      <c r="R307" s="47"/>
      <c r="S307" s="47" t="s">
        <v>13292</v>
      </c>
      <c r="T307" s="47" t="s">
        <v>13295</v>
      </c>
      <c r="U307" s="47"/>
    </row>
    <row r="308" spans="1:21" x14ac:dyDescent="0.3">
      <c r="A308" s="46">
        <v>309</v>
      </c>
      <c r="B308" s="47" t="s">
        <v>13291</v>
      </c>
      <c r="C308" s="47" t="s">
        <v>13291</v>
      </c>
      <c r="D308" s="47" t="s">
        <v>13291</v>
      </c>
      <c r="E308" s="47" t="s">
        <v>13291</v>
      </c>
      <c r="F308" s="47" t="s">
        <v>13291</v>
      </c>
      <c r="G308" s="47" t="s">
        <v>13291</v>
      </c>
      <c r="H308" s="158">
        <v>1308</v>
      </c>
      <c r="I308" s="156" t="s">
        <v>11130</v>
      </c>
      <c r="J308" s="156" t="s">
        <v>12023</v>
      </c>
      <c r="K308" s="47"/>
      <c r="L308" s="47"/>
      <c r="M308" s="47"/>
      <c r="N308" s="156"/>
      <c r="O308" s="156" t="s">
        <v>157</v>
      </c>
      <c r="P308" s="47"/>
      <c r="Q308" s="47"/>
      <c r="R308" s="47"/>
      <c r="S308" s="47" t="s">
        <v>13292</v>
      </c>
      <c r="T308" s="47" t="s">
        <v>13295</v>
      </c>
      <c r="U308" s="47"/>
    </row>
    <row r="309" spans="1:21" x14ac:dyDescent="0.3">
      <c r="A309" s="46">
        <v>310</v>
      </c>
      <c r="B309" s="47" t="s">
        <v>13291</v>
      </c>
      <c r="C309" s="47" t="s">
        <v>13291</v>
      </c>
      <c r="D309" s="47" t="s">
        <v>13291</v>
      </c>
      <c r="E309" s="47" t="s">
        <v>13291</v>
      </c>
      <c r="F309" s="47" t="s">
        <v>13291</v>
      </c>
      <c r="G309" s="47" t="s">
        <v>13291</v>
      </c>
      <c r="H309" s="158">
        <v>1309</v>
      </c>
      <c r="I309" s="156" t="s">
        <v>5502</v>
      </c>
      <c r="J309" s="156" t="s">
        <v>12072</v>
      </c>
      <c r="K309" s="47"/>
      <c r="L309" s="47"/>
      <c r="M309" s="47"/>
      <c r="N309" s="156"/>
      <c r="O309" s="156" t="s">
        <v>157</v>
      </c>
      <c r="P309" s="47"/>
      <c r="Q309" s="47"/>
      <c r="R309" s="47"/>
      <c r="S309" s="47" t="s">
        <v>13292</v>
      </c>
      <c r="T309" s="47" t="s">
        <v>13295</v>
      </c>
      <c r="U309" s="47"/>
    </row>
    <row r="310" spans="1:21" x14ac:dyDescent="0.3">
      <c r="A310" s="46">
        <v>311</v>
      </c>
      <c r="B310" s="47" t="s">
        <v>13291</v>
      </c>
      <c r="C310" s="47" t="s">
        <v>13291</v>
      </c>
      <c r="D310" s="47" t="s">
        <v>13291</v>
      </c>
      <c r="E310" s="47" t="s">
        <v>13291</v>
      </c>
      <c r="F310" s="47" t="s">
        <v>13291</v>
      </c>
      <c r="G310" s="47" t="s">
        <v>13291</v>
      </c>
      <c r="H310" s="158">
        <v>1310</v>
      </c>
      <c r="I310" s="156" t="s">
        <v>11148</v>
      </c>
      <c r="J310" s="156" t="s">
        <v>12073</v>
      </c>
      <c r="K310" s="47"/>
      <c r="L310" s="47"/>
      <c r="M310" s="47"/>
      <c r="N310" s="156"/>
      <c r="O310" s="156" t="s">
        <v>157</v>
      </c>
      <c r="P310" s="47"/>
      <c r="Q310" s="47"/>
      <c r="R310" s="47"/>
      <c r="S310" s="47" t="s">
        <v>13292</v>
      </c>
      <c r="T310" s="47" t="s">
        <v>13295</v>
      </c>
      <c r="U310" s="47"/>
    </row>
    <row r="311" spans="1:21" x14ac:dyDescent="0.3">
      <c r="A311" s="46">
        <v>312</v>
      </c>
      <c r="B311" s="47" t="s">
        <v>13291</v>
      </c>
      <c r="C311" s="47" t="s">
        <v>13291</v>
      </c>
      <c r="D311" s="47" t="s">
        <v>13291</v>
      </c>
      <c r="E311" s="47" t="s">
        <v>13291</v>
      </c>
      <c r="F311" s="47" t="s">
        <v>13291</v>
      </c>
      <c r="G311" s="47" t="s">
        <v>13291</v>
      </c>
      <c r="H311" s="158">
        <v>1311</v>
      </c>
      <c r="I311" s="156" t="s">
        <v>5503</v>
      </c>
      <c r="J311" s="156" t="s">
        <v>11783</v>
      </c>
      <c r="K311" s="47"/>
      <c r="L311" s="47"/>
      <c r="M311" s="47"/>
      <c r="N311" s="156"/>
      <c r="O311" s="156" t="s">
        <v>157</v>
      </c>
      <c r="P311" s="47"/>
      <c r="Q311" s="47"/>
      <c r="R311" s="47"/>
      <c r="S311" s="47" t="s">
        <v>13292</v>
      </c>
      <c r="T311" s="47" t="s">
        <v>13295</v>
      </c>
      <c r="U311" s="47"/>
    </row>
    <row r="312" spans="1:21" x14ac:dyDescent="0.3">
      <c r="A312" s="46">
        <v>313</v>
      </c>
      <c r="B312" s="47" t="s">
        <v>13291</v>
      </c>
      <c r="C312" s="47" t="s">
        <v>13291</v>
      </c>
      <c r="D312" s="47" t="s">
        <v>13291</v>
      </c>
      <c r="E312" s="47" t="s">
        <v>13291</v>
      </c>
      <c r="F312" s="47" t="s">
        <v>13291</v>
      </c>
      <c r="G312" s="47" t="s">
        <v>13291</v>
      </c>
      <c r="H312" s="158">
        <v>1312</v>
      </c>
      <c r="I312" s="156" t="s">
        <v>11149</v>
      </c>
      <c r="J312" s="156" t="s">
        <v>12074</v>
      </c>
      <c r="K312" s="47"/>
      <c r="L312" s="47"/>
      <c r="M312" s="47"/>
      <c r="N312" s="156"/>
      <c r="O312" s="156" t="s">
        <v>157</v>
      </c>
      <c r="P312" s="47"/>
      <c r="Q312" s="47"/>
      <c r="R312" s="47"/>
      <c r="S312" s="47" t="s">
        <v>13292</v>
      </c>
      <c r="T312" s="47" t="s">
        <v>13295</v>
      </c>
      <c r="U312" s="47"/>
    </row>
    <row r="313" spans="1:21" x14ac:dyDescent="0.3">
      <c r="A313" s="46">
        <v>314</v>
      </c>
      <c r="B313" s="47" t="s">
        <v>13291</v>
      </c>
      <c r="C313" s="47" t="s">
        <v>13291</v>
      </c>
      <c r="D313" s="47" t="s">
        <v>13291</v>
      </c>
      <c r="E313" s="47" t="s">
        <v>13291</v>
      </c>
      <c r="F313" s="47" t="s">
        <v>13291</v>
      </c>
      <c r="G313" s="47" t="s">
        <v>13291</v>
      </c>
      <c r="H313" s="158">
        <v>1313</v>
      </c>
      <c r="I313" s="156" t="s">
        <v>11007</v>
      </c>
      <c r="J313" s="156" t="s">
        <v>11784</v>
      </c>
      <c r="K313" s="47"/>
      <c r="L313" s="47"/>
      <c r="M313" s="47"/>
      <c r="N313" s="156"/>
      <c r="O313" s="156" t="s">
        <v>157</v>
      </c>
      <c r="P313" s="47"/>
      <c r="Q313" s="47"/>
      <c r="R313" s="47"/>
      <c r="S313" s="47" t="s">
        <v>13292</v>
      </c>
      <c r="T313" s="47" t="s">
        <v>13295</v>
      </c>
      <c r="U313" s="47"/>
    </row>
    <row r="314" spans="1:21" x14ac:dyDescent="0.3">
      <c r="A314" s="46">
        <v>315</v>
      </c>
      <c r="B314" s="47" t="s">
        <v>13291</v>
      </c>
      <c r="C314" s="47" t="s">
        <v>13291</v>
      </c>
      <c r="D314" s="47" t="s">
        <v>13291</v>
      </c>
      <c r="E314" s="47" t="s">
        <v>13291</v>
      </c>
      <c r="F314" s="47" t="s">
        <v>13291</v>
      </c>
      <c r="G314" s="47" t="s">
        <v>13291</v>
      </c>
      <c r="H314" s="158">
        <v>1314</v>
      </c>
      <c r="I314" s="156" t="s">
        <v>11008</v>
      </c>
      <c r="J314" s="156" t="s">
        <v>11785</v>
      </c>
      <c r="K314" s="47"/>
      <c r="L314" s="47"/>
      <c r="M314" s="47"/>
      <c r="N314" s="156"/>
      <c r="O314" s="156" t="s">
        <v>157</v>
      </c>
      <c r="P314" s="47"/>
      <c r="Q314" s="47"/>
      <c r="R314" s="47"/>
      <c r="S314" s="47" t="s">
        <v>13292</v>
      </c>
      <c r="T314" s="47" t="s">
        <v>13295</v>
      </c>
      <c r="U314" s="47"/>
    </row>
    <row r="315" spans="1:21" x14ac:dyDescent="0.3">
      <c r="A315" s="46">
        <v>316</v>
      </c>
      <c r="B315" s="47" t="s">
        <v>13291</v>
      </c>
      <c r="C315" s="47" t="s">
        <v>13291</v>
      </c>
      <c r="D315" s="47" t="s">
        <v>13291</v>
      </c>
      <c r="E315" s="47" t="s">
        <v>13291</v>
      </c>
      <c r="F315" s="47" t="s">
        <v>13291</v>
      </c>
      <c r="G315" s="47" t="s">
        <v>13291</v>
      </c>
      <c r="H315" s="158">
        <v>1315</v>
      </c>
      <c r="I315" s="156" t="s">
        <v>5504</v>
      </c>
      <c r="J315" s="156" t="s">
        <v>11786</v>
      </c>
      <c r="K315" s="47"/>
      <c r="L315" s="47"/>
      <c r="M315" s="47"/>
      <c r="N315" s="156"/>
      <c r="O315" s="156" t="s">
        <v>157</v>
      </c>
      <c r="P315" s="47"/>
      <c r="Q315" s="47"/>
      <c r="R315" s="47"/>
      <c r="S315" s="47" t="s">
        <v>13292</v>
      </c>
      <c r="T315" s="47" t="s">
        <v>13295</v>
      </c>
      <c r="U315" s="47"/>
    </row>
    <row r="316" spans="1:21" x14ac:dyDescent="0.3">
      <c r="A316" s="46">
        <v>317</v>
      </c>
      <c r="B316" s="47" t="s">
        <v>13291</v>
      </c>
      <c r="C316" s="47" t="s">
        <v>13291</v>
      </c>
      <c r="D316" s="47" t="s">
        <v>13291</v>
      </c>
      <c r="E316" s="47" t="s">
        <v>13291</v>
      </c>
      <c r="F316" s="47" t="s">
        <v>13291</v>
      </c>
      <c r="G316" s="47" t="s">
        <v>13291</v>
      </c>
      <c r="H316" s="158">
        <v>1316</v>
      </c>
      <c r="I316" s="156" t="s">
        <v>5505</v>
      </c>
      <c r="J316" s="156" t="s">
        <v>12075</v>
      </c>
      <c r="K316" s="47"/>
      <c r="L316" s="47"/>
      <c r="M316" s="47"/>
      <c r="N316" s="156"/>
      <c r="O316" s="156" t="s">
        <v>157</v>
      </c>
      <c r="P316" s="47"/>
      <c r="Q316" s="47"/>
      <c r="R316" s="47"/>
      <c r="S316" s="47" t="s">
        <v>13292</v>
      </c>
      <c r="T316" s="47" t="s">
        <v>13295</v>
      </c>
      <c r="U316" s="47"/>
    </row>
    <row r="317" spans="1:21" x14ac:dyDescent="0.3">
      <c r="A317" s="46">
        <v>318</v>
      </c>
      <c r="B317" s="47" t="s">
        <v>13291</v>
      </c>
      <c r="C317" s="47" t="s">
        <v>13291</v>
      </c>
      <c r="D317" s="47" t="s">
        <v>13291</v>
      </c>
      <c r="E317" s="47" t="s">
        <v>13291</v>
      </c>
      <c r="F317" s="47" t="s">
        <v>13291</v>
      </c>
      <c r="G317" s="47" t="s">
        <v>13291</v>
      </c>
      <c r="H317" s="158">
        <v>1317</v>
      </c>
      <c r="I317" s="156" t="s">
        <v>5506</v>
      </c>
      <c r="J317" s="156" t="s">
        <v>12076</v>
      </c>
      <c r="K317" s="47"/>
      <c r="L317" s="47"/>
      <c r="M317" s="47"/>
      <c r="N317" s="156"/>
      <c r="O317" s="156" t="s">
        <v>157</v>
      </c>
      <c r="P317" s="47"/>
      <c r="Q317" s="47"/>
      <c r="R317" s="47"/>
      <c r="S317" s="47" t="s">
        <v>13292</v>
      </c>
      <c r="T317" s="47" t="s">
        <v>13295</v>
      </c>
      <c r="U317" s="47"/>
    </row>
    <row r="318" spans="1:21" x14ac:dyDescent="0.3">
      <c r="A318" s="46">
        <v>319</v>
      </c>
      <c r="B318" s="47" t="s">
        <v>13291</v>
      </c>
      <c r="C318" s="47" t="s">
        <v>13291</v>
      </c>
      <c r="D318" s="47" t="s">
        <v>13291</v>
      </c>
      <c r="E318" s="47" t="s">
        <v>13291</v>
      </c>
      <c r="F318" s="47" t="s">
        <v>13291</v>
      </c>
      <c r="G318" s="47" t="s">
        <v>13291</v>
      </c>
      <c r="H318" s="158">
        <v>1318</v>
      </c>
      <c r="I318" s="156" t="s">
        <v>5507</v>
      </c>
      <c r="J318" s="156" t="s">
        <v>12077</v>
      </c>
      <c r="K318" s="47"/>
      <c r="L318" s="47"/>
      <c r="M318" s="47"/>
      <c r="N318" s="156"/>
      <c r="O318" s="156" t="s">
        <v>157</v>
      </c>
      <c r="P318" s="47"/>
      <c r="Q318" s="47"/>
      <c r="R318" s="47"/>
      <c r="S318" s="47" t="s">
        <v>13292</v>
      </c>
      <c r="T318" s="47" t="s">
        <v>13295</v>
      </c>
      <c r="U318" s="47"/>
    </row>
    <row r="319" spans="1:21" x14ac:dyDescent="0.3">
      <c r="A319" s="46">
        <v>320</v>
      </c>
      <c r="B319" s="47" t="s">
        <v>13291</v>
      </c>
      <c r="C319" s="47" t="s">
        <v>13291</v>
      </c>
      <c r="D319" s="47" t="s">
        <v>13291</v>
      </c>
      <c r="E319" s="47" t="s">
        <v>13291</v>
      </c>
      <c r="F319" s="47" t="s">
        <v>13291</v>
      </c>
      <c r="G319" s="47" t="s">
        <v>13291</v>
      </c>
      <c r="H319" s="158">
        <v>1319</v>
      </c>
      <c r="I319" s="156" t="s">
        <v>11009</v>
      </c>
      <c r="J319" s="156" t="s">
        <v>11787</v>
      </c>
      <c r="K319" s="47"/>
      <c r="L319" s="47"/>
      <c r="M319" s="47"/>
      <c r="N319" s="156"/>
      <c r="O319" s="156" t="s">
        <v>157</v>
      </c>
      <c r="P319" s="47"/>
      <c r="Q319" s="47"/>
      <c r="R319" s="47"/>
      <c r="S319" s="47" t="s">
        <v>13292</v>
      </c>
      <c r="T319" s="47" t="s">
        <v>13295</v>
      </c>
      <c r="U319" s="47"/>
    </row>
    <row r="320" spans="1:21" x14ac:dyDescent="0.3">
      <c r="A320" s="46">
        <v>321</v>
      </c>
      <c r="B320" s="47" t="s">
        <v>13291</v>
      </c>
      <c r="C320" s="47" t="s">
        <v>13291</v>
      </c>
      <c r="D320" s="47" t="s">
        <v>13291</v>
      </c>
      <c r="E320" s="47" t="s">
        <v>13291</v>
      </c>
      <c r="F320" s="47" t="s">
        <v>13291</v>
      </c>
      <c r="G320" s="47" t="s">
        <v>13291</v>
      </c>
      <c r="H320" s="158">
        <v>1320</v>
      </c>
      <c r="I320" s="156" t="s">
        <v>5508</v>
      </c>
      <c r="J320" s="156" t="s">
        <v>12078</v>
      </c>
      <c r="K320" s="47"/>
      <c r="L320" s="47"/>
      <c r="M320" s="47"/>
      <c r="N320" s="156"/>
      <c r="O320" s="156" t="s">
        <v>157</v>
      </c>
      <c r="P320" s="47"/>
      <c r="Q320" s="47"/>
      <c r="R320" s="47"/>
      <c r="S320" s="47" t="s">
        <v>13292</v>
      </c>
      <c r="T320" s="47" t="s">
        <v>13295</v>
      </c>
      <c r="U320" s="47"/>
    </row>
    <row r="321" spans="1:21" x14ac:dyDescent="0.3">
      <c r="A321" s="46">
        <v>322</v>
      </c>
      <c r="B321" s="47" t="s">
        <v>13291</v>
      </c>
      <c r="C321" s="47" t="s">
        <v>13291</v>
      </c>
      <c r="D321" s="47" t="s">
        <v>13291</v>
      </c>
      <c r="E321" s="47" t="s">
        <v>13291</v>
      </c>
      <c r="F321" s="47" t="s">
        <v>13291</v>
      </c>
      <c r="G321" s="47" t="s">
        <v>13291</v>
      </c>
      <c r="H321" s="158">
        <v>1321</v>
      </c>
      <c r="I321" s="156" t="s">
        <v>5509</v>
      </c>
      <c r="J321" s="156" t="s">
        <v>12079</v>
      </c>
      <c r="K321" s="47"/>
      <c r="L321" s="47"/>
      <c r="M321" s="47"/>
      <c r="N321" s="156"/>
      <c r="O321" s="156" t="s">
        <v>157</v>
      </c>
      <c r="P321" s="47"/>
      <c r="Q321" s="47"/>
      <c r="R321" s="47"/>
      <c r="S321" s="47" t="s">
        <v>13292</v>
      </c>
      <c r="T321" s="47" t="s">
        <v>13295</v>
      </c>
      <c r="U321" s="47"/>
    </row>
    <row r="322" spans="1:21" x14ac:dyDescent="0.3">
      <c r="A322" s="46">
        <v>323</v>
      </c>
      <c r="B322" s="47" t="s">
        <v>13291</v>
      </c>
      <c r="C322" s="47" t="s">
        <v>13291</v>
      </c>
      <c r="D322" s="47" t="s">
        <v>13291</v>
      </c>
      <c r="E322" s="47" t="s">
        <v>13291</v>
      </c>
      <c r="F322" s="47" t="s">
        <v>13291</v>
      </c>
      <c r="G322" s="47" t="s">
        <v>13291</v>
      </c>
      <c r="H322" s="158">
        <v>1322</v>
      </c>
      <c r="I322" s="156" t="s">
        <v>11010</v>
      </c>
      <c r="J322" s="156" t="s">
        <v>11788</v>
      </c>
      <c r="K322" s="47"/>
      <c r="L322" s="47"/>
      <c r="M322" s="47"/>
      <c r="N322" s="156"/>
      <c r="O322" s="156" t="s">
        <v>157</v>
      </c>
      <c r="P322" s="47"/>
      <c r="Q322" s="47"/>
      <c r="R322" s="47"/>
      <c r="S322" s="47" t="s">
        <v>13292</v>
      </c>
      <c r="T322" s="47" t="s">
        <v>13295</v>
      </c>
      <c r="U322" s="47"/>
    </row>
    <row r="323" spans="1:21" x14ac:dyDescent="0.3">
      <c r="A323" s="46">
        <v>324</v>
      </c>
      <c r="B323" s="47" t="s">
        <v>13291</v>
      </c>
      <c r="C323" s="47" t="s">
        <v>13291</v>
      </c>
      <c r="D323" s="47" t="s">
        <v>13291</v>
      </c>
      <c r="E323" s="47" t="s">
        <v>13291</v>
      </c>
      <c r="F323" s="47" t="s">
        <v>13291</v>
      </c>
      <c r="G323" s="47" t="s">
        <v>13291</v>
      </c>
      <c r="H323" s="158">
        <v>1323</v>
      </c>
      <c r="I323" s="156" t="s">
        <v>5510</v>
      </c>
      <c r="J323" s="156" t="s">
        <v>11789</v>
      </c>
      <c r="K323" s="47"/>
      <c r="L323" s="47"/>
      <c r="M323" s="47"/>
      <c r="N323" s="156"/>
      <c r="O323" s="156" t="s">
        <v>157</v>
      </c>
      <c r="P323" s="47"/>
      <c r="Q323" s="47"/>
      <c r="R323" s="47"/>
      <c r="S323" s="47" t="s">
        <v>13292</v>
      </c>
      <c r="T323" s="47" t="s">
        <v>13295</v>
      </c>
      <c r="U323" s="47"/>
    </row>
    <row r="324" spans="1:21" x14ac:dyDescent="0.3">
      <c r="A324" s="46">
        <v>325</v>
      </c>
      <c r="B324" s="47" t="s">
        <v>13291</v>
      </c>
      <c r="C324" s="47" t="s">
        <v>13291</v>
      </c>
      <c r="D324" s="47" t="s">
        <v>13291</v>
      </c>
      <c r="E324" s="47" t="s">
        <v>13291</v>
      </c>
      <c r="F324" s="47" t="s">
        <v>13291</v>
      </c>
      <c r="G324" s="47" t="s">
        <v>13291</v>
      </c>
      <c r="H324" s="158">
        <v>1324</v>
      </c>
      <c r="I324" s="156" t="s">
        <v>5511</v>
      </c>
      <c r="J324" s="156" t="s">
        <v>11790</v>
      </c>
      <c r="K324" s="47"/>
      <c r="L324" s="47"/>
      <c r="M324" s="47"/>
      <c r="N324" s="156"/>
      <c r="O324" s="156" t="s">
        <v>157</v>
      </c>
      <c r="P324" s="47"/>
      <c r="Q324" s="47"/>
      <c r="R324" s="47"/>
      <c r="S324" s="47" t="s">
        <v>13292</v>
      </c>
      <c r="T324" s="47" t="s">
        <v>13295</v>
      </c>
      <c r="U324" s="47"/>
    </row>
    <row r="325" spans="1:21" x14ac:dyDescent="0.3">
      <c r="A325" s="46">
        <v>326</v>
      </c>
      <c r="B325" s="47" t="s">
        <v>13291</v>
      </c>
      <c r="C325" s="47" t="s">
        <v>13291</v>
      </c>
      <c r="D325" s="47" t="s">
        <v>13291</v>
      </c>
      <c r="E325" s="47" t="s">
        <v>13291</v>
      </c>
      <c r="F325" s="47" t="s">
        <v>13291</v>
      </c>
      <c r="G325" s="47" t="s">
        <v>13291</v>
      </c>
      <c r="H325" s="158">
        <v>1325</v>
      </c>
      <c r="I325" s="156" t="s">
        <v>5512</v>
      </c>
      <c r="J325" s="156" t="s">
        <v>11623</v>
      </c>
      <c r="K325" s="47"/>
      <c r="L325" s="47"/>
      <c r="M325" s="47"/>
      <c r="N325" s="156"/>
      <c r="O325" s="156" t="s">
        <v>157</v>
      </c>
      <c r="P325" s="47"/>
      <c r="Q325" s="47"/>
      <c r="R325" s="47"/>
      <c r="S325" s="47" t="s">
        <v>13292</v>
      </c>
      <c r="T325" s="47" t="s">
        <v>13295</v>
      </c>
      <c r="U325" s="47"/>
    </row>
    <row r="326" spans="1:21" x14ac:dyDescent="0.3">
      <c r="A326" s="46">
        <v>327</v>
      </c>
      <c r="B326" s="47" t="s">
        <v>13291</v>
      </c>
      <c r="C326" s="47" t="s">
        <v>13291</v>
      </c>
      <c r="D326" s="47" t="s">
        <v>13291</v>
      </c>
      <c r="E326" s="47" t="s">
        <v>13291</v>
      </c>
      <c r="F326" s="47" t="s">
        <v>13291</v>
      </c>
      <c r="G326" s="47" t="s">
        <v>13291</v>
      </c>
      <c r="H326" s="158">
        <v>1326</v>
      </c>
      <c r="I326" s="156" t="s">
        <v>5513</v>
      </c>
      <c r="J326" s="156" t="s">
        <v>11646</v>
      </c>
      <c r="K326" s="47"/>
      <c r="L326" s="47"/>
      <c r="M326" s="47"/>
      <c r="N326" s="156"/>
      <c r="O326" s="156" t="s">
        <v>157</v>
      </c>
      <c r="P326" s="47"/>
      <c r="Q326" s="47"/>
      <c r="R326" s="47"/>
      <c r="S326" s="47" t="s">
        <v>13292</v>
      </c>
      <c r="T326" s="47" t="s">
        <v>13295</v>
      </c>
      <c r="U326" s="47"/>
    </row>
    <row r="327" spans="1:21" x14ac:dyDescent="0.3">
      <c r="A327" s="46">
        <v>328</v>
      </c>
      <c r="B327" s="47" t="s">
        <v>13291</v>
      </c>
      <c r="C327" s="47" t="s">
        <v>13291</v>
      </c>
      <c r="D327" s="47" t="s">
        <v>13291</v>
      </c>
      <c r="E327" s="47" t="s">
        <v>13291</v>
      </c>
      <c r="F327" s="47" t="s">
        <v>13291</v>
      </c>
      <c r="G327" s="47" t="s">
        <v>13291</v>
      </c>
      <c r="H327" s="158">
        <v>1327</v>
      </c>
      <c r="I327" s="156" t="s">
        <v>11011</v>
      </c>
      <c r="J327" s="156" t="s">
        <v>11791</v>
      </c>
      <c r="K327" s="47"/>
      <c r="L327" s="47"/>
      <c r="M327" s="47"/>
      <c r="N327" s="156"/>
      <c r="O327" s="156" t="s">
        <v>157</v>
      </c>
      <c r="P327" s="47"/>
      <c r="Q327" s="47"/>
      <c r="R327" s="47"/>
      <c r="S327" s="47" t="s">
        <v>13292</v>
      </c>
      <c r="T327" s="47" t="s">
        <v>13295</v>
      </c>
      <c r="U327" s="47"/>
    </row>
    <row r="328" spans="1:21" x14ac:dyDescent="0.3">
      <c r="A328" s="46">
        <v>329</v>
      </c>
      <c r="B328" s="47" t="s">
        <v>13291</v>
      </c>
      <c r="C328" s="47" t="s">
        <v>13291</v>
      </c>
      <c r="D328" s="47" t="s">
        <v>13291</v>
      </c>
      <c r="E328" s="47" t="s">
        <v>13291</v>
      </c>
      <c r="F328" s="47" t="s">
        <v>13291</v>
      </c>
      <c r="G328" s="47" t="s">
        <v>13291</v>
      </c>
      <c r="H328" s="158">
        <v>1328</v>
      </c>
      <c r="I328" s="156" t="s">
        <v>5514</v>
      </c>
      <c r="J328" s="156" t="s">
        <v>11792</v>
      </c>
      <c r="K328" s="47"/>
      <c r="L328" s="47"/>
      <c r="M328" s="47"/>
      <c r="N328" s="156"/>
      <c r="O328" s="156" t="s">
        <v>157</v>
      </c>
      <c r="P328" s="47"/>
      <c r="Q328" s="47"/>
      <c r="R328" s="47"/>
      <c r="S328" s="47" t="s">
        <v>13292</v>
      </c>
      <c r="T328" s="47" t="s">
        <v>13295</v>
      </c>
      <c r="U328" s="47"/>
    </row>
    <row r="329" spans="1:21" x14ac:dyDescent="0.3">
      <c r="A329" s="46">
        <v>330</v>
      </c>
      <c r="B329" s="47" t="s">
        <v>13291</v>
      </c>
      <c r="C329" s="47" t="s">
        <v>13291</v>
      </c>
      <c r="D329" s="47" t="s">
        <v>13291</v>
      </c>
      <c r="E329" s="47" t="s">
        <v>13291</v>
      </c>
      <c r="F329" s="47" t="s">
        <v>13291</v>
      </c>
      <c r="G329" s="47" t="s">
        <v>13291</v>
      </c>
      <c r="H329" s="158">
        <v>1329</v>
      </c>
      <c r="I329" s="156" t="s">
        <v>5515</v>
      </c>
      <c r="J329" s="156" t="s">
        <v>11793</v>
      </c>
      <c r="K329" s="47"/>
      <c r="L329" s="47"/>
      <c r="M329" s="47"/>
      <c r="N329" s="156"/>
      <c r="O329" s="156" t="s">
        <v>157</v>
      </c>
      <c r="P329" s="47"/>
      <c r="Q329" s="47"/>
      <c r="R329" s="47"/>
      <c r="S329" s="47" t="s">
        <v>13292</v>
      </c>
      <c r="T329" s="47" t="s">
        <v>13295</v>
      </c>
      <c r="U329" s="47"/>
    </row>
    <row r="330" spans="1:21" x14ac:dyDescent="0.3">
      <c r="A330" s="46">
        <v>331</v>
      </c>
      <c r="B330" s="47" t="s">
        <v>13291</v>
      </c>
      <c r="C330" s="47" t="s">
        <v>13291</v>
      </c>
      <c r="D330" s="47" t="s">
        <v>13291</v>
      </c>
      <c r="E330" s="47" t="s">
        <v>13291</v>
      </c>
      <c r="F330" s="47" t="s">
        <v>13291</v>
      </c>
      <c r="G330" s="47" t="s">
        <v>13291</v>
      </c>
      <c r="H330" s="158">
        <v>1330</v>
      </c>
      <c r="I330" s="156" t="s">
        <v>5516</v>
      </c>
      <c r="J330" s="156" t="s">
        <v>11794</v>
      </c>
      <c r="K330" s="47"/>
      <c r="L330" s="47"/>
      <c r="M330" s="47"/>
      <c r="N330" s="156"/>
      <c r="O330" s="156" t="s">
        <v>157</v>
      </c>
      <c r="P330" s="47"/>
      <c r="Q330" s="47"/>
      <c r="R330" s="47"/>
      <c r="S330" s="47" t="s">
        <v>13292</v>
      </c>
      <c r="T330" s="47" t="s">
        <v>13295</v>
      </c>
      <c r="U330" s="47"/>
    </row>
    <row r="331" spans="1:21" x14ac:dyDescent="0.3">
      <c r="A331" s="46">
        <v>332</v>
      </c>
      <c r="B331" s="47" t="s">
        <v>13291</v>
      </c>
      <c r="C331" s="47" t="s">
        <v>13291</v>
      </c>
      <c r="D331" s="47" t="s">
        <v>13291</v>
      </c>
      <c r="E331" s="47" t="s">
        <v>13291</v>
      </c>
      <c r="F331" s="47" t="s">
        <v>13291</v>
      </c>
      <c r="G331" s="47" t="s">
        <v>13291</v>
      </c>
      <c r="H331" s="158">
        <v>1331</v>
      </c>
      <c r="I331" s="156" t="s">
        <v>11012</v>
      </c>
      <c r="J331" s="156" t="s">
        <v>11795</v>
      </c>
      <c r="K331" s="47"/>
      <c r="L331" s="47"/>
      <c r="M331" s="47"/>
      <c r="N331" s="156"/>
      <c r="O331" s="156" t="s">
        <v>157</v>
      </c>
      <c r="P331" s="47"/>
      <c r="Q331" s="47"/>
      <c r="R331" s="47"/>
      <c r="S331" s="47" t="s">
        <v>13292</v>
      </c>
      <c r="T331" s="47" t="s">
        <v>13295</v>
      </c>
      <c r="U331" s="47"/>
    </row>
    <row r="332" spans="1:21" x14ac:dyDescent="0.3">
      <c r="A332" s="46">
        <v>333</v>
      </c>
      <c r="B332" s="47" t="s">
        <v>13291</v>
      </c>
      <c r="C332" s="47" t="s">
        <v>13291</v>
      </c>
      <c r="D332" s="47" t="s">
        <v>13291</v>
      </c>
      <c r="E332" s="47" t="s">
        <v>13291</v>
      </c>
      <c r="F332" s="47" t="s">
        <v>13291</v>
      </c>
      <c r="G332" s="47" t="s">
        <v>13291</v>
      </c>
      <c r="H332" s="158">
        <v>1332</v>
      </c>
      <c r="I332" s="156" t="s">
        <v>5517</v>
      </c>
      <c r="J332" s="156" t="s">
        <v>11796</v>
      </c>
      <c r="K332" s="47"/>
      <c r="L332" s="47"/>
      <c r="M332" s="47"/>
      <c r="N332" s="156"/>
      <c r="O332" s="156" t="s">
        <v>157</v>
      </c>
      <c r="P332" s="47"/>
      <c r="Q332" s="47"/>
      <c r="R332" s="47"/>
      <c r="S332" s="47" t="s">
        <v>13292</v>
      </c>
      <c r="T332" s="47" t="s">
        <v>13295</v>
      </c>
      <c r="U332" s="47"/>
    </row>
    <row r="333" spans="1:21" x14ac:dyDescent="0.3">
      <c r="A333" s="46">
        <v>334</v>
      </c>
      <c r="B333" s="47" t="s">
        <v>13291</v>
      </c>
      <c r="C333" s="47" t="s">
        <v>13291</v>
      </c>
      <c r="D333" s="47" t="s">
        <v>13291</v>
      </c>
      <c r="E333" s="47" t="s">
        <v>13291</v>
      </c>
      <c r="F333" s="47" t="s">
        <v>13291</v>
      </c>
      <c r="G333" s="47" t="s">
        <v>13291</v>
      </c>
      <c r="H333" s="158">
        <v>1333</v>
      </c>
      <c r="I333" s="156" t="s">
        <v>5518</v>
      </c>
      <c r="J333" s="156" t="s">
        <v>11986</v>
      </c>
      <c r="K333" s="47"/>
      <c r="L333" s="47"/>
      <c r="M333" s="47"/>
      <c r="N333" s="156"/>
      <c r="O333" s="156" t="s">
        <v>157</v>
      </c>
      <c r="P333" s="47"/>
      <c r="Q333" s="47"/>
      <c r="R333" s="47"/>
      <c r="S333" s="47" t="s">
        <v>13292</v>
      </c>
      <c r="T333" s="47" t="s">
        <v>13295</v>
      </c>
      <c r="U333" s="47"/>
    </row>
    <row r="334" spans="1:21" x14ac:dyDescent="0.3">
      <c r="A334" s="46">
        <v>335</v>
      </c>
      <c r="B334" s="47" t="s">
        <v>13291</v>
      </c>
      <c r="C334" s="47" t="s">
        <v>13291</v>
      </c>
      <c r="D334" s="47" t="s">
        <v>13291</v>
      </c>
      <c r="E334" s="47" t="s">
        <v>13291</v>
      </c>
      <c r="F334" s="47" t="s">
        <v>13291</v>
      </c>
      <c r="G334" s="47" t="s">
        <v>13291</v>
      </c>
      <c r="H334" s="158">
        <v>1334</v>
      </c>
      <c r="I334" s="156" t="s">
        <v>5519</v>
      </c>
      <c r="J334" s="156" t="s">
        <v>11797</v>
      </c>
      <c r="K334" s="47"/>
      <c r="L334" s="47"/>
      <c r="M334" s="47"/>
      <c r="N334" s="156"/>
      <c r="O334" s="156" t="s">
        <v>157</v>
      </c>
      <c r="P334" s="47"/>
      <c r="Q334" s="47"/>
      <c r="R334" s="47"/>
      <c r="S334" s="47" t="s">
        <v>13292</v>
      </c>
      <c r="T334" s="47" t="s">
        <v>13295</v>
      </c>
      <c r="U334" s="47"/>
    </row>
    <row r="335" spans="1:21" x14ac:dyDescent="0.3">
      <c r="A335" s="46">
        <v>336</v>
      </c>
      <c r="B335" s="47" t="s">
        <v>13291</v>
      </c>
      <c r="C335" s="47" t="s">
        <v>13291</v>
      </c>
      <c r="D335" s="47" t="s">
        <v>13291</v>
      </c>
      <c r="E335" s="47" t="s">
        <v>13291</v>
      </c>
      <c r="F335" s="47" t="s">
        <v>13291</v>
      </c>
      <c r="G335" s="47" t="s">
        <v>13291</v>
      </c>
      <c r="H335" s="158">
        <v>1335</v>
      </c>
      <c r="I335" s="156" t="s">
        <v>5520</v>
      </c>
      <c r="J335" s="156" t="s">
        <v>12080</v>
      </c>
      <c r="K335" s="47"/>
      <c r="L335" s="47"/>
      <c r="M335" s="47"/>
      <c r="N335" s="156"/>
      <c r="O335" s="156" t="s">
        <v>157</v>
      </c>
      <c r="P335" s="47"/>
      <c r="Q335" s="47"/>
      <c r="R335" s="47"/>
      <c r="S335" s="47" t="s">
        <v>13292</v>
      </c>
      <c r="T335" s="47" t="s">
        <v>13295</v>
      </c>
      <c r="U335" s="47"/>
    </row>
    <row r="336" spans="1:21" x14ac:dyDescent="0.3">
      <c r="A336" s="46">
        <v>337</v>
      </c>
      <c r="B336" s="47" t="s">
        <v>13291</v>
      </c>
      <c r="C336" s="47" t="s">
        <v>13291</v>
      </c>
      <c r="D336" s="47" t="s">
        <v>13291</v>
      </c>
      <c r="E336" s="47" t="s">
        <v>13291</v>
      </c>
      <c r="F336" s="47" t="s">
        <v>13291</v>
      </c>
      <c r="G336" s="47" t="s">
        <v>13291</v>
      </c>
      <c r="H336" s="158">
        <v>1336</v>
      </c>
      <c r="I336" s="156" t="s">
        <v>11150</v>
      </c>
      <c r="J336" s="156" t="s">
        <v>12081</v>
      </c>
      <c r="K336" s="47"/>
      <c r="L336" s="47"/>
      <c r="M336" s="47"/>
      <c r="N336" s="156"/>
      <c r="O336" s="156" t="s">
        <v>157</v>
      </c>
      <c r="P336" s="47"/>
      <c r="Q336" s="47"/>
      <c r="R336" s="47"/>
      <c r="S336" s="47" t="s">
        <v>13292</v>
      </c>
      <c r="T336" s="47" t="s">
        <v>13295</v>
      </c>
      <c r="U336" s="47"/>
    </row>
    <row r="337" spans="1:21" x14ac:dyDescent="0.3">
      <c r="A337" s="46">
        <v>338</v>
      </c>
      <c r="B337" s="47" t="s">
        <v>13291</v>
      </c>
      <c r="C337" s="47" t="s">
        <v>13291</v>
      </c>
      <c r="D337" s="47" t="s">
        <v>13291</v>
      </c>
      <c r="E337" s="47" t="s">
        <v>13291</v>
      </c>
      <c r="F337" s="47" t="s">
        <v>13291</v>
      </c>
      <c r="G337" s="47" t="s">
        <v>13291</v>
      </c>
      <c r="H337" s="158">
        <v>1337</v>
      </c>
      <c r="I337" s="156" t="s">
        <v>11013</v>
      </c>
      <c r="J337" s="156" t="s">
        <v>11798</v>
      </c>
      <c r="K337" s="47"/>
      <c r="L337" s="47"/>
      <c r="M337" s="47"/>
      <c r="N337" s="156"/>
      <c r="O337" s="156" t="s">
        <v>157</v>
      </c>
      <c r="P337" s="47"/>
      <c r="Q337" s="47"/>
      <c r="R337" s="47"/>
      <c r="S337" s="47" t="s">
        <v>13292</v>
      </c>
      <c r="T337" s="47" t="s">
        <v>13295</v>
      </c>
      <c r="U337" s="47"/>
    </row>
    <row r="338" spans="1:21" x14ac:dyDescent="0.3">
      <c r="A338" s="46">
        <v>339</v>
      </c>
      <c r="B338" s="47" t="s">
        <v>13291</v>
      </c>
      <c r="C338" s="47" t="s">
        <v>13291</v>
      </c>
      <c r="D338" s="47" t="s">
        <v>13291</v>
      </c>
      <c r="E338" s="47" t="s">
        <v>13291</v>
      </c>
      <c r="F338" s="47" t="s">
        <v>13291</v>
      </c>
      <c r="G338" s="47" t="s">
        <v>13291</v>
      </c>
      <c r="H338" s="158">
        <v>1338</v>
      </c>
      <c r="I338" s="156" t="s">
        <v>11014</v>
      </c>
      <c r="J338" s="156" t="s">
        <v>11799</v>
      </c>
      <c r="K338" s="47"/>
      <c r="L338" s="47"/>
      <c r="M338" s="47"/>
      <c r="N338" s="156"/>
      <c r="O338" s="156" t="s">
        <v>157</v>
      </c>
      <c r="P338" s="47"/>
      <c r="Q338" s="47"/>
      <c r="R338" s="47"/>
      <c r="S338" s="47" t="s">
        <v>13292</v>
      </c>
      <c r="T338" s="47" t="s">
        <v>13295</v>
      </c>
      <c r="U338" s="47"/>
    </row>
    <row r="339" spans="1:21" x14ac:dyDescent="0.3">
      <c r="A339" s="46">
        <v>340</v>
      </c>
      <c r="B339" s="47" t="s">
        <v>13291</v>
      </c>
      <c r="C339" s="47" t="s">
        <v>13291</v>
      </c>
      <c r="D339" s="47" t="s">
        <v>13291</v>
      </c>
      <c r="E339" s="47" t="s">
        <v>13291</v>
      </c>
      <c r="F339" s="47" t="s">
        <v>13291</v>
      </c>
      <c r="G339" s="47" t="s">
        <v>13291</v>
      </c>
      <c r="H339" s="158">
        <v>1339</v>
      </c>
      <c r="I339" s="156" t="s">
        <v>11015</v>
      </c>
      <c r="J339" s="156" t="s">
        <v>11800</v>
      </c>
      <c r="K339" s="47"/>
      <c r="L339" s="47"/>
      <c r="M339" s="47"/>
      <c r="N339" s="156"/>
      <c r="O339" s="156" t="s">
        <v>157</v>
      </c>
      <c r="P339" s="47"/>
      <c r="Q339" s="47"/>
      <c r="R339" s="47"/>
      <c r="S339" s="47" t="s">
        <v>13292</v>
      </c>
      <c r="T339" s="47" t="s">
        <v>13295</v>
      </c>
      <c r="U339" s="47"/>
    </row>
    <row r="340" spans="1:21" x14ac:dyDescent="0.3">
      <c r="A340" s="46">
        <v>341</v>
      </c>
      <c r="B340" s="47" t="s">
        <v>13291</v>
      </c>
      <c r="C340" s="47" t="s">
        <v>13291</v>
      </c>
      <c r="D340" s="47" t="s">
        <v>13291</v>
      </c>
      <c r="E340" s="47" t="s">
        <v>13291</v>
      </c>
      <c r="F340" s="47" t="s">
        <v>13291</v>
      </c>
      <c r="G340" s="47" t="s">
        <v>13291</v>
      </c>
      <c r="H340" s="158">
        <v>1340</v>
      </c>
      <c r="I340" s="156" t="s">
        <v>11016</v>
      </c>
      <c r="J340" s="156" t="s">
        <v>11801</v>
      </c>
      <c r="K340" s="47"/>
      <c r="L340" s="47"/>
      <c r="M340" s="47"/>
      <c r="N340" s="156"/>
      <c r="O340" s="156" t="s">
        <v>157</v>
      </c>
      <c r="P340" s="47"/>
      <c r="Q340" s="47"/>
      <c r="R340" s="47"/>
      <c r="S340" s="47" t="s">
        <v>13292</v>
      </c>
      <c r="T340" s="47" t="s">
        <v>13295</v>
      </c>
      <c r="U340" s="47"/>
    </row>
    <row r="341" spans="1:21" x14ac:dyDescent="0.3">
      <c r="A341" s="46">
        <v>342</v>
      </c>
      <c r="B341" s="47" t="s">
        <v>13291</v>
      </c>
      <c r="C341" s="47" t="s">
        <v>13291</v>
      </c>
      <c r="D341" s="47" t="s">
        <v>13291</v>
      </c>
      <c r="E341" s="47" t="s">
        <v>13291</v>
      </c>
      <c r="F341" s="47" t="s">
        <v>13291</v>
      </c>
      <c r="G341" s="47" t="s">
        <v>13291</v>
      </c>
      <c r="H341" s="158">
        <v>1341</v>
      </c>
      <c r="I341" s="156" t="s">
        <v>11017</v>
      </c>
      <c r="J341" s="156" t="s">
        <v>11802</v>
      </c>
      <c r="K341" s="47"/>
      <c r="L341" s="47"/>
      <c r="M341" s="47"/>
      <c r="N341" s="156"/>
      <c r="O341" s="156" t="s">
        <v>157</v>
      </c>
      <c r="P341" s="47"/>
      <c r="Q341" s="47"/>
      <c r="R341" s="47"/>
      <c r="S341" s="47" t="s">
        <v>13292</v>
      </c>
      <c r="T341" s="47" t="s">
        <v>13295</v>
      </c>
      <c r="U341" s="47"/>
    </row>
    <row r="342" spans="1:21" x14ac:dyDescent="0.3">
      <c r="A342" s="46">
        <v>343</v>
      </c>
      <c r="B342" s="47" t="s">
        <v>13291</v>
      </c>
      <c r="C342" s="47" t="s">
        <v>13291</v>
      </c>
      <c r="D342" s="47" t="s">
        <v>13291</v>
      </c>
      <c r="E342" s="47" t="s">
        <v>13291</v>
      </c>
      <c r="F342" s="47" t="s">
        <v>13291</v>
      </c>
      <c r="G342" s="47" t="s">
        <v>13291</v>
      </c>
      <c r="H342" s="158">
        <v>1342</v>
      </c>
      <c r="I342" s="156" t="s">
        <v>5521</v>
      </c>
      <c r="J342" s="156" t="s">
        <v>11803</v>
      </c>
      <c r="K342" s="47"/>
      <c r="L342" s="47"/>
      <c r="M342" s="47"/>
      <c r="N342" s="156"/>
      <c r="O342" s="156" t="s">
        <v>157</v>
      </c>
      <c r="P342" s="47"/>
      <c r="Q342" s="47"/>
      <c r="R342" s="47"/>
      <c r="S342" s="47" t="s">
        <v>13292</v>
      </c>
      <c r="T342" s="47" t="s">
        <v>13295</v>
      </c>
      <c r="U342" s="47"/>
    </row>
    <row r="343" spans="1:21" x14ac:dyDescent="0.3">
      <c r="A343" s="46">
        <v>344</v>
      </c>
      <c r="B343" s="47" t="s">
        <v>13291</v>
      </c>
      <c r="C343" s="47" t="s">
        <v>13291</v>
      </c>
      <c r="D343" s="47" t="s">
        <v>13291</v>
      </c>
      <c r="E343" s="47" t="s">
        <v>13291</v>
      </c>
      <c r="F343" s="47" t="s">
        <v>13291</v>
      </c>
      <c r="G343" s="47" t="s">
        <v>13291</v>
      </c>
      <c r="H343" s="158">
        <v>1343</v>
      </c>
      <c r="I343" s="156" t="s">
        <v>11184</v>
      </c>
      <c r="J343" s="156" t="s">
        <v>12153</v>
      </c>
      <c r="K343" s="47"/>
      <c r="L343" s="47"/>
      <c r="M343" s="47"/>
      <c r="N343" s="156"/>
      <c r="O343" s="156" t="s">
        <v>157</v>
      </c>
      <c r="P343" s="47"/>
      <c r="Q343" s="47"/>
      <c r="R343" s="47"/>
      <c r="S343" s="47" t="s">
        <v>13292</v>
      </c>
      <c r="T343" s="47" t="s">
        <v>13295</v>
      </c>
      <c r="U343" s="47"/>
    </row>
    <row r="344" spans="1:21" x14ac:dyDescent="0.3">
      <c r="A344" s="46">
        <v>345</v>
      </c>
      <c r="B344" s="47" t="s">
        <v>13291</v>
      </c>
      <c r="C344" s="47" t="s">
        <v>13291</v>
      </c>
      <c r="D344" s="47" t="s">
        <v>13291</v>
      </c>
      <c r="E344" s="47" t="s">
        <v>13291</v>
      </c>
      <c r="F344" s="47" t="s">
        <v>13291</v>
      </c>
      <c r="G344" s="47" t="s">
        <v>13291</v>
      </c>
      <c r="H344" s="158">
        <v>1344</v>
      </c>
      <c r="I344" s="156" t="s">
        <v>5522</v>
      </c>
      <c r="J344" s="156" t="s">
        <v>11804</v>
      </c>
      <c r="K344" s="47"/>
      <c r="L344" s="47"/>
      <c r="M344" s="47"/>
      <c r="N344" s="156"/>
      <c r="O344" s="156" t="s">
        <v>157</v>
      </c>
      <c r="P344" s="47"/>
      <c r="Q344" s="47"/>
      <c r="R344" s="47"/>
      <c r="S344" s="47" t="s">
        <v>13292</v>
      </c>
      <c r="T344" s="47" t="s">
        <v>13295</v>
      </c>
      <c r="U344" s="47"/>
    </row>
    <row r="345" spans="1:21" x14ac:dyDescent="0.3">
      <c r="A345" s="46">
        <v>346</v>
      </c>
      <c r="B345" s="47" t="s">
        <v>13291</v>
      </c>
      <c r="C345" s="47" t="s">
        <v>13291</v>
      </c>
      <c r="D345" s="47" t="s">
        <v>13291</v>
      </c>
      <c r="E345" s="47" t="s">
        <v>13291</v>
      </c>
      <c r="F345" s="47" t="s">
        <v>13291</v>
      </c>
      <c r="G345" s="47" t="s">
        <v>13291</v>
      </c>
      <c r="H345" s="158">
        <v>1345</v>
      </c>
      <c r="I345" s="156" t="s">
        <v>5523</v>
      </c>
      <c r="J345" s="156" t="s">
        <v>11805</v>
      </c>
      <c r="K345" s="47"/>
      <c r="L345" s="47"/>
      <c r="M345" s="47"/>
      <c r="N345" s="156"/>
      <c r="O345" s="156" t="s">
        <v>157</v>
      </c>
      <c r="P345" s="47"/>
      <c r="Q345" s="47"/>
      <c r="R345" s="47"/>
      <c r="S345" s="47" t="s">
        <v>13292</v>
      </c>
      <c r="T345" s="47" t="s">
        <v>13295</v>
      </c>
      <c r="U345" s="47"/>
    </row>
    <row r="346" spans="1:21" x14ac:dyDescent="0.3">
      <c r="A346" s="46">
        <v>347</v>
      </c>
      <c r="B346" s="47" t="s">
        <v>13291</v>
      </c>
      <c r="C346" s="47" t="s">
        <v>13291</v>
      </c>
      <c r="D346" s="47" t="s">
        <v>13291</v>
      </c>
      <c r="E346" s="47" t="s">
        <v>13291</v>
      </c>
      <c r="F346" s="47" t="s">
        <v>13291</v>
      </c>
      <c r="G346" s="47" t="s">
        <v>13291</v>
      </c>
      <c r="H346" s="158">
        <v>1346</v>
      </c>
      <c r="I346" s="156" t="s">
        <v>5524</v>
      </c>
      <c r="J346" s="156" t="s">
        <v>12154</v>
      </c>
      <c r="K346" s="47"/>
      <c r="L346" s="47"/>
      <c r="M346" s="47"/>
      <c r="N346" s="156"/>
      <c r="O346" s="156" t="s">
        <v>157</v>
      </c>
      <c r="P346" s="47"/>
      <c r="Q346" s="47"/>
      <c r="R346" s="47"/>
      <c r="S346" s="47" t="s">
        <v>13292</v>
      </c>
      <c r="T346" s="47" t="s">
        <v>13295</v>
      </c>
      <c r="U346" s="47"/>
    </row>
    <row r="347" spans="1:21" x14ac:dyDescent="0.3">
      <c r="A347" s="46">
        <v>348</v>
      </c>
      <c r="B347" s="47" t="s">
        <v>13291</v>
      </c>
      <c r="C347" s="47" t="s">
        <v>13291</v>
      </c>
      <c r="D347" s="47" t="s">
        <v>13291</v>
      </c>
      <c r="E347" s="47" t="s">
        <v>13291</v>
      </c>
      <c r="F347" s="47" t="s">
        <v>13291</v>
      </c>
      <c r="G347" s="47" t="s">
        <v>13291</v>
      </c>
      <c r="H347" s="158">
        <v>1347</v>
      </c>
      <c r="I347" s="156" t="s">
        <v>11185</v>
      </c>
      <c r="J347" s="156" t="s">
        <v>12155</v>
      </c>
      <c r="K347" s="47"/>
      <c r="L347" s="47"/>
      <c r="M347" s="47"/>
      <c r="N347" s="156"/>
      <c r="O347" s="156" t="s">
        <v>157</v>
      </c>
      <c r="P347" s="47"/>
      <c r="Q347" s="47"/>
      <c r="R347" s="47"/>
      <c r="S347" s="47" t="s">
        <v>13292</v>
      </c>
      <c r="T347" s="47" t="s">
        <v>13295</v>
      </c>
      <c r="U347" s="47"/>
    </row>
    <row r="348" spans="1:21" x14ac:dyDescent="0.3">
      <c r="A348" s="46">
        <v>349</v>
      </c>
      <c r="B348" s="47" t="s">
        <v>13291</v>
      </c>
      <c r="C348" s="47" t="s">
        <v>13291</v>
      </c>
      <c r="D348" s="47" t="s">
        <v>13291</v>
      </c>
      <c r="E348" s="47" t="s">
        <v>13291</v>
      </c>
      <c r="F348" s="47" t="s">
        <v>13291</v>
      </c>
      <c r="G348" s="47" t="s">
        <v>13291</v>
      </c>
      <c r="H348" s="158">
        <v>1348</v>
      </c>
      <c r="I348" s="156" t="s">
        <v>5525</v>
      </c>
      <c r="J348" s="156" t="s">
        <v>11806</v>
      </c>
      <c r="K348" s="47"/>
      <c r="L348" s="47"/>
      <c r="M348" s="47"/>
      <c r="N348" s="156"/>
      <c r="O348" s="156" t="s">
        <v>157</v>
      </c>
      <c r="P348" s="47"/>
      <c r="Q348" s="47"/>
      <c r="R348" s="47"/>
      <c r="S348" s="47" t="s">
        <v>13292</v>
      </c>
      <c r="T348" s="47" t="s">
        <v>13295</v>
      </c>
      <c r="U348" s="47"/>
    </row>
    <row r="349" spans="1:21" x14ac:dyDescent="0.3">
      <c r="A349" s="46">
        <v>350</v>
      </c>
      <c r="B349" s="47" t="s">
        <v>13291</v>
      </c>
      <c r="C349" s="47" t="s">
        <v>13291</v>
      </c>
      <c r="D349" s="47" t="s">
        <v>13291</v>
      </c>
      <c r="E349" s="47" t="s">
        <v>13291</v>
      </c>
      <c r="F349" s="47" t="s">
        <v>13291</v>
      </c>
      <c r="G349" s="47" t="s">
        <v>13291</v>
      </c>
      <c r="H349" s="158">
        <v>1349</v>
      </c>
      <c r="I349" s="156" t="s">
        <v>11018</v>
      </c>
      <c r="J349" s="156" t="s">
        <v>11807</v>
      </c>
      <c r="K349" s="47"/>
      <c r="L349" s="47"/>
      <c r="M349" s="47"/>
      <c r="N349" s="156"/>
      <c r="O349" s="156" t="s">
        <v>157</v>
      </c>
      <c r="P349" s="47"/>
      <c r="Q349" s="47"/>
      <c r="R349" s="47"/>
      <c r="S349" s="47" t="s">
        <v>13292</v>
      </c>
      <c r="T349" s="47" t="s">
        <v>13295</v>
      </c>
      <c r="U349" s="47"/>
    </row>
    <row r="350" spans="1:21" x14ac:dyDescent="0.3">
      <c r="A350" s="46">
        <v>351</v>
      </c>
      <c r="B350" s="47" t="s">
        <v>13291</v>
      </c>
      <c r="C350" s="47" t="s">
        <v>13291</v>
      </c>
      <c r="D350" s="47" t="s">
        <v>13291</v>
      </c>
      <c r="E350" s="47" t="s">
        <v>13291</v>
      </c>
      <c r="F350" s="47" t="s">
        <v>13291</v>
      </c>
      <c r="G350" s="47" t="s">
        <v>13291</v>
      </c>
      <c r="H350" s="158">
        <v>1350</v>
      </c>
      <c r="I350" s="156" t="s">
        <v>11019</v>
      </c>
      <c r="J350" s="156" t="s">
        <v>11808</v>
      </c>
      <c r="K350" s="47"/>
      <c r="L350" s="47"/>
      <c r="M350" s="47"/>
      <c r="N350" s="156"/>
      <c r="O350" s="156" t="s">
        <v>157</v>
      </c>
      <c r="P350" s="47"/>
      <c r="Q350" s="47"/>
      <c r="R350" s="47"/>
      <c r="S350" s="47" t="s">
        <v>13292</v>
      </c>
      <c r="T350" s="47" t="s">
        <v>13295</v>
      </c>
      <c r="U350" s="47"/>
    </row>
    <row r="351" spans="1:21" x14ac:dyDescent="0.3">
      <c r="A351" s="46">
        <v>352</v>
      </c>
      <c r="B351" s="47" t="s">
        <v>13291</v>
      </c>
      <c r="C351" s="47" t="s">
        <v>13291</v>
      </c>
      <c r="D351" s="47" t="s">
        <v>13291</v>
      </c>
      <c r="E351" s="47" t="s">
        <v>13291</v>
      </c>
      <c r="F351" s="47" t="s">
        <v>13291</v>
      </c>
      <c r="G351" s="47" t="s">
        <v>13291</v>
      </c>
      <c r="H351" s="158">
        <v>1351</v>
      </c>
      <c r="I351" s="156" t="s">
        <v>5526</v>
      </c>
      <c r="J351" s="156" t="s">
        <v>11809</v>
      </c>
      <c r="K351" s="47"/>
      <c r="L351" s="47"/>
      <c r="M351" s="47"/>
      <c r="N351" s="156"/>
      <c r="O351" s="156" t="s">
        <v>157</v>
      </c>
      <c r="P351" s="47"/>
      <c r="Q351" s="47"/>
      <c r="R351" s="47"/>
      <c r="S351" s="47" t="s">
        <v>13292</v>
      </c>
      <c r="T351" s="47" t="s">
        <v>13295</v>
      </c>
      <c r="U351" s="47"/>
    </row>
    <row r="352" spans="1:21" x14ac:dyDescent="0.3">
      <c r="A352" s="46">
        <v>353</v>
      </c>
      <c r="B352" s="47" t="s">
        <v>13291</v>
      </c>
      <c r="C352" s="47" t="s">
        <v>13291</v>
      </c>
      <c r="D352" s="47" t="s">
        <v>13291</v>
      </c>
      <c r="E352" s="47" t="s">
        <v>13291</v>
      </c>
      <c r="F352" s="47" t="s">
        <v>13291</v>
      </c>
      <c r="G352" s="47" t="s">
        <v>13291</v>
      </c>
      <c r="H352" s="158">
        <v>1352</v>
      </c>
      <c r="I352" s="156" t="s">
        <v>5527</v>
      </c>
      <c r="J352" s="156" t="s">
        <v>11505</v>
      </c>
      <c r="K352" s="47"/>
      <c r="L352" s="47"/>
      <c r="M352" s="47"/>
      <c r="N352" s="156"/>
      <c r="O352" s="156" t="s">
        <v>157</v>
      </c>
      <c r="P352" s="47"/>
      <c r="Q352" s="47"/>
      <c r="R352" s="47"/>
      <c r="S352" s="47" t="s">
        <v>13292</v>
      </c>
      <c r="T352" s="47" t="s">
        <v>13295</v>
      </c>
      <c r="U352" s="47"/>
    </row>
    <row r="353" spans="1:21" x14ac:dyDescent="0.3">
      <c r="A353" s="46">
        <v>354</v>
      </c>
      <c r="B353" s="47" t="s">
        <v>13291</v>
      </c>
      <c r="C353" s="47" t="s">
        <v>13291</v>
      </c>
      <c r="D353" s="47" t="s">
        <v>13291</v>
      </c>
      <c r="E353" s="47" t="s">
        <v>13291</v>
      </c>
      <c r="F353" s="47" t="s">
        <v>13291</v>
      </c>
      <c r="G353" s="47" t="s">
        <v>13291</v>
      </c>
      <c r="H353" s="158">
        <v>1353</v>
      </c>
      <c r="I353" s="156" t="s">
        <v>10912</v>
      </c>
      <c r="J353" s="156" t="s">
        <v>11482</v>
      </c>
      <c r="K353" s="47"/>
      <c r="L353" s="47"/>
      <c r="M353" s="47"/>
      <c r="N353" s="156"/>
      <c r="O353" s="156" t="s">
        <v>157</v>
      </c>
      <c r="P353" s="47"/>
      <c r="Q353" s="47"/>
      <c r="R353" s="47"/>
      <c r="S353" s="47" t="s">
        <v>13292</v>
      </c>
      <c r="T353" s="47" t="s">
        <v>13295</v>
      </c>
      <c r="U353" s="47"/>
    </row>
    <row r="354" spans="1:21" x14ac:dyDescent="0.3">
      <c r="A354" s="46">
        <v>355</v>
      </c>
      <c r="B354" s="47" t="s">
        <v>13291</v>
      </c>
      <c r="C354" s="47" t="s">
        <v>13291</v>
      </c>
      <c r="D354" s="47" t="s">
        <v>13291</v>
      </c>
      <c r="E354" s="47" t="s">
        <v>13291</v>
      </c>
      <c r="F354" s="47" t="s">
        <v>13291</v>
      </c>
      <c r="G354" s="47" t="s">
        <v>13291</v>
      </c>
      <c r="H354" s="158">
        <v>1354</v>
      </c>
      <c r="I354" s="156" t="s">
        <v>5528</v>
      </c>
      <c r="J354" s="156" t="s">
        <v>11945</v>
      </c>
      <c r="K354" s="47"/>
      <c r="L354" s="47"/>
      <c r="M354" s="47"/>
      <c r="N354" s="156"/>
      <c r="O354" s="156" t="s">
        <v>157</v>
      </c>
      <c r="P354" s="47"/>
      <c r="Q354" s="47"/>
      <c r="R354" s="47"/>
      <c r="S354" s="47" t="s">
        <v>13292</v>
      </c>
      <c r="T354" s="47" t="s">
        <v>13295</v>
      </c>
      <c r="U354" s="47"/>
    </row>
    <row r="355" spans="1:21" x14ac:dyDescent="0.3">
      <c r="A355" s="46">
        <v>356</v>
      </c>
      <c r="B355" s="47" t="s">
        <v>13291</v>
      </c>
      <c r="C355" s="47" t="s">
        <v>13291</v>
      </c>
      <c r="D355" s="47" t="s">
        <v>13291</v>
      </c>
      <c r="E355" s="47" t="s">
        <v>13291</v>
      </c>
      <c r="F355" s="47" t="s">
        <v>13291</v>
      </c>
      <c r="G355" s="47" t="s">
        <v>13291</v>
      </c>
      <c r="H355" s="158">
        <v>1355</v>
      </c>
      <c r="I355" s="156" t="s">
        <v>10919</v>
      </c>
      <c r="J355" s="156" t="s">
        <v>11506</v>
      </c>
      <c r="K355" s="47"/>
      <c r="L355" s="47"/>
      <c r="M355" s="47"/>
      <c r="N355" s="156"/>
      <c r="O355" s="156" t="s">
        <v>157</v>
      </c>
      <c r="P355" s="47"/>
      <c r="Q355" s="47"/>
      <c r="R355" s="47"/>
      <c r="S355" s="47" t="s">
        <v>13292</v>
      </c>
      <c r="T355" s="47" t="s">
        <v>13295</v>
      </c>
      <c r="U355" s="47"/>
    </row>
    <row r="356" spans="1:21" x14ac:dyDescent="0.3">
      <c r="A356" s="46">
        <v>357</v>
      </c>
      <c r="B356" s="47" t="s">
        <v>13291</v>
      </c>
      <c r="C356" s="47" t="s">
        <v>13291</v>
      </c>
      <c r="D356" s="47" t="s">
        <v>13291</v>
      </c>
      <c r="E356" s="47" t="s">
        <v>13291</v>
      </c>
      <c r="F356" s="47" t="s">
        <v>13291</v>
      </c>
      <c r="G356" s="47" t="s">
        <v>13291</v>
      </c>
      <c r="H356" s="158">
        <v>1356</v>
      </c>
      <c r="I356" s="156" t="s">
        <v>5529</v>
      </c>
      <c r="J356" s="156" t="s">
        <v>12082</v>
      </c>
      <c r="K356" s="47"/>
      <c r="L356" s="47"/>
      <c r="M356" s="47"/>
      <c r="N356" s="156"/>
      <c r="O356" s="156" t="s">
        <v>157</v>
      </c>
      <c r="P356" s="47"/>
      <c r="Q356" s="47"/>
      <c r="R356" s="47"/>
      <c r="S356" s="47" t="s">
        <v>13292</v>
      </c>
      <c r="T356" s="47" t="s">
        <v>13295</v>
      </c>
      <c r="U356" s="47"/>
    </row>
    <row r="357" spans="1:21" x14ac:dyDescent="0.3">
      <c r="A357" s="46">
        <v>358</v>
      </c>
      <c r="B357" s="47" t="s">
        <v>13291</v>
      </c>
      <c r="C357" s="47" t="s">
        <v>13291</v>
      </c>
      <c r="D357" s="47" t="s">
        <v>13291</v>
      </c>
      <c r="E357" s="47" t="s">
        <v>13291</v>
      </c>
      <c r="F357" s="47" t="s">
        <v>13291</v>
      </c>
      <c r="G357" s="47" t="s">
        <v>13291</v>
      </c>
      <c r="H357" s="158">
        <v>1357</v>
      </c>
      <c r="I357" s="156" t="s">
        <v>11151</v>
      </c>
      <c r="J357" s="156" t="s">
        <v>12083</v>
      </c>
      <c r="K357" s="47"/>
      <c r="L357" s="47"/>
      <c r="M357" s="47"/>
      <c r="N357" s="156"/>
      <c r="O357" s="156" t="s">
        <v>157</v>
      </c>
      <c r="P357" s="47"/>
      <c r="Q357" s="47"/>
      <c r="R357" s="47"/>
      <c r="S357" s="47" t="s">
        <v>13292</v>
      </c>
      <c r="T357" s="47" t="s">
        <v>13295</v>
      </c>
      <c r="U357" s="47"/>
    </row>
    <row r="358" spans="1:21" x14ac:dyDescent="0.3">
      <c r="A358" s="46">
        <v>359</v>
      </c>
      <c r="B358" s="47" t="s">
        <v>13291</v>
      </c>
      <c r="C358" s="47" t="s">
        <v>13291</v>
      </c>
      <c r="D358" s="47" t="s">
        <v>13291</v>
      </c>
      <c r="E358" s="47" t="s">
        <v>13291</v>
      </c>
      <c r="F358" s="47" t="s">
        <v>13291</v>
      </c>
      <c r="G358" s="47" t="s">
        <v>13291</v>
      </c>
      <c r="H358" s="158">
        <v>1358</v>
      </c>
      <c r="I358" s="156" t="s">
        <v>11020</v>
      </c>
      <c r="J358" s="156" t="s">
        <v>11810</v>
      </c>
      <c r="K358" s="47"/>
      <c r="L358" s="47"/>
      <c r="M358" s="47"/>
      <c r="N358" s="156"/>
      <c r="O358" s="156" t="s">
        <v>157</v>
      </c>
      <c r="P358" s="47"/>
      <c r="Q358" s="47"/>
      <c r="R358" s="47"/>
      <c r="S358" s="47" t="s">
        <v>13292</v>
      </c>
      <c r="T358" s="47" t="s">
        <v>13295</v>
      </c>
      <c r="U358" s="47"/>
    </row>
    <row r="359" spans="1:21" x14ac:dyDescent="0.3">
      <c r="A359" s="46">
        <v>360</v>
      </c>
      <c r="B359" s="47" t="s">
        <v>13291</v>
      </c>
      <c r="C359" s="47" t="s">
        <v>13291</v>
      </c>
      <c r="D359" s="47" t="s">
        <v>13291</v>
      </c>
      <c r="E359" s="47" t="s">
        <v>13291</v>
      </c>
      <c r="F359" s="47" t="s">
        <v>13291</v>
      </c>
      <c r="G359" s="47" t="s">
        <v>13291</v>
      </c>
      <c r="H359" s="158">
        <v>1359</v>
      </c>
      <c r="I359" s="156" t="s">
        <v>5530</v>
      </c>
      <c r="J359" s="156" t="s">
        <v>11946</v>
      </c>
      <c r="K359" s="47"/>
      <c r="L359" s="47"/>
      <c r="M359" s="47"/>
      <c r="N359" s="156"/>
      <c r="O359" s="156" t="s">
        <v>157</v>
      </c>
      <c r="P359" s="47"/>
      <c r="Q359" s="47"/>
      <c r="R359" s="47"/>
      <c r="S359" s="47" t="s">
        <v>13292</v>
      </c>
      <c r="T359" s="47" t="s">
        <v>13295</v>
      </c>
      <c r="U359" s="47"/>
    </row>
    <row r="360" spans="1:21" x14ac:dyDescent="0.3">
      <c r="A360" s="46">
        <v>361</v>
      </c>
      <c r="B360" s="47" t="s">
        <v>13291</v>
      </c>
      <c r="C360" s="47" t="s">
        <v>13291</v>
      </c>
      <c r="D360" s="47" t="s">
        <v>13291</v>
      </c>
      <c r="E360" s="47" t="s">
        <v>13291</v>
      </c>
      <c r="F360" s="47" t="s">
        <v>13291</v>
      </c>
      <c r="G360" s="47" t="s">
        <v>13291</v>
      </c>
      <c r="H360" s="158">
        <v>1360</v>
      </c>
      <c r="I360" s="156" t="s">
        <v>5531</v>
      </c>
      <c r="J360" s="156" t="s">
        <v>11811</v>
      </c>
      <c r="K360" s="47"/>
      <c r="L360" s="47"/>
      <c r="M360" s="47"/>
      <c r="N360" s="156"/>
      <c r="O360" s="156" t="s">
        <v>157</v>
      </c>
      <c r="P360" s="47"/>
      <c r="Q360" s="47"/>
      <c r="R360" s="47"/>
      <c r="S360" s="47" t="s">
        <v>13292</v>
      </c>
      <c r="T360" s="47" t="s">
        <v>13295</v>
      </c>
      <c r="U360" s="47"/>
    </row>
    <row r="361" spans="1:21" x14ac:dyDescent="0.3">
      <c r="A361" s="46">
        <v>362</v>
      </c>
      <c r="B361" s="47" t="s">
        <v>13291</v>
      </c>
      <c r="C361" s="47" t="s">
        <v>13291</v>
      </c>
      <c r="D361" s="47" t="s">
        <v>13291</v>
      </c>
      <c r="E361" s="47" t="s">
        <v>13291</v>
      </c>
      <c r="F361" s="47" t="s">
        <v>13291</v>
      </c>
      <c r="G361" s="47" t="s">
        <v>13291</v>
      </c>
      <c r="H361" s="158">
        <v>1361</v>
      </c>
      <c r="I361" s="156" t="s">
        <v>5532</v>
      </c>
      <c r="J361" s="156" t="s">
        <v>11812</v>
      </c>
      <c r="K361" s="47"/>
      <c r="L361" s="47"/>
      <c r="M361" s="47"/>
      <c r="N361" s="156"/>
      <c r="O361" s="156" t="s">
        <v>157</v>
      </c>
      <c r="P361" s="47"/>
      <c r="Q361" s="47"/>
      <c r="R361" s="47"/>
      <c r="S361" s="47" t="s">
        <v>13292</v>
      </c>
      <c r="T361" s="47" t="s">
        <v>13295</v>
      </c>
      <c r="U361" s="47"/>
    </row>
    <row r="362" spans="1:21" x14ac:dyDescent="0.3">
      <c r="A362" s="46">
        <v>363</v>
      </c>
      <c r="B362" s="47" t="s">
        <v>13291</v>
      </c>
      <c r="C362" s="47" t="s">
        <v>13291</v>
      </c>
      <c r="D362" s="47" t="s">
        <v>13291</v>
      </c>
      <c r="E362" s="47" t="s">
        <v>13291</v>
      </c>
      <c r="F362" s="47" t="s">
        <v>13291</v>
      </c>
      <c r="G362" s="47" t="s">
        <v>13291</v>
      </c>
      <c r="H362" s="158">
        <v>1362</v>
      </c>
      <c r="I362" s="156" t="s">
        <v>11131</v>
      </c>
      <c r="J362" s="156" t="s">
        <v>12024</v>
      </c>
      <c r="K362" s="47"/>
      <c r="L362" s="47"/>
      <c r="M362" s="47"/>
      <c r="N362" s="156"/>
      <c r="O362" s="156" t="s">
        <v>157</v>
      </c>
      <c r="P362" s="47"/>
      <c r="Q362" s="47"/>
      <c r="R362" s="47"/>
      <c r="S362" s="47" t="s">
        <v>13292</v>
      </c>
      <c r="T362" s="47" t="s">
        <v>13295</v>
      </c>
      <c r="U362" s="47"/>
    </row>
    <row r="363" spans="1:21" x14ac:dyDescent="0.3">
      <c r="A363" s="46">
        <v>364</v>
      </c>
      <c r="B363" s="47" t="s">
        <v>13291</v>
      </c>
      <c r="C363" s="47" t="s">
        <v>13291</v>
      </c>
      <c r="D363" s="47" t="s">
        <v>13291</v>
      </c>
      <c r="E363" s="47" t="s">
        <v>13291</v>
      </c>
      <c r="F363" s="47" t="s">
        <v>13291</v>
      </c>
      <c r="G363" s="47" t="s">
        <v>13291</v>
      </c>
      <c r="H363" s="158">
        <v>1363</v>
      </c>
      <c r="I363" s="156" t="s">
        <v>5533</v>
      </c>
      <c r="J363" s="156" t="s">
        <v>12084</v>
      </c>
      <c r="K363" s="47"/>
      <c r="L363" s="47"/>
      <c r="M363" s="47"/>
      <c r="N363" s="156"/>
      <c r="O363" s="156" t="s">
        <v>157</v>
      </c>
      <c r="P363" s="47"/>
      <c r="Q363" s="47"/>
      <c r="R363" s="47"/>
      <c r="S363" s="47" t="s">
        <v>13292</v>
      </c>
      <c r="T363" s="47" t="s">
        <v>13295</v>
      </c>
      <c r="U363" s="47"/>
    </row>
    <row r="364" spans="1:21" x14ac:dyDescent="0.3">
      <c r="A364" s="46">
        <v>365</v>
      </c>
      <c r="B364" s="47" t="s">
        <v>13291</v>
      </c>
      <c r="C364" s="47" t="s">
        <v>13291</v>
      </c>
      <c r="D364" s="47" t="s">
        <v>13291</v>
      </c>
      <c r="E364" s="47" t="s">
        <v>13291</v>
      </c>
      <c r="F364" s="47" t="s">
        <v>13291</v>
      </c>
      <c r="G364" s="47" t="s">
        <v>13291</v>
      </c>
      <c r="H364" s="158">
        <v>1364</v>
      </c>
      <c r="I364" s="156" t="s">
        <v>5534</v>
      </c>
      <c r="J364" s="156" t="s">
        <v>12085</v>
      </c>
      <c r="K364" s="47"/>
      <c r="L364" s="47"/>
      <c r="M364" s="47"/>
      <c r="N364" s="156"/>
      <c r="O364" s="156" t="s">
        <v>157</v>
      </c>
      <c r="P364" s="47"/>
      <c r="Q364" s="47"/>
      <c r="R364" s="47"/>
      <c r="S364" s="47" t="s">
        <v>13292</v>
      </c>
      <c r="T364" s="47" t="s">
        <v>13295</v>
      </c>
      <c r="U364" s="47"/>
    </row>
    <row r="365" spans="1:21" x14ac:dyDescent="0.3">
      <c r="A365" s="46">
        <v>366</v>
      </c>
      <c r="B365" s="47" t="s">
        <v>13291</v>
      </c>
      <c r="C365" s="47" t="s">
        <v>13291</v>
      </c>
      <c r="D365" s="47" t="s">
        <v>13291</v>
      </c>
      <c r="E365" s="47" t="s">
        <v>13291</v>
      </c>
      <c r="F365" s="47" t="s">
        <v>13291</v>
      </c>
      <c r="G365" s="47" t="s">
        <v>13291</v>
      </c>
      <c r="H365" s="158">
        <v>1365</v>
      </c>
      <c r="I365" s="156" t="s">
        <v>11152</v>
      </c>
      <c r="J365" s="156" t="s">
        <v>12086</v>
      </c>
      <c r="K365" s="47"/>
      <c r="L365" s="47"/>
      <c r="M365" s="47"/>
      <c r="N365" s="156"/>
      <c r="O365" s="156" t="s">
        <v>157</v>
      </c>
      <c r="P365" s="47"/>
      <c r="Q365" s="47"/>
      <c r="R365" s="47"/>
      <c r="S365" s="47" t="s">
        <v>13292</v>
      </c>
      <c r="T365" s="47" t="s">
        <v>13295</v>
      </c>
      <c r="U365" s="47"/>
    </row>
    <row r="366" spans="1:21" x14ac:dyDescent="0.3">
      <c r="A366" s="46">
        <v>367</v>
      </c>
      <c r="B366" s="47" t="s">
        <v>13291</v>
      </c>
      <c r="C366" s="47" t="s">
        <v>13291</v>
      </c>
      <c r="D366" s="47" t="s">
        <v>13291</v>
      </c>
      <c r="E366" s="47" t="s">
        <v>13291</v>
      </c>
      <c r="F366" s="47" t="s">
        <v>13291</v>
      </c>
      <c r="G366" s="47" t="s">
        <v>13291</v>
      </c>
      <c r="H366" s="158">
        <v>1366</v>
      </c>
      <c r="I366" s="156" t="s">
        <v>5535</v>
      </c>
      <c r="J366" s="156" t="s">
        <v>11947</v>
      </c>
      <c r="K366" s="47"/>
      <c r="L366" s="47"/>
      <c r="M366" s="47"/>
      <c r="N366" s="156"/>
      <c r="O366" s="156" t="s">
        <v>157</v>
      </c>
      <c r="P366" s="47"/>
      <c r="Q366" s="47"/>
      <c r="R366" s="47"/>
      <c r="S366" s="47" t="s">
        <v>13292</v>
      </c>
      <c r="T366" s="47" t="s">
        <v>13295</v>
      </c>
      <c r="U366" s="47"/>
    </row>
    <row r="367" spans="1:21" x14ac:dyDescent="0.3">
      <c r="A367" s="46">
        <v>368</v>
      </c>
      <c r="B367" s="47" t="s">
        <v>13291</v>
      </c>
      <c r="C367" s="47" t="s">
        <v>13291</v>
      </c>
      <c r="D367" s="47" t="s">
        <v>13291</v>
      </c>
      <c r="E367" s="47" t="s">
        <v>13291</v>
      </c>
      <c r="F367" s="47" t="s">
        <v>13291</v>
      </c>
      <c r="G367" s="47" t="s">
        <v>13291</v>
      </c>
      <c r="H367" s="158">
        <v>1367</v>
      </c>
      <c r="I367" s="156" t="s">
        <v>11108</v>
      </c>
      <c r="J367" s="156" t="s">
        <v>11987</v>
      </c>
      <c r="K367" s="47"/>
      <c r="L367" s="47"/>
      <c r="M367" s="47"/>
      <c r="N367" s="156"/>
      <c r="O367" s="156" t="s">
        <v>157</v>
      </c>
      <c r="P367" s="47"/>
      <c r="Q367" s="47"/>
      <c r="R367" s="47"/>
      <c r="S367" s="47" t="s">
        <v>13292</v>
      </c>
      <c r="T367" s="47" t="s">
        <v>13295</v>
      </c>
      <c r="U367" s="47"/>
    </row>
    <row r="368" spans="1:21" x14ac:dyDescent="0.3">
      <c r="A368" s="46">
        <v>369</v>
      </c>
      <c r="B368" s="47" t="s">
        <v>13291</v>
      </c>
      <c r="C368" s="47" t="s">
        <v>13291</v>
      </c>
      <c r="D368" s="47" t="s">
        <v>13291</v>
      </c>
      <c r="E368" s="47" t="s">
        <v>13291</v>
      </c>
      <c r="F368" s="47" t="s">
        <v>13291</v>
      </c>
      <c r="G368" s="47" t="s">
        <v>13291</v>
      </c>
      <c r="H368" s="158">
        <v>1368</v>
      </c>
      <c r="I368" s="156" t="s">
        <v>5536</v>
      </c>
      <c r="J368" s="156" t="s">
        <v>12087</v>
      </c>
      <c r="K368" s="47"/>
      <c r="L368" s="47"/>
      <c r="M368" s="47"/>
      <c r="N368" s="156"/>
      <c r="O368" s="156" t="s">
        <v>157</v>
      </c>
      <c r="P368" s="47"/>
      <c r="Q368" s="47"/>
      <c r="R368" s="47"/>
      <c r="S368" s="47" t="s">
        <v>13292</v>
      </c>
      <c r="T368" s="47" t="s">
        <v>13295</v>
      </c>
      <c r="U368" s="47"/>
    </row>
    <row r="369" spans="1:21" x14ac:dyDescent="0.3">
      <c r="A369" s="46">
        <v>370</v>
      </c>
      <c r="B369" s="47" t="s">
        <v>13291</v>
      </c>
      <c r="C369" s="47" t="s">
        <v>13291</v>
      </c>
      <c r="D369" s="47" t="s">
        <v>13291</v>
      </c>
      <c r="E369" s="47" t="s">
        <v>13291</v>
      </c>
      <c r="F369" s="47" t="s">
        <v>13291</v>
      </c>
      <c r="G369" s="47" t="s">
        <v>13291</v>
      </c>
      <c r="H369" s="158">
        <v>1369</v>
      </c>
      <c r="I369" s="156" t="s">
        <v>5537</v>
      </c>
      <c r="J369" s="156" t="s">
        <v>12088</v>
      </c>
      <c r="K369" s="47"/>
      <c r="L369" s="47"/>
      <c r="M369" s="47"/>
      <c r="N369" s="156"/>
      <c r="O369" s="156" t="s">
        <v>157</v>
      </c>
      <c r="P369" s="47"/>
      <c r="Q369" s="47"/>
      <c r="R369" s="47"/>
      <c r="S369" s="47" t="s">
        <v>13292</v>
      </c>
      <c r="T369" s="47" t="s">
        <v>13295</v>
      </c>
      <c r="U369" s="47"/>
    </row>
    <row r="370" spans="1:21" x14ac:dyDescent="0.3">
      <c r="A370" s="46">
        <v>371</v>
      </c>
      <c r="B370" s="47" t="s">
        <v>13291</v>
      </c>
      <c r="C370" s="47" t="s">
        <v>13291</v>
      </c>
      <c r="D370" s="47" t="s">
        <v>13291</v>
      </c>
      <c r="E370" s="47" t="s">
        <v>13291</v>
      </c>
      <c r="F370" s="47" t="s">
        <v>13291</v>
      </c>
      <c r="G370" s="47" t="s">
        <v>13291</v>
      </c>
      <c r="H370" s="158">
        <v>1370</v>
      </c>
      <c r="I370" s="156" t="s">
        <v>5538</v>
      </c>
      <c r="J370" s="156" t="s">
        <v>11813</v>
      </c>
      <c r="K370" s="47"/>
      <c r="L370" s="47"/>
      <c r="M370" s="47"/>
      <c r="N370" s="156"/>
      <c r="O370" s="156" t="s">
        <v>157</v>
      </c>
      <c r="P370" s="47"/>
      <c r="Q370" s="47"/>
      <c r="R370" s="47"/>
      <c r="S370" s="47" t="s">
        <v>13292</v>
      </c>
      <c r="T370" s="47" t="s">
        <v>13295</v>
      </c>
      <c r="U370" s="47"/>
    </row>
    <row r="371" spans="1:21" x14ac:dyDescent="0.3">
      <c r="A371" s="46">
        <v>372</v>
      </c>
      <c r="B371" s="47" t="s">
        <v>13291</v>
      </c>
      <c r="C371" s="47" t="s">
        <v>13291</v>
      </c>
      <c r="D371" s="47" t="s">
        <v>13291</v>
      </c>
      <c r="E371" s="47" t="s">
        <v>13291</v>
      </c>
      <c r="F371" s="47" t="s">
        <v>13291</v>
      </c>
      <c r="G371" s="47" t="s">
        <v>13291</v>
      </c>
      <c r="H371" s="158">
        <v>1371</v>
      </c>
      <c r="I371" s="156" t="s">
        <v>5539</v>
      </c>
      <c r="J371" s="156" t="s">
        <v>12156</v>
      </c>
      <c r="K371" s="47"/>
      <c r="L371" s="47"/>
      <c r="M371" s="47"/>
      <c r="N371" s="156"/>
      <c r="O371" s="156" t="s">
        <v>157</v>
      </c>
      <c r="P371" s="47"/>
      <c r="Q371" s="47"/>
      <c r="R371" s="47"/>
      <c r="S371" s="47" t="s">
        <v>13292</v>
      </c>
      <c r="T371" s="47" t="s">
        <v>13295</v>
      </c>
      <c r="U371" s="47"/>
    </row>
    <row r="372" spans="1:21" x14ac:dyDescent="0.3">
      <c r="A372" s="46">
        <v>373</v>
      </c>
      <c r="B372" s="47" t="s">
        <v>13291</v>
      </c>
      <c r="C372" s="47" t="s">
        <v>13291</v>
      </c>
      <c r="D372" s="47" t="s">
        <v>13291</v>
      </c>
      <c r="E372" s="47" t="s">
        <v>13291</v>
      </c>
      <c r="F372" s="47" t="s">
        <v>13291</v>
      </c>
      <c r="G372" s="47" t="s">
        <v>13291</v>
      </c>
      <c r="H372" s="158">
        <v>1372</v>
      </c>
      <c r="I372" s="156" t="s">
        <v>5540</v>
      </c>
      <c r="J372" s="156" t="s">
        <v>11578</v>
      </c>
      <c r="K372" s="47"/>
      <c r="L372" s="47"/>
      <c r="M372" s="47"/>
      <c r="N372" s="156"/>
      <c r="O372" s="156" t="s">
        <v>157</v>
      </c>
      <c r="P372" s="47"/>
      <c r="Q372" s="47"/>
      <c r="R372" s="47"/>
      <c r="S372" s="47" t="s">
        <v>13292</v>
      </c>
      <c r="T372" s="47" t="s">
        <v>13295</v>
      </c>
      <c r="U372" s="47"/>
    </row>
    <row r="373" spans="1:21" x14ac:dyDescent="0.3">
      <c r="A373" s="46">
        <v>374</v>
      </c>
      <c r="B373" s="47" t="s">
        <v>13291</v>
      </c>
      <c r="C373" s="47" t="s">
        <v>13291</v>
      </c>
      <c r="D373" s="47" t="s">
        <v>13291</v>
      </c>
      <c r="E373" s="47" t="s">
        <v>13291</v>
      </c>
      <c r="F373" s="47" t="s">
        <v>13291</v>
      </c>
      <c r="G373" s="47" t="s">
        <v>13291</v>
      </c>
      <c r="H373" s="158">
        <v>1373</v>
      </c>
      <c r="I373" s="156" t="s">
        <v>5541</v>
      </c>
      <c r="J373" s="156" t="s">
        <v>11540</v>
      </c>
      <c r="K373" s="47"/>
      <c r="L373" s="47"/>
      <c r="M373" s="47"/>
      <c r="N373" s="156"/>
      <c r="O373" s="156" t="s">
        <v>157</v>
      </c>
      <c r="P373" s="47"/>
      <c r="Q373" s="47"/>
      <c r="R373" s="47"/>
      <c r="S373" s="47" t="s">
        <v>13292</v>
      </c>
      <c r="T373" s="47" t="s">
        <v>13295</v>
      </c>
      <c r="U373" s="47"/>
    </row>
    <row r="374" spans="1:21" x14ac:dyDescent="0.3">
      <c r="A374" s="46">
        <v>375</v>
      </c>
      <c r="B374" s="47" t="s">
        <v>13291</v>
      </c>
      <c r="C374" s="47" t="s">
        <v>13291</v>
      </c>
      <c r="D374" s="47" t="s">
        <v>13291</v>
      </c>
      <c r="E374" s="47" t="s">
        <v>13291</v>
      </c>
      <c r="F374" s="47" t="s">
        <v>13291</v>
      </c>
      <c r="G374" s="47" t="s">
        <v>13291</v>
      </c>
      <c r="H374" s="158">
        <v>1374</v>
      </c>
      <c r="I374" s="156" t="s">
        <v>5542</v>
      </c>
      <c r="J374" s="156" t="s">
        <v>12157</v>
      </c>
      <c r="K374" s="47"/>
      <c r="L374" s="47"/>
      <c r="M374" s="47"/>
      <c r="N374" s="156"/>
      <c r="O374" s="156" t="s">
        <v>157</v>
      </c>
      <c r="P374" s="47"/>
      <c r="Q374" s="47"/>
      <c r="R374" s="47"/>
      <c r="S374" s="47" t="s">
        <v>13292</v>
      </c>
      <c r="T374" s="47" t="s">
        <v>13295</v>
      </c>
      <c r="U374" s="47"/>
    </row>
    <row r="375" spans="1:21" x14ac:dyDescent="0.3">
      <c r="A375" s="46">
        <v>376</v>
      </c>
      <c r="B375" s="47" t="s">
        <v>13291</v>
      </c>
      <c r="C375" s="47" t="s">
        <v>13291</v>
      </c>
      <c r="D375" s="47" t="s">
        <v>13291</v>
      </c>
      <c r="E375" s="47" t="s">
        <v>13291</v>
      </c>
      <c r="F375" s="47" t="s">
        <v>13291</v>
      </c>
      <c r="G375" s="47" t="s">
        <v>13291</v>
      </c>
      <c r="H375" s="158">
        <v>1375</v>
      </c>
      <c r="I375" s="156" t="s">
        <v>11021</v>
      </c>
      <c r="J375" s="156" t="s">
        <v>11814</v>
      </c>
      <c r="K375" s="47"/>
      <c r="L375" s="47"/>
      <c r="M375" s="47"/>
      <c r="N375" s="156"/>
      <c r="O375" s="156" t="s">
        <v>157</v>
      </c>
      <c r="P375" s="47"/>
      <c r="Q375" s="47"/>
      <c r="R375" s="47"/>
      <c r="S375" s="47" t="s">
        <v>13292</v>
      </c>
      <c r="T375" s="47" t="s">
        <v>13295</v>
      </c>
      <c r="U375" s="47"/>
    </row>
    <row r="376" spans="1:21" x14ac:dyDescent="0.3">
      <c r="A376" s="46">
        <v>377</v>
      </c>
      <c r="B376" s="47" t="s">
        <v>13291</v>
      </c>
      <c r="C376" s="47" t="s">
        <v>13291</v>
      </c>
      <c r="D376" s="47" t="s">
        <v>13291</v>
      </c>
      <c r="E376" s="47" t="s">
        <v>13291</v>
      </c>
      <c r="F376" s="47" t="s">
        <v>13291</v>
      </c>
      <c r="G376" s="47" t="s">
        <v>13291</v>
      </c>
      <c r="H376" s="158">
        <v>1376</v>
      </c>
      <c r="I376" s="156" t="s">
        <v>11022</v>
      </c>
      <c r="J376" s="156" t="s">
        <v>11815</v>
      </c>
      <c r="K376" s="47"/>
      <c r="L376" s="47"/>
      <c r="M376" s="47"/>
      <c r="N376" s="156"/>
      <c r="O376" s="156" t="s">
        <v>157</v>
      </c>
      <c r="P376" s="47"/>
      <c r="Q376" s="47"/>
      <c r="R376" s="47"/>
      <c r="S376" s="47" t="s">
        <v>13292</v>
      </c>
      <c r="T376" s="47" t="s">
        <v>13295</v>
      </c>
      <c r="U376" s="47"/>
    </row>
    <row r="377" spans="1:21" x14ac:dyDescent="0.3">
      <c r="A377" s="46">
        <v>378</v>
      </c>
      <c r="B377" s="47" t="s">
        <v>13291</v>
      </c>
      <c r="C377" s="47" t="s">
        <v>13291</v>
      </c>
      <c r="D377" s="47" t="s">
        <v>13291</v>
      </c>
      <c r="E377" s="47" t="s">
        <v>13291</v>
      </c>
      <c r="F377" s="47" t="s">
        <v>13291</v>
      </c>
      <c r="G377" s="47" t="s">
        <v>13291</v>
      </c>
      <c r="H377" s="158">
        <v>1377</v>
      </c>
      <c r="I377" s="156" t="s">
        <v>5543</v>
      </c>
      <c r="J377" s="156" t="s">
        <v>11816</v>
      </c>
      <c r="K377" s="47"/>
      <c r="L377" s="47"/>
      <c r="M377" s="47"/>
      <c r="N377" s="156"/>
      <c r="O377" s="156" t="s">
        <v>157</v>
      </c>
      <c r="P377" s="47"/>
      <c r="Q377" s="47"/>
      <c r="R377" s="47"/>
      <c r="S377" s="47" t="s">
        <v>13292</v>
      </c>
      <c r="T377" s="47" t="s">
        <v>13295</v>
      </c>
      <c r="U377" s="47"/>
    </row>
    <row r="378" spans="1:21" x14ac:dyDescent="0.3">
      <c r="A378" s="46">
        <v>379</v>
      </c>
      <c r="B378" s="47" t="s">
        <v>13291</v>
      </c>
      <c r="C378" s="47" t="s">
        <v>13291</v>
      </c>
      <c r="D378" s="47" t="s">
        <v>13291</v>
      </c>
      <c r="E378" s="47" t="s">
        <v>13291</v>
      </c>
      <c r="F378" s="47" t="s">
        <v>13291</v>
      </c>
      <c r="G378" s="47" t="s">
        <v>13291</v>
      </c>
      <c r="H378" s="158">
        <v>1378</v>
      </c>
      <c r="I378" s="156" t="s">
        <v>11023</v>
      </c>
      <c r="J378" s="156" t="s">
        <v>11817</v>
      </c>
      <c r="K378" s="47"/>
      <c r="L378" s="47"/>
      <c r="M378" s="47"/>
      <c r="N378" s="156"/>
      <c r="O378" s="156" t="s">
        <v>157</v>
      </c>
      <c r="P378" s="47"/>
      <c r="Q378" s="47"/>
      <c r="R378" s="47"/>
      <c r="S378" s="47" t="s">
        <v>13292</v>
      </c>
      <c r="T378" s="47" t="s">
        <v>13295</v>
      </c>
      <c r="U378" s="47"/>
    </row>
    <row r="379" spans="1:21" x14ac:dyDescent="0.3">
      <c r="A379" s="46">
        <v>380</v>
      </c>
      <c r="B379" s="47" t="s">
        <v>13291</v>
      </c>
      <c r="C379" s="47" t="s">
        <v>13291</v>
      </c>
      <c r="D379" s="47" t="s">
        <v>13291</v>
      </c>
      <c r="E379" s="47" t="s">
        <v>13291</v>
      </c>
      <c r="F379" s="47" t="s">
        <v>13291</v>
      </c>
      <c r="G379" s="47" t="s">
        <v>13291</v>
      </c>
      <c r="H379" s="158">
        <v>1379</v>
      </c>
      <c r="I379" s="156" t="s">
        <v>11024</v>
      </c>
      <c r="J379" s="156" t="s">
        <v>11818</v>
      </c>
      <c r="K379" s="47"/>
      <c r="L379" s="47"/>
      <c r="M379" s="47"/>
      <c r="N379" s="156"/>
      <c r="O379" s="156" t="s">
        <v>157</v>
      </c>
      <c r="P379" s="47"/>
      <c r="Q379" s="47"/>
      <c r="R379" s="47"/>
      <c r="S379" s="47" t="s">
        <v>13292</v>
      </c>
      <c r="T379" s="47" t="s">
        <v>13295</v>
      </c>
      <c r="U379" s="47"/>
    </row>
    <row r="380" spans="1:21" x14ac:dyDescent="0.3">
      <c r="A380" s="46">
        <v>381</v>
      </c>
      <c r="B380" s="47" t="s">
        <v>13291</v>
      </c>
      <c r="C380" s="47" t="s">
        <v>13291</v>
      </c>
      <c r="D380" s="47" t="s">
        <v>13291</v>
      </c>
      <c r="E380" s="47" t="s">
        <v>13291</v>
      </c>
      <c r="F380" s="47" t="s">
        <v>13291</v>
      </c>
      <c r="G380" s="47" t="s">
        <v>13291</v>
      </c>
      <c r="H380" s="158">
        <v>1380</v>
      </c>
      <c r="I380" s="156" t="s">
        <v>11025</v>
      </c>
      <c r="J380" s="156" t="s">
        <v>11819</v>
      </c>
      <c r="K380" s="47"/>
      <c r="L380" s="47"/>
      <c r="M380" s="47"/>
      <c r="N380" s="156"/>
      <c r="O380" s="156" t="s">
        <v>157</v>
      </c>
      <c r="P380" s="47"/>
      <c r="Q380" s="47"/>
      <c r="R380" s="47"/>
      <c r="S380" s="47" t="s">
        <v>13292</v>
      </c>
      <c r="T380" s="47" t="s">
        <v>13295</v>
      </c>
      <c r="U380" s="47"/>
    </row>
    <row r="381" spans="1:21" x14ac:dyDescent="0.3">
      <c r="A381" s="46">
        <v>382</v>
      </c>
      <c r="B381" s="47" t="s">
        <v>13291</v>
      </c>
      <c r="C381" s="47" t="s">
        <v>13291</v>
      </c>
      <c r="D381" s="47" t="s">
        <v>13291</v>
      </c>
      <c r="E381" s="47" t="s">
        <v>13291</v>
      </c>
      <c r="F381" s="47" t="s">
        <v>13291</v>
      </c>
      <c r="G381" s="47" t="s">
        <v>13291</v>
      </c>
      <c r="H381" s="158">
        <v>1381</v>
      </c>
      <c r="I381" s="156" t="s">
        <v>11026</v>
      </c>
      <c r="J381" s="156" t="s">
        <v>11820</v>
      </c>
      <c r="K381" s="47"/>
      <c r="L381" s="47"/>
      <c r="M381" s="47"/>
      <c r="N381" s="156"/>
      <c r="O381" s="156" t="s">
        <v>157</v>
      </c>
      <c r="P381" s="47"/>
      <c r="Q381" s="47"/>
      <c r="R381" s="47"/>
      <c r="S381" s="47" t="s">
        <v>13292</v>
      </c>
      <c r="T381" s="47" t="s">
        <v>13295</v>
      </c>
      <c r="U381" s="47"/>
    </row>
    <row r="382" spans="1:21" x14ac:dyDescent="0.3">
      <c r="A382" s="46">
        <v>383</v>
      </c>
      <c r="B382" s="47" t="s">
        <v>13291</v>
      </c>
      <c r="C382" s="47" t="s">
        <v>13291</v>
      </c>
      <c r="D382" s="47" t="s">
        <v>13291</v>
      </c>
      <c r="E382" s="47" t="s">
        <v>13291</v>
      </c>
      <c r="F382" s="47" t="s">
        <v>13291</v>
      </c>
      <c r="G382" s="47" t="s">
        <v>13291</v>
      </c>
      <c r="H382" s="158">
        <v>1382</v>
      </c>
      <c r="I382" s="156" t="s">
        <v>5544</v>
      </c>
      <c r="J382" s="156" t="s">
        <v>11821</v>
      </c>
      <c r="K382" s="47"/>
      <c r="L382" s="47"/>
      <c r="M382" s="47"/>
      <c r="N382" s="156"/>
      <c r="O382" s="156" t="s">
        <v>157</v>
      </c>
      <c r="P382" s="47"/>
      <c r="Q382" s="47"/>
      <c r="R382" s="47"/>
      <c r="S382" s="47" t="s">
        <v>13292</v>
      </c>
      <c r="T382" s="47" t="s">
        <v>13295</v>
      </c>
      <c r="U382" s="47"/>
    </row>
    <row r="383" spans="1:21" x14ac:dyDescent="0.3">
      <c r="A383" s="46">
        <v>384</v>
      </c>
      <c r="B383" s="47" t="s">
        <v>13291</v>
      </c>
      <c r="C383" s="47" t="s">
        <v>13291</v>
      </c>
      <c r="D383" s="47" t="s">
        <v>13291</v>
      </c>
      <c r="E383" s="47" t="s">
        <v>13291</v>
      </c>
      <c r="F383" s="47" t="s">
        <v>13291</v>
      </c>
      <c r="G383" s="47" t="s">
        <v>13291</v>
      </c>
      <c r="H383" s="158">
        <v>1383</v>
      </c>
      <c r="I383" s="156" t="s">
        <v>5545</v>
      </c>
      <c r="J383" s="156" t="s">
        <v>11822</v>
      </c>
      <c r="K383" s="47"/>
      <c r="L383" s="47"/>
      <c r="M383" s="47"/>
      <c r="N383" s="156"/>
      <c r="O383" s="156" t="s">
        <v>157</v>
      </c>
      <c r="P383" s="47"/>
      <c r="Q383" s="47"/>
      <c r="R383" s="47"/>
      <c r="S383" s="47" t="s">
        <v>13292</v>
      </c>
      <c r="T383" s="47" t="s">
        <v>13295</v>
      </c>
      <c r="U383" s="47"/>
    </row>
    <row r="384" spans="1:21" x14ac:dyDescent="0.3">
      <c r="A384" s="46">
        <v>385</v>
      </c>
      <c r="B384" s="47" t="s">
        <v>13291</v>
      </c>
      <c r="C384" s="47" t="s">
        <v>13291</v>
      </c>
      <c r="D384" s="47" t="s">
        <v>13291</v>
      </c>
      <c r="E384" s="47" t="s">
        <v>13291</v>
      </c>
      <c r="F384" s="47" t="s">
        <v>13291</v>
      </c>
      <c r="G384" s="47" t="s">
        <v>13291</v>
      </c>
      <c r="H384" s="158">
        <v>1384</v>
      </c>
      <c r="I384" s="156" t="s">
        <v>11027</v>
      </c>
      <c r="J384" s="156" t="s">
        <v>11823</v>
      </c>
      <c r="K384" s="47"/>
      <c r="L384" s="47"/>
      <c r="M384" s="47"/>
      <c r="N384" s="156"/>
      <c r="O384" s="156" t="s">
        <v>157</v>
      </c>
      <c r="P384" s="47"/>
      <c r="Q384" s="47"/>
      <c r="R384" s="47"/>
      <c r="S384" s="47" t="s">
        <v>13292</v>
      </c>
      <c r="T384" s="47" t="s">
        <v>13295</v>
      </c>
      <c r="U384" s="47"/>
    </row>
    <row r="385" spans="1:21" x14ac:dyDescent="0.3">
      <c r="A385" s="46">
        <v>386</v>
      </c>
      <c r="B385" s="47" t="s">
        <v>13291</v>
      </c>
      <c r="C385" s="47" t="s">
        <v>13291</v>
      </c>
      <c r="D385" s="47" t="s">
        <v>13291</v>
      </c>
      <c r="E385" s="47" t="s">
        <v>13291</v>
      </c>
      <c r="F385" s="47" t="s">
        <v>13291</v>
      </c>
      <c r="G385" s="47" t="s">
        <v>13291</v>
      </c>
      <c r="H385" s="158">
        <v>1385</v>
      </c>
      <c r="I385" s="156" t="s">
        <v>11028</v>
      </c>
      <c r="J385" s="156" t="s">
        <v>11824</v>
      </c>
      <c r="K385" s="47"/>
      <c r="L385" s="47"/>
      <c r="M385" s="47"/>
      <c r="N385" s="156"/>
      <c r="O385" s="156" t="s">
        <v>157</v>
      </c>
      <c r="P385" s="47"/>
      <c r="Q385" s="47"/>
      <c r="R385" s="47"/>
      <c r="S385" s="47" t="s">
        <v>13292</v>
      </c>
      <c r="T385" s="47" t="s">
        <v>13295</v>
      </c>
      <c r="U385" s="47"/>
    </row>
    <row r="386" spans="1:21" x14ac:dyDescent="0.3">
      <c r="A386" s="46">
        <v>387</v>
      </c>
      <c r="B386" s="47" t="s">
        <v>13291</v>
      </c>
      <c r="C386" s="47" t="s">
        <v>13291</v>
      </c>
      <c r="D386" s="47" t="s">
        <v>13291</v>
      </c>
      <c r="E386" s="47" t="s">
        <v>13291</v>
      </c>
      <c r="F386" s="47" t="s">
        <v>13291</v>
      </c>
      <c r="G386" s="47" t="s">
        <v>13291</v>
      </c>
      <c r="H386" s="158">
        <v>1386</v>
      </c>
      <c r="I386" s="156" t="s">
        <v>5546</v>
      </c>
      <c r="J386" s="156" t="s">
        <v>11825</v>
      </c>
      <c r="K386" s="47"/>
      <c r="L386" s="47"/>
      <c r="M386" s="47"/>
      <c r="N386" s="156"/>
      <c r="O386" s="156" t="s">
        <v>157</v>
      </c>
      <c r="P386" s="47"/>
      <c r="Q386" s="47"/>
      <c r="R386" s="47"/>
      <c r="S386" s="47" t="s">
        <v>13292</v>
      </c>
      <c r="T386" s="47" t="s">
        <v>13295</v>
      </c>
      <c r="U386" s="47"/>
    </row>
    <row r="387" spans="1:21" x14ac:dyDescent="0.3">
      <c r="A387" s="46">
        <v>388</v>
      </c>
      <c r="B387" s="47" t="s">
        <v>13291</v>
      </c>
      <c r="C387" s="47" t="s">
        <v>13291</v>
      </c>
      <c r="D387" s="47" t="s">
        <v>13291</v>
      </c>
      <c r="E387" s="47" t="s">
        <v>13291</v>
      </c>
      <c r="F387" s="47" t="s">
        <v>13291</v>
      </c>
      <c r="G387" s="47" t="s">
        <v>13291</v>
      </c>
      <c r="H387" s="158">
        <v>1387</v>
      </c>
      <c r="I387" s="156" t="s">
        <v>5547</v>
      </c>
      <c r="J387" s="156" t="s">
        <v>11948</v>
      </c>
      <c r="K387" s="47"/>
      <c r="L387" s="47"/>
      <c r="M387" s="47"/>
      <c r="N387" s="156"/>
      <c r="O387" s="156" t="s">
        <v>157</v>
      </c>
      <c r="P387" s="47"/>
      <c r="Q387" s="47"/>
      <c r="R387" s="47"/>
      <c r="S387" s="47" t="s">
        <v>13292</v>
      </c>
      <c r="T387" s="47" t="s">
        <v>13295</v>
      </c>
      <c r="U387" s="47"/>
    </row>
    <row r="388" spans="1:21" x14ac:dyDescent="0.3">
      <c r="A388" s="46">
        <v>389</v>
      </c>
      <c r="B388" s="47" t="s">
        <v>13291</v>
      </c>
      <c r="C388" s="47" t="s">
        <v>13291</v>
      </c>
      <c r="D388" s="47" t="s">
        <v>13291</v>
      </c>
      <c r="E388" s="47" t="s">
        <v>13291</v>
      </c>
      <c r="F388" s="47" t="s">
        <v>13291</v>
      </c>
      <c r="G388" s="47" t="s">
        <v>13291</v>
      </c>
      <c r="H388" s="158">
        <v>1388</v>
      </c>
      <c r="I388" s="156" t="s">
        <v>11029</v>
      </c>
      <c r="J388" s="156" t="s">
        <v>11826</v>
      </c>
      <c r="K388" s="47"/>
      <c r="L388" s="47"/>
      <c r="M388" s="47"/>
      <c r="N388" s="156"/>
      <c r="O388" s="156" t="s">
        <v>157</v>
      </c>
      <c r="P388" s="47"/>
      <c r="Q388" s="47"/>
      <c r="R388" s="47"/>
      <c r="S388" s="47" t="s">
        <v>13292</v>
      </c>
      <c r="T388" s="47" t="s">
        <v>13295</v>
      </c>
      <c r="U388" s="47"/>
    </row>
    <row r="389" spans="1:21" x14ac:dyDescent="0.3">
      <c r="A389" s="46">
        <v>390</v>
      </c>
      <c r="B389" s="47" t="s">
        <v>13291</v>
      </c>
      <c r="C389" s="47" t="s">
        <v>13291</v>
      </c>
      <c r="D389" s="47" t="s">
        <v>13291</v>
      </c>
      <c r="E389" s="47" t="s">
        <v>13291</v>
      </c>
      <c r="F389" s="47" t="s">
        <v>13291</v>
      </c>
      <c r="G389" s="47" t="s">
        <v>13291</v>
      </c>
      <c r="H389" s="158">
        <v>1389</v>
      </c>
      <c r="I389" s="156" t="s">
        <v>11030</v>
      </c>
      <c r="J389" s="156" t="s">
        <v>11827</v>
      </c>
      <c r="K389" s="47"/>
      <c r="L389" s="47"/>
      <c r="M389" s="47"/>
      <c r="N389" s="156"/>
      <c r="O389" s="156" t="s">
        <v>157</v>
      </c>
      <c r="P389" s="47"/>
      <c r="Q389" s="47"/>
      <c r="R389" s="47"/>
      <c r="S389" s="47" t="s">
        <v>13292</v>
      </c>
      <c r="T389" s="47" t="s">
        <v>13295</v>
      </c>
      <c r="U389" s="47"/>
    </row>
    <row r="390" spans="1:21" x14ac:dyDescent="0.3">
      <c r="A390" s="46">
        <v>391</v>
      </c>
      <c r="B390" s="47" t="s">
        <v>13291</v>
      </c>
      <c r="C390" s="47" t="s">
        <v>13291</v>
      </c>
      <c r="D390" s="47" t="s">
        <v>13291</v>
      </c>
      <c r="E390" s="47" t="s">
        <v>13291</v>
      </c>
      <c r="F390" s="47" t="s">
        <v>13291</v>
      </c>
      <c r="G390" s="47" t="s">
        <v>13291</v>
      </c>
      <c r="H390" s="158">
        <v>1390</v>
      </c>
      <c r="I390" s="156" t="s">
        <v>11153</v>
      </c>
      <c r="J390" s="156" t="s">
        <v>12089</v>
      </c>
      <c r="K390" s="47"/>
      <c r="L390" s="47"/>
      <c r="M390" s="47"/>
      <c r="N390" s="156"/>
      <c r="O390" s="156" t="s">
        <v>157</v>
      </c>
      <c r="P390" s="47"/>
      <c r="Q390" s="47"/>
      <c r="R390" s="47"/>
      <c r="S390" s="47" t="s">
        <v>13292</v>
      </c>
      <c r="T390" s="47" t="s">
        <v>13295</v>
      </c>
      <c r="U390" s="47"/>
    </row>
    <row r="391" spans="1:21" x14ac:dyDescent="0.3">
      <c r="A391" s="46">
        <v>392</v>
      </c>
      <c r="B391" s="47" t="s">
        <v>13291</v>
      </c>
      <c r="C391" s="47" t="s">
        <v>13291</v>
      </c>
      <c r="D391" s="47" t="s">
        <v>13291</v>
      </c>
      <c r="E391" s="47" t="s">
        <v>13291</v>
      </c>
      <c r="F391" s="47" t="s">
        <v>13291</v>
      </c>
      <c r="G391" s="47" t="s">
        <v>13291</v>
      </c>
      <c r="H391" s="158">
        <v>1391</v>
      </c>
      <c r="I391" s="156" t="s">
        <v>5548</v>
      </c>
      <c r="J391" s="156" t="s">
        <v>12158</v>
      </c>
      <c r="K391" s="47"/>
      <c r="L391" s="47"/>
      <c r="M391" s="47"/>
      <c r="N391" s="156"/>
      <c r="O391" s="156" t="s">
        <v>157</v>
      </c>
      <c r="P391" s="47"/>
      <c r="Q391" s="47"/>
      <c r="R391" s="47"/>
      <c r="S391" s="47" t="s">
        <v>13292</v>
      </c>
      <c r="T391" s="47" t="s">
        <v>13295</v>
      </c>
      <c r="U391" s="47"/>
    </row>
    <row r="392" spans="1:21" x14ac:dyDescent="0.3">
      <c r="A392" s="46">
        <v>393</v>
      </c>
      <c r="B392" s="47" t="s">
        <v>13291</v>
      </c>
      <c r="C392" s="47" t="s">
        <v>13291</v>
      </c>
      <c r="D392" s="47" t="s">
        <v>13291</v>
      </c>
      <c r="E392" s="47" t="s">
        <v>13291</v>
      </c>
      <c r="F392" s="47" t="s">
        <v>13291</v>
      </c>
      <c r="G392" s="47" t="s">
        <v>13291</v>
      </c>
      <c r="H392" s="158">
        <v>1392</v>
      </c>
      <c r="I392" s="156" t="s">
        <v>11186</v>
      </c>
      <c r="J392" s="156" t="s">
        <v>12159</v>
      </c>
      <c r="K392" s="47"/>
      <c r="L392" s="47"/>
      <c r="M392" s="47"/>
      <c r="N392" s="156"/>
      <c r="O392" s="156" t="s">
        <v>157</v>
      </c>
      <c r="P392" s="47"/>
      <c r="Q392" s="47"/>
      <c r="R392" s="47"/>
      <c r="S392" s="47" t="s">
        <v>13292</v>
      </c>
      <c r="T392" s="47" t="s">
        <v>13295</v>
      </c>
      <c r="U392" s="47"/>
    </row>
    <row r="393" spans="1:21" x14ac:dyDescent="0.3">
      <c r="A393" s="46">
        <v>394</v>
      </c>
      <c r="B393" s="47" t="s">
        <v>13291</v>
      </c>
      <c r="C393" s="47" t="s">
        <v>13291</v>
      </c>
      <c r="D393" s="47" t="s">
        <v>13291</v>
      </c>
      <c r="E393" s="47" t="s">
        <v>13291</v>
      </c>
      <c r="F393" s="47" t="s">
        <v>13291</v>
      </c>
      <c r="G393" s="47" t="s">
        <v>13291</v>
      </c>
      <c r="H393" s="158">
        <v>1393</v>
      </c>
      <c r="I393" s="156" t="s">
        <v>5549</v>
      </c>
      <c r="J393" s="156" t="s">
        <v>12090</v>
      </c>
      <c r="K393" s="47"/>
      <c r="L393" s="47"/>
      <c r="M393" s="47"/>
      <c r="N393" s="156"/>
      <c r="O393" s="156" t="s">
        <v>157</v>
      </c>
      <c r="P393" s="47"/>
      <c r="Q393" s="47"/>
      <c r="R393" s="47"/>
      <c r="S393" s="47" t="s">
        <v>13292</v>
      </c>
      <c r="T393" s="47" t="s">
        <v>13295</v>
      </c>
      <c r="U393" s="47"/>
    </row>
    <row r="394" spans="1:21" x14ac:dyDescent="0.3">
      <c r="A394" s="46">
        <v>395</v>
      </c>
      <c r="B394" s="47" t="s">
        <v>13291</v>
      </c>
      <c r="C394" s="47" t="s">
        <v>13291</v>
      </c>
      <c r="D394" s="47" t="s">
        <v>13291</v>
      </c>
      <c r="E394" s="47" t="s">
        <v>13291</v>
      </c>
      <c r="F394" s="47" t="s">
        <v>13291</v>
      </c>
      <c r="G394" s="47" t="s">
        <v>13291</v>
      </c>
      <c r="H394" s="158">
        <v>1394</v>
      </c>
      <c r="I394" s="156" t="s">
        <v>10933</v>
      </c>
      <c r="J394" s="156" t="s">
        <v>11579</v>
      </c>
      <c r="K394" s="47"/>
      <c r="L394" s="47"/>
      <c r="M394" s="47"/>
      <c r="N394" s="156"/>
      <c r="O394" s="156" t="s">
        <v>157</v>
      </c>
      <c r="P394" s="47"/>
      <c r="Q394" s="47"/>
      <c r="R394" s="47"/>
      <c r="S394" s="47" t="s">
        <v>13292</v>
      </c>
      <c r="T394" s="47" t="s">
        <v>13295</v>
      </c>
      <c r="U394" s="47"/>
    </row>
    <row r="395" spans="1:21" x14ac:dyDescent="0.3">
      <c r="A395" s="46">
        <v>396</v>
      </c>
      <c r="B395" s="47" t="s">
        <v>13291</v>
      </c>
      <c r="C395" s="47" t="s">
        <v>13291</v>
      </c>
      <c r="D395" s="47" t="s">
        <v>13291</v>
      </c>
      <c r="E395" s="47" t="s">
        <v>13291</v>
      </c>
      <c r="F395" s="47" t="s">
        <v>13291</v>
      </c>
      <c r="G395" s="47" t="s">
        <v>13291</v>
      </c>
      <c r="H395" s="158">
        <v>1395</v>
      </c>
      <c r="I395" s="156" t="s">
        <v>11109</v>
      </c>
      <c r="J395" s="156" t="s">
        <v>11988</v>
      </c>
      <c r="K395" s="47"/>
      <c r="L395" s="47"/>
      <c r="M395" s="47"/>
      <c r="N395" s="156"/>
      <c r="O395" s="156" t="s">
        <v>157</v>
      </c>
      <c r="P395" s="47"/>
      <c r="Q395" s="47"/>
      <c r="R395" s="47"/>
      <c r="S395" s="47" t="s">
        <v>13292</v>
      </c>
      <c r="T395" s="47" t="s">
        <v>13295</v>
      </c>
      <c r="U395" s="47"/>
    </row>
    <row r="396" spans="1:21" x14ac:dyDescent="0.3">
      <c r="A396" s="46">
        <v>397</v>
      </c>
      <c r="B396" s="47" t="s">
        <v>13291</v>
      </c>
      <c r="C396" s="47" t="s">
        <v>13291</v>
      </c>
      <c r="D396" s="47" t="s">
        <v>13291</v>
      </c>
      <c r="E396" s="47" t="s">
        <v>13291</v>
      </c>
      <c r="F396" s="47" t="s">
        <v>13291</v>
      </c>
      <c r="G396" s="47" t="s">
        <v>13291</v>
      </c>
      <c r="H396" s="158">
        <v>1396</v>
      </c>
      <c r="I396" s="156" t="s">
        <v>5550</v>
      </c>
      <c r="J396" s="156" t="s">
        <v>11580</v>
      </c>
      <c r="K396" s="47"/>
      <c r="L396" s="47"/>
      <c r="M396" s="47"/>
      <c r="N396" s="156"/>
      <c r="O396" s="156" t="s">
        <v>157</v>
      </c>
      <c r="P396" s="47"/>
      <c r="Q396" s="47"/>
      <c r="R396" s="47"/>
      <c r="S396" s="47" t="s">
        <v>13292</v>
      </c>
      <c r="T396" s="47" t="s">
        <v>13295</v>
      </c>
      <c r="U396" s="47"/>
    </row>
    <row r="397" spans="1:21" x14ac:dyDescent="0.3">
      <c r="A397" s="46">
        <v>398</v>
      </c>
      <c r="B397" s="47" t="s">
        <v>13291</v>
      </c>
      <c r="C397" s="47" t="s">
        <v>13291</v>
      </c>
      <c r="D397" s="47" t="s">
        <v>13291</v>
      </c>
      <c r="E397" s="47" t="s">
        <v>13291</v>
      </c>
      <c r="F397" s="47" t="s">
        <v>13291</v>
      </c>
      <c r="G397" s="47" t="s">
        <v>13291</v>
      </c>
      <c r="H397" s="158">
        <v>1397</v>
      </c>
      <c r="I397" s="156" t="s">
        <v>10920</v>
      </c>
      <c r="J397" s="156" t="s">
        <v>11507</v>
      </c>
      <c r="K397" s="47"/>
      <c r="L397" s="47"/>
      <c r="M397" s="47"/>
      <c r="N397" s="156"/>
      <c r="O397" s="156" t="s">
        <v>157</v>
      </c>
      <c r="P397" s="47"/>
      <c r="Q397" s="47"/>
      <c r="R397" s="47"/>
      <c r="S397" s="47" t="s">
        <v>13292</v>
      </c>
      <c r="T397" s="47" t="s">
        <v>13295</v>
      </c>
      <c r="U397" s="47"/>
    </row>
    <row r="398" spans="1:21" x14ac:dyDescent="0.3">
      <c r="A398" s="46">
        <v>399</v>
      </c>
      <c r="B398" s="47" t="s">
        <v>13291</v>
      </c>
      <c r="C398" s="47" t="s">
        <v>13291</v>
      </c>
      <c r="D398" s="47" t="s">
        <v>13291</v>
      </c>
      <c r="E398" s="47" t="s">
        <v>13291</v>
      </c>
      <c r="F398" s="47" t="s">
        <v>13291</v>
      </c>
      <c r="G398" s="47" t="s">
        <v>13291</v>
      </c>
      <c r="H398" s="158">
        <v>1398</v>
      </c>
      <c r="I398" s="156" t="s">
        <v>5551</v>
      </c>
      <c r="J398" s="156" t="s">
        <v>12091</v>
      </c>
      <c r="K398" s="47"/>
      <c r="L398" s="47"/>
      <c r="M398" s="47"/>
      <c r="N398" s="156"/>
      <c r="O398" s="156" t="s">
        <v>157</v>
      </c>
      <c r="P398" s="47"/>
      <c r="Q398" s="47"/>
      <c r="R398" s="47"/>
      <c r="S398" s="47" t="s">
        <v>13292</v>
      </c>
      <c r="T398" s="47" t="s">
        <v>13295</v>
      </c>
      <c r="U398" s="47"/>
    </row>
    <row r="399" spans="1:21" x14ac:dyDescent="0.3">
      <c r="A399" s="46">
        <v>400</v>
      </c>
      <c r="B399" s="47" t="s">
        <v>13291</v>
      </c>
      <c r="C399" s="47" t="s">
        <v>13291</v>
      </c>
      <c r="D399" s="47" t="s">
        <v>13291</v>
      </c>
      <c r="E399" s="47" t="s">
        <v>13291</v>
      </c>
      <c r="F399" s="47" t="s">
        <v>13291</v>
      </c>
      <c r="G399" s="47" t="s">
        <v>13291</v>
      </c>
      <c r="H399" s="158">
        <v>1399</v>
      </c>
      <c r="I399" s="156" t="s">
        <v>11154</v>
      </c>
      <c r="J399" s="156" t="s">
        <v>12092</v>
      </c>
      <c r="K399" s="47"/>
      <c r="L399" s="47"/>
      <c r="M399" s="47"/>
      <c r="N399" s="156"/>
      <c r="O399" s="156" t="s">
        <v>157</v>
      </c>
      <c r="P399" s="47"/>
      <c r="Q399" s="47"/>
      <c r="R399" s="47"/>
      <c r="S399" s="47" t="s">
        <v>13292</v>
      </c>
      <c r="T399" s="47" t="s">
        <v>13295</v>
      </c>
      <c r="U399" s="47"/>
    </row>
    <row r="400" spans="1:21" x14ac:dyDescent="0.3">
      <c r="A400" s="46">
        <v>401</v>
      </c>
      <c r="B400" s="47" t="s">
        <v>13291</v>
      </c>
      <c r="C400" s="47" t="s">
        <v>13291</v>
      </c>
      <c r="D400" s="47" t="s">
        <v>13291</v>
      </c>
      <c r="E400" s="47" t="s">
        <v>13291</v>
      </c>
      <c r="F400" s="47" t="s">
        <v>13291</v>
      </c>
      <c r="G400" s="47" t="s">
        <v>13291</v>
      </c>
      <c r="H400" s="158">
        <v>1400</v>
      </c>
      <c r="I400" s="156" t="s">
        <v>5552</v>
      </c>
      <c r="J400" s="156" t="s">
        <v>11581</v>
      </c>
      <c r="K400" s="47"/>
      <c r="L400" s="47"/>
      <c r="M400" s="47"/>
      <c r="N400" s="156"/>
      <c r="O400" s="156" t="s">
        <v>157</v>
      </c>
      <c r="P400" s="47"/>
      <c r="Q400" s="47"/>
      <c r="R400" s="47"/>
      <c r="S400" s="47" t="s">
        <v>13292</v>
      </c>
      <c r="T400" s="47" t="s">
        <v>13295</v>
      </c>
      <c r="U400" s="47"/>
    </row>
    <row r="401" spans="1:21" x14ac:dyDescent="0.3">
      <c r="A401" s="46">
        <v>402</v>
      </c>
      <c r="B401" s="47" t="s">
        <v>13291</v>
      </c>
      <c r="C401" s="47" t="s">
        <v>13291</v>
      </c>
      <c r="D401" s="47" t="s">
        <v>13291</v>
      </c>
      <c r="E401" s="47" t="s">
        <v>13291</v>
      </c>
      <c r="F401" s="47" t="s">
        <v>13291</v>
      </c>
      <c r="G401" s="47" t="s">
        <v>13291</v>
      </c>
      <c r="H401" s="158">
        <v>1401</v>
      </c>
      <c r="I401" s="156" t="s">
        <v>5553</v>
      </c>
      <c r="J401" s="156" t="s">
        <v>11828</v>
      </c>
      <c r="K401" s="47"/>
      <c r="L401" s="47"/>
      <c r="M401" s="47"/>
      <c r="N401" s="156"/>
      <c r="O401" s="156" t="s">
        <v>157</v>
      </c>
      <c r="P401" s="47"/>
      <c r="Q401" s="47"/>
      <c r="R401" s="47"/>
      <c r="S401" s="47" t="s">
        <v>13292</v>
      </c>
      <c r="T401" s="47" t="s">
        <v>13295</v>
      </c>
      <c r="U401" s="47"/>
    </row>
    <row r="402" spans="1:21" x14ac:dyDescent="0.3">
      <c r="A402" s="46">
        <v>403</v>
      </c>
      <c r="B402" s="47" t="s">
        <v>13291</v>
      </c>
      <c r="C402" s="47" t="s">
        <v>13291</v>
      </c>
      <c r="D402" s="47" t="s">
        <v>13291</v>
      </c>
      <c r="E402" s="47" t="s">
        <v>13291</v>
      </c>
      <c r="F402" s="47" t="s">
        <v>13291</v>
      </c>
      <c r="G402" s="47" t="s">
        <v>13291</v>
      </c>
      <c r="H402" s="158">
        <v>1402</v>
      </c>
      <c r="I402" s="156" t="s">
        <v>5554</v>
      </c>
      <c r="J402" s="156" t="s">
        <v>11582</v>
      </c>
      <c r="K402" s="47"/>
      <c r="L402" s="47"/>
      <c r="M402" s="47"/>
      <c r="N402" s="156"/>
      <c r="O402" s="156" t="s">
        <v>157</v>
      </c>
      <c r="P402" s="47"/>
      <c r="Q402" s="47"/>
      <c r="R402" s="47"/>
      <c r="S402" s="47" t="s">
        <v>13292</v>
      </c>
      <c r="T402" s="47" t="s">
        <v>13295</v>
      </c>
      <c r="U402" s="47"/>
    </row>
    <row r="403" spans="1:21" x14ac:dyDescent="0.3">
      <c r="A403" s="46">
        <v>404</v>
      </c>
      <c r="B403" s="47" t="s">
        <v>13291</v>
      </c>
      <c r="C403" s="47" t="s">
        <v>13291</v>
      </c>
      <c r="D403" s="47" t="s">
        <v>13291</v>
      </c>
      <c r="E403" s="47" t="s">
        <v>13291</v>
      </c>
      <c r="F403" s="47" t="s">
        <v>13291</v>
      </c>
      <c r="G403" s="47" t="s">
        <v>13291</v>
      </c>
      <c r="H403" s="158">
        <v>1403</v>
      </c>
      <c r="I403" s="156" t="s">
        <v>11031</v>
      </c>
      <c r="J403" s="156" t="s">
        <v>11829</v>
      </c>
      <c r="K403" s="47"/>
      <c r="L403" s="47"/>
      <c r="M403" s="47"/>
      <c r="N403" s="156"/>
      <c r="O403" s="156" t="s">
        <v>157</v>
      </c>
      <c r="P403" s="47"/>
      <c r="Q403" s="47"/>
      <c r="R403" s="47"/>
      <c r="S403" s="47" t="s">
        <v>13292</v>
      </c>
      <c r="T403" s="47" t="s">
        <v>13295</v>
      </c>
      <c r="U403" s="47"/>
    </row>
    <row r="404" spans="1:21" x14ac:dyDescent="0.3">
      <c r="A404" s="46">
        <v>405</v>
      </c>
      <c r="B404" s="47" t="s">
        <v>13291</v>
      </c>
      <c r="C404" s="47" t="s">
        <v>13291</v>
      </c>
      <c r="D404" s="47" t="s">
        <v>13291</v>
      </c>
      <c r="E404" s="47" t="s">
        <v>13291</v>
      </c>
      <c r="F404" s="47" t="s">
        <v>13291</v>
      </c>
      <c r="G404" s="47" t="s">
        <v>13291</v>
      </c>
      <c r="H404" s="158">
        <v>1404</v>
      </c>
      <c r="I404" s="156" t="s">
        <v>10934</v>
      </c>
      <c r="J404" s="156" t="s">
        <v>11583</v>
      </c>
      <c r="K404" s="47"/>
      <c r="L404" s="47"/>
      <c r="M404" s="47"/>
      <c r="N404" s="156"/>
      <c r="O404" s="156" t="s">
        <v>157</v>
      </c>
      <c r="P404" s="47"/>
      <c r="Q404" s="47"/>
      <c r="R404" s="47"/>
      <c r="S404" s="47" t="s">
        <v>13292</v>
      </c>
      <c r="T404" s="47" t="s">
        <v>13295</v>
      </c>
      <c r="U404" s="47"/>
    </row>
    <row r="405" spans="1:21" x14ac:dyDescent="0.3">
      <c r="A405" s="46">
        <v>406</v>
      </c>
      <c r="B405" s="47" t="s">
        <v>13291</v>
      </c>
      <c r="C405" s="47" t="s">
        <v>13291</v>
      </c>
      <c r="D405" s="47" t="s">
        <v>13291</v>
      </c>
      <c r="E405" s="47" t="s">
        <v>13291</v>
      </c>
      <c r="F405" s="47" t="s">
        <v>13291</v>
      </c>
      <c r="G405" s="47" t="s">
        <v>13291</v>
      </c>
      <c r="H405" s="158">
        <v>1405</v>
      </c>
      <c r="I405" s="156" t="s">
        <v>10935</v>
      </c>
      <c r="J405" s="156" t="s">
        <v>11584</v>
      </c>
      <c r="K405" s="47"/>
      <c r="L405" s="47"/>
      <c r="M405" s="47"/>
      <c r="N405" s="156"/>
      <c r="O405" s="156" t="s">
        <v>157</v>
      </c>
      <c r="P405" s="47"/>
      <c r="Q405" s="47"/>
      <c r="R405" s="47"/>
      <c r="S405" s="47" t="s">
        <v>13292</v>
      </c>
      <c r="T405" s="47" t="s">
        <v>13295</v>
      </c>
      <c r="U405" s="47"/>
    </row>
    <row r="406" spans="1:21" x14ac:dyDescent="0.3">
      <c r="A406" s="46">
        <v>407</v>
      </c>
      <c r="B406" s="47" t="s">
        <v>13291</v>
      </c>
      <c r="C406" s="47" t="s">
        <v>13291</v>
      </c>
      <c r="D406" s="47" t="s">
        <v>13291</v>
      </c>
      <c r="E406" s="47" t="s">
        <v>13291</v>
      </c>
      <c r="F406" s="47" t="s">
        <v>13291</v>
      </c>
      <c r="G406" s="47" t="s">
        <v>13291</v>
      </c>
      <c r="H406" s="158">
        <v>1406</v>
      </c>
      <c r="I406" s="156" t="s">
        <v>10936</v>
      </c>
      <c r="J406" s="156" t="s">
        <v>11585</v>
      </c>
      <c r="K406" s="47"/>
      <c r="L406" s="47"/>
      <c r="M406" s="47"/>
      <c r="N406" s="156"/>
      <c r="O406" s="156" t="s">
        <v>157</v>
      </c>
      <c r="P406" s="47"/>
      <c r="Q406" s="47"/>
      <c r="R406" s="47"/>
      <c r="S406" s="47" t="s">
        <v>13292</v>
      </c>
      <c r="T406" s="47" t="s">
        <v>13295</v>
      </c>
      <c r="U406" s="47"/>
    </row>
    <row r="407" spans="1:21" x14ac:dyDescent="0.3">
      <c r="A407" s="46">
        <v>408</v>
      </c>
      <c r="B407" s="47" t="s">
        <v>13291</v>
      </c>
      <c r="C407" s="47" t="s">
        <v>13291</v>
      </c>
      <c r="D407" s="47" t="s">
        <v>13291</v>
      </c>
      <c r="E407" s="47" t="s">
        <v>13291</v>
      </c>
      <c r="F407" s="47" t="s">
        <v>13291</v>
      </c>
      <c r="G407" s="47" t="s">
        <v>13291</v>
      </c>
      <c r="H407" s="158">
        <v>1407</v>
      </c>
      <c r="I407" s="156" t="s">
        <v>5555</v>
      </c>
      <c r="J407" s="156" t="s">
        <v>11586</v>
      </c>
      <c r="K407" s="47"/>
      <c r="L407" s="47"/>
      <c r="M407" s="47"/>
      <c r="N407" s="156"/>
      <c r="O407" s="156" t="s">
        <v>157</v>
      </c>
      <c r="P407" s="47"/>
      <c r="Q407" s="47"/>
      <c r="R407" s="47"/>
      <c r="S407" s="47" t="s">
        <v>13292</v>
      </c>
      <c r="T407" s="47" t="s">
        <v>13295</v>
      </c>
      <c r="U407" s="47"/>
    </row>
    <row r="408" spans="1:21" x14ac:dyDescent="0.3">
      <c r="A408" s="46">
        <v>409</v>
      </c>
      <c r="B408" s="47" t="s">
        <v>13291</v>
      </c>
      <c r="C408" s="47" t="s">
        <v>13291</v>
      </c>
      <c r="D408" s="47" t="s">
        <v>13291</v>
      </c>
      <c r="E408" s="47" t="s">
        <v>13291</v>
      </c>
      <c r="F408" s="47" t="s">
        <v>13291</v>
      </c>
      <c r="G408" s="47" t="s">
        <v>13291</v>
      </c>
      <c r="H408" s="158">
        <v>1408</v>
      </c>
      <c r="I408" s="156" t="s">
        <v>5556</v>
      </c>
      <c r="J408" s="156" t="s">
        <v>11830</v>
      </c>
      <c r="K408" s="47"/>
      <c r="L408" s="47"/>
      <c r="M408" s="47"/>
      <c r="N408" s="156"/>
      <c r="O408" s="156" t="s">
        <v>157</v>
      </c>
      <c r="P408" s="47"/>
      <c r="Q408" s="47"/>
      <c r="R408" s="47"/>
      <c r="S408" s="47" t="s">
        <v>13292</v>
      </c>
      <c r="T408" s="47" t="s">
        <v>13295</v>
      </c>
      <c r="U408" s="47"/>
    </row>
    <row r="409" spans="1:21" x14ac:dyDescent="0.3">
      <c r="A409" s="46">
        <v>410</v>
      </c>
      <c r="B409" s="47" t="s">
        <v>13291</v>
      </c>
      <c r="C409" s="47" t="s">
        <v>13291</v>
      </c>
      <c r="D409" s="47" t="s">
        <v>13291</v>
      </c>
      <c r="E409" s="47" t="s">
        <v>13291</v>
      </c>
      <c r="F409" s="47" t="s">
        <v>13291</v>
      </c>
      <c r="G409" s="47" t="s">
        <v>13291</v>
      </c>
      <c r="H409" s="158">
        <v>1409</v>
      </c>
      <c r="I409" s="156" t="s">
        <v>11091</v>
      </c>
      <c r="J409" s="156" t="s">
        <v>11949</v>
      </c>
      <c r="K409" s="47"/>
      <c r="L409" s="47"/>
      <c r="M409" s="47"/>
      <c r="N409" s="156"/>
      <c r="O409" s="156" t="s">
        <v>157</v>
      </c>
      <c r="P409" s="47"/>
      <c r="Q409" s="47"/>
      <c r="R409" s="47"/>
      <c r="S409" s="47" t="s">
        <v>13292</v>
      </c>
      <c r="T409" s="47" t="s">
        <v>13295</v>
      </c>
      <c r="U409" s="47"/>
    </row>
    <row r="410" spans="1:21" x14ac:dyDescent="0.3">
      <c r="A410" s="46">
        <v>411</v>
      </c>
      <c r="B410" s="47" t="s">
        <v>13291</v>
      </c>
      <c r="C410" s="47" t="s">
        <v>13291</v>
      </c>
      <c r="D410" s="47" t="s">
        <v>13291</v>
      </c>
      <c r="E410" s="47" t="s">
        <v>13291</v>
      </c>
      <c r="F410" s="47" t="s">
        <v>13291</v>
      </c>
      <c r="G410" s="47" t="s">
        <v>13291</v>
      </c>
      <c r="H410" s="158">
        <v>1410</v>
      </c>
      <c r="I410" s="156" t="s">
        <v>5557</v>
      </c>
      <c r="J410" s="156" t="s">
        <v>11831</v>
      </c>
      <c r="K410" s="47"/>
      <c r="L410" s="47"/>
      <c r="M410" s="47"/>
      <c r="N410" s="156"/>
      <c r="O410" s="156" t="s">
        <v>157</v>
      </c>
      <c r="P410" s="47"/>
      <c r="Q410" s="47"/>
      <c r="R410" s="47"/>
      <c r="S410" s="47" t="s">
        <v>13292</v>
      </c>
      <c r="T410" s="47" t="s">
        <v>13295</v>
      </c>
      <c r="U410" s="47"/>
    </row>
    <row r="411" spans="1:21" x14ac:dyDescent="0.3">
      <c r="A411" s="46">
        <v>412</v>
      </c>
      <c r="B411" s="47" t="s">
        <v>13291</v>
      </c>
      <c r="C411" s="47" t="s">
        <v>13291</v>
      </c>
      <c r="D411" s="47" t="s">
        <v>13291</v>
      </c>
      <c r="E411" s="47" t="s">
        <v>13291</v>
      </c>
      <c r="F411" s="47" t="s">
        <v>13291</v>
      </c>
      <c r="G411" s="47" t="s">
        <v>13291</v>
      </c>
      <c r="H411" s="158">
        <v>1411</v>
      </c>
      <c r="I411" s="156" t="s">
        <v>5558</v>
      </c>
      <c r="J411" s="156" t="s">
        <v>11950</v>
      </c>
      <c r="K411" s="47"/>
      <c r="L411" s="47"/>
      <c r="M411" s="47"/>
      <c r="N411" s="156"/>
      <c r="O411" s="156" t="s">
        <v>157</v>
      </c>
      <c r="P411" s="47"/>
      <c r="Q411" s="47"/>
      <c r="R411" s="47"/>
      <c r="S411" s="47" t="s">
        <v>13292</v>
      </c>
      <c r="T411" s="47" t="s">
        <v>13295</v>
      </c>
      <c r="U411" s="47"/>
    </row>
    <row r="412" spans="1:21" x14ac:dyDescent="0.3">
      <c r="A412" s="46">
        <v>413</v>
      </c>
      <c r="B412" s="47" t="s">
        <v>13291</v>
      </c>
      <c r="C412" s="47" t="s">
        <v>13291</v>
      </c>
      <c r="D412" s="47" t="s">
        <v>13291</v>
      </c>
      <c r="E412" s="47" t="s">
        <v>13291</v>
      </c>
      <c r="F412" s="47" t="s">
        <v>13291</v>
      </c>
      <c r="G412" s="47" t="s">
        <v>13291</v>
      </c>
      <c r="H412" s="158">
        <v>1412</v>
      </c>
      <c r="I412" s="156" t="s">
        <v>5559</v>
      </c>
      <c r="J412" s="156" t="s">
        <v>11951</v>
      </c>
      <c r="K412" s="47"/>
      <c r="L412" s="47"/>
      <c r="M412" s="47"/>
      <c r="N412" s="156"/>
      <c r="O412" s="156" t="s">
        <v>157</v>
      </c>
      <c r="P412" s="47"/>
      <c r="Q412" s="47"/>
      <c r="R412" s="47"/>
      <c r="S412" s="47" t="s">
        <v>13292</v>
      </c>
      <c r="T412" s="47" t="s">
        <v>13295</v>
      </c>
      <c r="U412" s="47"/>
    </row>
    <row r="413" spans="1:21" x14ac:dyDescent="0.3">
      <c r="A413" s="46">
        <v>414</v>
      </c>
      <c r="B413" s="47" t="s">
        <v>13291</v>
      </c>
      <c r="C413" s="47" t="s">
        <v>13291</v>
      </c>
      <c r="D413" s="47" t="s">
        <v>13291</v>
      </c>
      <c r="E413" s="47" t="s">
        <v>13291</v>
      </c>
      <c r="F413" s="47" t="s">
        <v>13291</v>
      </c>
      <c r="G413" s="47" t="s">
        <v>13291</v>
      </c>
      <c r="H413" s="158">
        <v>1413</v>
      </c>
      <c r="I413" s="156" t="s">
        <v>11092</v>
      </c>
      <c r="J413" s="156" t="s">
        <v>11952</v>
      </c>
      <c r="K413" s="47"/>
      <c r="L413" s="47"/>
      <c r="M413" s="47"/>
      <c r="N413" s="156"/>
      <c r="O413" s="156" t="s">
        <v>157</v>
      </c>
      <c r="P413" s="47"/>
      <c r="Q413" s="47"/>
      <c r="R413" s="47"/>
      <c r="S413" s="47" t="s">
        <v>13292</v>
      </c>
      <c r="T413" s="47" t="s">
        <v>13295</v>
      </c>
      <c r="U413" s="47"/>
    </row>
    <row r="414" spans="1:21" x14ac:dyDescent="0.3">
      <c r="A414" s="46">
        <v>415</v>
      </c>
      <c r="B414" s="47" t="s">
        <v>13291</v>
      </c>
      <c r="C414" s="47" t="s">
        <v>13291</v>
      </c>
      <c r="D414" s="47" t="s">
        <v>13291</v>
      </c>
      <c r="E414" s="47" t="s">
        <v>13291</v>
      </c>
      <c r="F414" s="47" t="s">
        <v>13291</v>
      </c>
      <c r="G414" s="47" t="s">
        <v>13291</v>
      </c>
      <c r="H414" s="158">
        <v>1414</v>
      </c>
      <c r="I414" s="156" t="s">
        <v>5560</v>
      </c>
      <c r="J414" s="156" t="s">
        <v>11953</v>
      </c>
      <c r="K414" s="47"/>
      <c r="L414" s="47"/>
      <c r="M414" s="47"/>
      <c r="N414" s="156"/>
      <c r="O414" s="156" t="s">
        <v>157</v>
      </c>
      <c r="P414" s="47"/>
      <c r="Q414" s="47"/>
      <c r="R414" s="47"/>
      <c r="S414" s="47" t="s">
        <v>13292</v>
      </c>
      <c r="T414" s="47" t="s">
        <v>13295</v>
      </c>
      <c r="U414" s="47"/>
    </row>
    <row r="415" spans="1:21" x14ac:dyDescent="0.3">
      <c r="A415" s="46">
        <v>416</v>
      </c>
      <c r="B415" s="47" t="s">
        <v>13291</v>
      </c>
      <c r="C415" s="47" t="s">
        <v>13291</v>
      </c>
      <c r="D415" s="47" t="s">
        <v>13291</v>
      </c>
      <c r="E415" s="47" t="s">
        <v>13291</v>
      </c>
      <c r="F415" s="47" t="s">
        <v>13291</v>
      </c>
      <c r="G415" s="47" t="s">
        <v>13291</v>
      </c>
      <c r="H415" s="158">
        <v>1415</v>
      </c>
      <c r="I415" s="156" t="s">
        <v>5561</v>
      </c>
      <c r="J415" s="156" t="s">
        <v>11954</v>
      </c>
      <c r="K415" s="47"/>
      <c r="L415" s="47"/>
      <c r="M415" s="47"/>
      <c r="N415" s="156"/>
      <c r="O415" s="156" t="s">
        <v>157</v>
      </c>
      <c r="P415" s="47"/>
      <c r="Q415" s="47"/>
      <c r="R415" s="47"/>
      <c r="S415" s="47" t="s">
        <v>13292</v>
      </c>
      <c r="T415" s="47" t="s">
        <v>13295</v>
      </c>
      <c r="U415" s="47"/>
    </row>
    <row r="416" spans="1:21" x14ac:dyDescent="0.3">
      <c r="A416" s="46">
        <v>417</v>
      </c>
      <c r="B416" s="47" t="s">
        <v>13291</v>
      </c>
      <c r="C416" s="47" t="s">
        <v>13291</v>
      </c>
      <c r="D416" s="47" t="s">
        <v>13291</v>
      </c>
      <c r="E416" s="47" t="s">
        <v>13291</v>
      </c>
      <c r="F416" s="47" t="s">
        <v>13291</v>
      </c>
      <c r="G416" s="47" t="s">
        <v>13291</v>
      </c>
      <c r="H416" s="158">
        <v>1416</v>
      </c>
      <c r="I416" s="156" t="s">
        <v>11093</v>
      </c>
      <c r="J416" s="156" t="s">
        <v>11955</v>
      </c>
      <c r="K416" s="47"/>
      <c r="L416" s="47"/>
      <c r="M416" s="47"/>
      <c r="N416" s="156"/>
      <c r="O416" s="156" t="s">
        <v>157</v>
      </c>
      <c r="P416" s="47"/>
      <c r="Q416" s="47"/>
      <c r="R416" s="47"/>
      <c r="S416" s="47" t="s">
        <v>13292</v>
      </c>
      <c r="T416" s="47" t="s">
        <v>13295</v>
      </c>
      <c r="U416" s="47"/>
    </row>
    <row r="417" spans="1:21" x14ac:dyDescent="0.3">
      <c r="A417" s="46">
        <v>418</v>
      </c>
      <c r="B417" s="47" t="s">
        <v>13291</v>
      </c>
      <c r="C417" s="47" t="s">
        <v>13291</v>
      </c>
      <c r="D417" s="47" t="s">
        <v>13291</v>
      </c>
      <c r="E417" s="47" t="s">
        <v>13291</v>
      </c>
      <c r="F417" s="47" t="s">
        <v>13291</v>
      </c>
      <c r="G417" s="47" t="s">
        <v>13291</v>
      </c>
      <c r="H417" s="158">
        <v>1417</v>
      </c>
      <c r="I417" s="156" t="s">
        <v>5562</v>
      </c>
      <c r="J417" s="156" t="s">
        <v>11956</v>
      </c>
      <c r="K417" s="47"/>
      <c r="L417" s="47"/>
      <c r="M417" s="47"/>
      <c r="N417" s="156"/>
      <c r="O417" s="156" t="s">
        <v>157</v>
      </c>
      <c r="P417" s="47"/>
      <c r="Q417" s="47"/>
      <c r="R417" s="47"/>
      <c r="S417" s="47" t="s">
        <v>13292</v>
      </c>
      <c r="T417" s="47" t="s">
        <v>13295</v>
      </c>
      <c r="U417" s="47"/>
    </row>
    <row r="418" spans="1:21" x14ac:dyDescent="0.3">
      <c r="A418" s="46">
        <v>419</v>
      </c>
      <c r="B418" s="47" t="s">
        <v>13291</v>
      </c>
      <c r="C418" s="47" t="s">
        <v>13291</v>
      </c>
      <c r="D418" s="47" t="s">
        <v>13291</v>
      </c>
      <c r="E418" s="47" t="s">
        <v>13291</v>
      </c>
      <c r="F418" s="47" t="s">
        <v>13291</v>
      </c>
      <c r="G418" s="47" t="s">
        <v>13291</v>
      </c>
      <c r="H418" s="158">
        <v>1418</v>
      </c>
      <c r="I418" s="156" t="s">
        <v>11094</v>
      </c>
      <c r="J418" s="156" t="s">
        <v>11957</v>
      </c>
      <c r="K418" s="47"/>
      <c r="L418" s="47"/>
      <c r="M418" s="47"/>
      <c r="N418" s="156"/>
      <c r="O418" s="156" t="s">
        <v>157</v>
      </c>
      <c r="P418" s="47"/>
      <c r="Q418" s="47"/>
      <c r="R418" s="47"/>
      <c r="S418" s="47" t="s">
        <v>13292</v>
      </c>
      <c r="T418" s="47" t="s">
        <v>13295</v>
      </c>
      <c r="U418" s="47"/>
    </row>
    <row r="419" spans="1:21" x14ac:dyDescent="0.3">
      <c r="A419" s="46">
        <v>420</v>
      </c>
      <c r="B419" s="47" t="s">
        <v>13291</v>
      </c>
      <c r="C419" s="47" t="s">
        <v>13291</v>
      </c>
      <c r="D419" s="47" t="s">
        <v>13291</v>
      </c>
      <c r="E419" s="47" t="s">
        <v>13291</v>
      </c>
      <c r="F419" s="47" t="s">
        <v>13291</v>
      </c>
      <c r="G419" s="47" t="s">
        <v>13291</v>
      </c>
      <c r="H419" s="158">
        <v>1419</v>
      </c>
      <c r="I419" s="156" t="s">
        <v>5563</v>
      </c>
      <c r="J419" s="156" t="s">
        <v>11958</v>
      </c>
      <c r="K419" s="47"/>
      <c r="L419" s="47"/>
      <c r="M419" s="47"/>
      <c r="N419" s="156"/>
      <c r="O419" s="156" t="s">
        <v>157</v>
      </c>
      <c r="P419" s="47"/>
      <c r="Q419" s="47"/>
      <c r="R419" s="47"/>
      <c r="S419" s="47" t="s">
        <v>13292</v>
      </c>
      <c r="T419" s="47" t="s">
        <v>13295</v>
      </c>
      <c r="U419" s="47"/>
    </row>
    <row r="420" spans="1:21" x14ac:dyDescent="0.3">
      <c r="A420" s="46">
        <v>421</v>
      </c>
      <c r="B420" s="47" t="s">
        <v>13291</v>
      </c>
      <c r="C420" s="47" t="s">
        <v>13291</v>
      </c>
      <c r="D420" s="47" t="s">
        <v>13291</v>
      </c>
      <c r="E420" s="47" t="s">
        <v>13291</v>
      </c>
      <c r="F420" s="47" t="s">
        <v>13291</v>
      </c>
      <c r="G420" s="47" t="s">
        <v>13291</v>
      </c>
      <c r="H420" s="158">
        <v>1420</v>
      </c>
      <c r="I420" s="156" t="s">
        <v>11095</v>
      </c>
      <c r="J420" s="156" t="s">
        <v>11959</v>
      </c>
      <c r="K420" s="47"/>
      <c r="L420" s="47"/>
      <c r="M420" s="47"/>
      <c r="N420" s="156"/>
      <c r="O420" s="156" t="s">
        <v>157</v>
      </c>
      <c r="P420" s="47"/>
      <c r="Q420" s="47"/>
      <c r="R420" s="47"/>
      <c r="S420" s="47" t="s">
        <v>13292</v>
      </c>
      <c r="T420" s="47" t="s">
        <v>13295</v>
      </c>
      <c r="U420" s="47"/>
    </row>
    <row r="421" spans="1:21" x14ac:dyDescent="0.3">
      <c r="A421" s="46">
        <v>422</v>
      </c>
      <c r="B421" s="47" t="s">
        <v>13291</v>
      </c>
      <c r="C421" s="47" t="s">
        <v>13291</v>
      </c>
      <c r="D421" s="47" t="s">
        <v>13291</v>
      </c>
      <c r="E421" s="47" t="s">
        <v>13291</v>
      </c>
      <c r="F421" s="47" t="s">
        <v>13291</v>
      </c>
      <c r="G421" s="47" t="s">
        <v>13291</v>
      </c>
      <c r="H421" s="158">
        <v>1421</v>
      </c>
      <c r="I421" s="156" t="s">
        <v>11096</v>
      </c>
      <c r="J421" s="156" t="s">
        <v>11960</v>
      </c>
      <c r="K421" s="47"/>
      <c r="L421" s="47"/>
      <c r="M421" s="47"/>
      <c r="N421" s="156"/>
      <c r="O421" s="156" t="s">
        <v>157</v>
      </c>
      <c r="P421" s="47"/>
      <c r="Q421" s="47"/>
      <c r="R421" s="47"/>
      <c r="S421" s="47" t="s">
        <v>13292</v>
      </c>
      <c r="T421" s="47" t="s">
        <v>13295</v>
      </c>
      <c r="U421" s="47"/>
    </row>
    <row r="422" spans="1:21" x14ac:dyDescent="0.3">
      <c r="A422" s="46">
        <v>423</v>
      </c>
      <c r="B422" s="47" t="s">
        <v>13291</v>
      </c>
      <c r="C422" s="47" t="s">
        <v>13291</v>
      </c>
      <c r="D422" s="47" t="s">
        <v>13291</v>
      </c>
      <c r="E422" s="47" t="s">
        <v>13291</v>
      </c>
      <c r="F422" s="47" t="s">
        <v>13291</v>
      </c>
      <c r="G422" s="47" t="s">
        <v>13291</v>
      </c>
      <c r="H422" s="158">
        <v>1422</v>
      </c>
      <c r="I422" s="156" t="s">
        <v>11097</v>
      </c>
      <c r="J422" s="156" t="s">
        <v>11961</v>
      </c>
      <c r="K422" s="47"/>
      <c r="L422" s="47"/>
      <c r="M422" s="47"/>
      <c r="N422" s="156"/>
      <c r="O422" s="156" t="s">
        <v>157</v>
      </c>
      <c r="P422" s="47"/>
      <c r="Q422" s="47"/>
      <c r="R422" s="47"/>
      <c r="S422" s="47" t="s">
        <v>13292</v>
      </c>
      <c r="T422" s="47" t="s">
        <v>13295</v>
      </c>
      <c r="U422" s="47"/>
    </row>
    <row r="423" spans="1:21" x14ac:dyDescent="0.3">
      <c r="A423" s="46">
        <v>424</v>
      </c>
      <c r="B423" s="47" t="s">
        <v>13291</v>
      </c>
      <c r="C423" s="47" t="s">
        <v>13291</v>
      </c>
      <c r="D423" s="47" t="s">
        <v>13291</v>
      </c>
      <c r="E423" s="47" t="s">
        <v>13291</v>
      </c>
      <c r="F423" s="47" t="s">
        <v>13291</v>
      </c>
      <c r="G423" s="47" t="s">
        <v>13291</v>
      </c>
      <c r="H423" s="158">
        <v>1423</v>
      </c>
      <c r="I423" s="156" t="s">
        <v>11098</v>
      </c>
      <c r="J423" s="156" t="s">
        <v>11962</v>
      </c>
      <c r="K423" s="47"/>
      <c r="L423" s="47"/>
      <c r="M423" s="47"/>
      <c r="N423" s="156"/>
      <c r="O423" s="156" t="s">
        <v>157</v>
      </c>
      <c r="P423" s="47"/>
      <c r="Q423" s="47"/>
      <c r="R423" s="47"/>
      <c r="S423" s="47" t="s">
        <v>13292</v>
      </c>
      <c r="T423" s="47" t="s">
        <v>13295</v>
      </c>
      <c r="U423" s="47"/>
    </row>
    <row r="424" spans="1:21" x14ac:dyDescent="0.3">
      <c r="A424" s="46">
        <v>425</v>
      </c>
      <c r="B424" s="47" t="s">
        <v>13291</v>
      </c>
      <c r="C424" s="47" t="s">
        <v>13291</v>
      </c>
      <c r="D424" s="47" t="s">
        <v>13291</v>
      </c>
      <c r="E424" s="47" t="s">
        <v>13291</v>
      </c>
      <c r="F424" s="47" t="s">
        <v>13291</v>
      </c>
      <c r="G424" s="47" t="s">
        <v>13291</v>
      </c>
      <c r="H424" s="158">
        <v>1424</v>
      </c>
      <c r="I424" s="156" t="s">
        <v>11099</v>
      </c>
      <c r="J424" s="156" t="s">
        <v>11963</v>
      </c>
      <c r="K424" s="47"/>
      <c r="L424" s="47"/>
      <c r="M424" s="47"/>
      <c r="N424" s="156"/>
      <c r="O424" s="156" t="s">
        <v>157</v>
      </c>
      <c r="P424" s="47"/>
      <c r="Q424" s="47"/>
      <c r="R424" s="47"/>
      <c r="S424" s="47" t="s">
        <v>13292</v>
      </c>
      <c r="T424" s="47" t="s">
        <v>13295</v>
      </c>
      <c r="U424" s="47"/>
    </row>
    <row r="425" spans="1:21" x14ac:dyDescent="0.3">
      <c r="A425" s="46">
        <v>426</v>
      </c>
      <c r="B425" s="47" t="s">
        <v>13291</v>
      </c>
      <c r="C425" s="47" t="s">
        <v>13291</v>
      </c>
      <c r="D425" s="47" t="s">
        <v>13291</v>
      </c>
      <c r="E425" s="47" t="s">
        <v>13291</v>
      </c>
      <c r="F425" s="47" t="s">
        <v>13291</v>
      </c>
      <c r="G425" s="47" t="s">
        <v>13291</v>
      </c>
      <c r="H425" s="158">
        <v>1425</v>
      </c>
      <c r="I425" s="156" t="s">
        <v>11100</v>
      </c>
      <c r="J425" s="156" t="s">
        <v>11964</v>
      </c>
      <c r="K425" s="47"/>
      <c r="L425" s="47"/>
      <c r="M425" s="47"/>
      <c r="N425" s="156"/>
      <c r="O425" s="156" t="s">
        <v>157</v>
      </c>
      <c r="P425" s="47"/>
      <c r="Q425" s="47"/>
      <c r="R425" s="47"/>
      <c r="S425" s="47" t="s">
        <v>13292</v>
      </c>
      <c r="T425" s="47" t="s">
        <v>13295</v>
      </c>
      <c r="U425" s="47"/>
    </row>
    <row r="426" spans="1:21" x14ac:dyDescent="0.3">
      <c r="A426" s="46">
        <v>427</v>
      </c>
      <c r="B426" s="47" t="s">
        <v>13291</v>
      </c>
      <c r="C426" s="47" t="s">
        <v>13291</v>
      </c>
      <c r="D426" s="47" t="s">
        <v>13291</v>
      </c>
      <c r="E426" s="47" t="s">
        <v>13291</v>
      </c>
      <c r="F426" s="47" t="s">
        <v>13291</v>
      </c>
      <c r="G426" s="47" t="s">
        <v>13291</v>
      </c>
      <c r="H426" s="158">
        <v>1426</v>
      </c>
      <c r="I426" s="156" t="s">
        <v>11155</v>
      </c>
      <c r="J426" s="156" t="s">
        <v>12093</v>
      </c>
      <c r="K426" s="47"/>
      <c r="L426" s="47"/>
      <c r="M426" s="47"/>
      <c r="N426" s="156"/>
      <c r="O426" s="156" t="s">
        <v>157</v>
      </c>
      <c r="P426" s="47"/>
      <c r="Q426" s="47"/>
      <c r="R426" s="47"/>
      <c r="S426" s="47" t="s">
        <v>13292</v>
      </c>
      <c r="T426" s="47" t="s">
        <v>13295</v>
      </c>
      <c r="U426" s="47"/>
    </row>
    <row r="427" spans="1:21" x14ac:dyDescent="0.3">
      <c r="A427" s="46">
        <v>428</v>
      </c>
      <c r="B427" s="47" t="s">
        <v>13291</v>
      </c>
      <c r="C427" s="47" t="s">
        <v>13291</v>
      </c>
      <c r="D427" s="47" t="s">
        <v>13291</v>
      </c>
      <c r="E427" s="47" t="s">
        <v>13291</v>
      </c>
      <c r="F427" s="47" t="s">
        <v>13291</v>
      </c>
      <c r="G427" s="47" t="s">
        <v>13291</v>
      </c>
      <c r="H427" s="158">
        <v>1427</v>
      </c>
      <c r="I427" s="156" t="s">
        <v>11132</v>
      </c>
      <c r="J427" s="156" t="s">
        <v>12025</v>
      </c>
      <c r="K427" s="47"/>
      <c r="L427" s="47"/>
      <c r="M427" s="47"/>
      <c r="N427" s="156"/>
      <c r="O427" s="156" t="s">
        <v>157</v>
      </c>
      <c r="P427" s="47"/>
      <c r="Q427" s="47"/>
      <c r="R427" s="47"/>
      <c r="S427" s="47" t="s">
        <v>13292</v>
      </c>
      <c r="T427" s="47" t="s">
        <v>13295</v>
      </c>
      <c r="U427" s="47"/>
    </row>
    <row r="428" spans="1:21" x14ac:dyDescent="0.3">
      <c r="A428" s="46">
        <v>429</v>
      </c>
      <c r="B428" s="47" t="s">
        <v>13291</v>
      </c>
      <c r="C428" s="47" t="s">
        <v>13291</v>
      </c>
      <c r="D428" s="47" t="s">
        <v>13291</v>
      </c>
      <c r="E428" s="47" t="s">
        <v>13291</v>
      </c>
      <c r="F428" s="47" t="s">
        <v>13291</v>
      </c>
      <c r="G428" s="47" t="s">
        <v>13291</v>
      </c>
      <c r="H428" s="158">
        <v>1428</v>
      </c>
      <c r="I428" s="156" t="s">
        <v>5564</v>
      </c>
      <c r="J428" s="156" t="s">
        <v>11587</v>
      </c>
      <c r="K428" s="47"/>
      <c r="L428" s="47"/>
      <c r="M428" s="47"/>
      <c r="N428" s="156"/>
      <c r="O428" s="156" t="s">
        <v>157</v>
      </c>
      <c r="P428" s="47"/>
      <c r="Q428" s="47"/>
      <c r="R428" s="47"/>
      <c r="S428" s="47" t="s">
        <v>13292</v>
      </c>
      <c r="T428" s="47" t="s">
        <v>13295</v>
      </c>
      <c r="U428" s="47"/>
    </row>
    <row r="429" spans="1:21" x14ac:dyDescent="0.3">
      <c r="A429" s="46">
        <v>430</v>
      </c>
      <c r="B429" s="47" t="s">
        <v>13291</v>
      </c>
      <c r="C429" s="47" t="s">
        <v>13291</v>
      </c>
      <c r="D429" s="47" t="s">
        <v>13291</v>
      </c>
      <c r="E429" s="47" t="s">
        <v>13291</v>
      </c>
      <c r="F429" s="47" t="s">
        <v>13291</v>
      </c>
      <c r="G429" s="47" t="s">
        <v>13291</v>
      </c>
      <c r="H429" s="158">
        <v>1429</v>
      </c>
      <c r="I429" s="156" t="s">
        <v>5565</v>
      </c>
      <c r="J429" s="156" t="s">
        <v>11832</v>
      </c>
      <c r="K429" s="47"/>
      <c r="L429" s="47"/>
      <c r="M429" s="47"/>
      <c r="N429" s="156"/>
      <c r="O429" s="156" t="s">
        <v>157</v>
      </c>
      <c r="P429" s="47"/>
      <c r="Q429" s="47"/>
      <c r="R429" s="47"/>
      <c r="S429" s="47" t="s">
        <v>13292</v>
      </c>
      <c r="T429" s="47" t="s">
        <v>13295</v>
      </c>
      <c r="U429" s="47"/>
    </row>
    <row r="430" spans="1:21" x14ac:dyDescent="0.3">
      <c r="A430" s="46">
        <v>431</v>
      </c>
      <c r="B430" s="47" t="s">
        <v>13291</v>
      </c>
      <c r="C430" s="47" t="s">
        <v>13291</v>
      </c>
      <c r="D430" s="47" t="s">
        <v>13291</v>
      </c>
      <c r="E430" s="47" t="s">
        <v>13291</v>
      </c>
      <c r="F430" s="47" t="s">
        <v>13291</v>
      </c>
      <c r="G430" s="47" t="s">
        <v>13291</v>
      </c>
      <c r="H430" s="158">
        <v>1430</v>
      </c>
      <c r="I430" s="156" t="s">
        <v>11156</v>
      </c>
      <c r="J430" s="156" t="s">
        <v>12094</v>
      </c>
      <c r="K430" s="47"/>
      <c r="L430" s="47"/>
      <c r="M430" s="47"/>
      <c r="N430" s="156"/>
      <c r="O430" s="156" t="s">
        <v>157</v>
      </c>
      <c r="P430" s="47"/>
      <c r="Q430" s="47"/>
      <c r="R430" s="47"/>
      <c r="S430" s="47" t="s">
        <v>13292</v>
      </c>
      <c r="T430" s="47" t="s">
        <v>13295</v>
      </c>
      <c r="U430" s="47"/>
    </row>
    <row r="431" spans="1:21" x14ac:dyDescent="0.3">
      <c r="A431" s="46">
        <v>432</v>
      </c>
      <c r="B431" s="47" t="s">
        <v>13291</v>
      </c>
      <c r="C431" s="47" t="s">
        <v>13291</v>
      </c>
      <c r="D431" s="47" t="s">
        <v>13291</v>
      </c>
      <c r="E431" s="47" t="s">
        <v>13291</v>
      </c>
      <c r="F431" s="47" t="s">
        <v>13291</v>
      </c>
      <c r="G431" s="47" t="s">
        <v>13291</v>
      </c>
      <c r="H431" s="158">
        <v>1431</v>
      </c>
      <c r="I431" s="156" t="s">
        <v>5566</v>
      </c>
      <c r="J431" s="156" t="s">
        <v>11833</v>
      </c>
      <c r="K431" s="47"/>
      <c r="L431" s="47"/>
      <c r="M431" s="47"/>
      <c r="N431" s="156"/>
      <c r="O431" s="156" t="s">
        <v>157</v>
      </c>
      <c r="P431" s="47"/>
      <c r="Q431" s="47"/>
      <c r="R431" s="47"/>
      <c r="S431" s="47" t="s">
        <v>13292</v>
      </c>
      <c r="T431" s="47" t="s">
        <v>13295</v>
      </c>
      <c r="U431" s="47"/>
    </row>
    <row r="432" spans="1:21" x14ac:dyDescent="0.3">
      <c r="A432" s="46">
        <v>433</v>
      </c>
      <c r="B432" s="47" t="s">
        <v>13291</v>
      </c>
      <c r="C432" s="47" t="s">
        <v>13291</v>
      </c>
      <c r="D432" s="47" t="s">
        <v>13291</v>
      </c>
      <c r="E432" s="47" t="s">
        <v>13291</v>
      </c>
      <c r="F432" s="47" t="s">
        <v>13291</v>
      </c>
      <c r="G432" s="47" t="s">
        <v>13291</v>
      </c>
      <c r="H432" s="158">
        <v>1432</v>
      </c>
      <c r="I432" s="156" t="s">
        <v>11032</v>
      </c>
      <c r="J432" s="156" t="s">
        <v>11834</v>
      </c>
      <c r="K432" s="47"/>
      <c r="L432" s="47"/>
      <c r="M432" s="47"/>
      <c r="N432" s="156"/>
      <c r="O432" s="156" t="s">
        <v>157</v>
      </c>
      <c r="P432" s="47"/>
      <c r="Q432" s="47"/>
      <c r="R432" s="47"/>
      <c r="S432" s="47" t="s">
        <v>13292</v>
      </c>
      <c r="T432" s="47" t="s">
        <v>13295</v>
      </c>
      <c r="U432" s="47"/>
    </row>
    <row r="433" spans="1:21" x14ac:dyDescent="0.3">
      <c r="A433" s="46">
        <v>434</v>
      </c>
      <c r="B433" s="47" t="s">
        <v>13291</v>
      </c>
      <c r="C433" s="47" t="s">
        <v>13291</v>
      </c>
      <c r="D433" s="47" t="s">
        <v>13291</v>
      </c>
      <c r="E433" s="47" t="s">
        <v>13291</v>
      </c>
      <c r="F433" s="47" t="s">
        <v>13291</v>
      </c>
      <c r="G433" s="47" t="s">
        <v>13291</v>
      </c>
      <c r="H433" s="158">
        <v>1433</v>
      </c>
      <c r="I433" s="156" t="s">
        <v>11033</v>
      </c>
      <c r="J433" s="156" t="s">
        <v>11835</v>
      </c>
      <c r="K433" s="47"/>
      <c r="L433" s="47"/>
      <c r="M433" s="47"/>
      <c r="N433" s="156"/>
      <c r="O433" s="156" t="s">
        <v>157</v>
      </c>
      <c r="P433" s="47"/>
      <c r="Q433" s="47"/>
      <c r="R433" s="47"/>
      <c r="S433" s="47" t="s">
        <v>13292</v>
      </c>
      <c r="T433" s="47" t="s">
        <v>13295</v>
      </c>
      <c r="U433" s="47"/>
    </row>
    <row r="434" spans="1:21" x14ac:dyDescent="0.3">
      <c r="A434" s="46">
        <v>435</v>
      </c>
      <c r="B434" s="47" t="s">
        <v>13291</v>
      </c>
      <c r="C434" s="47" t="s">
        <v>13291</v>
      </c>
      <c r="D434" s="47" t="s">
        <v>13291</v>
      </c>
      <c r="E434" s="47" t="s">
        <v>13291</v>
      </c>
      <c r="F434" s="47" t="s">
        <v>13291</v>
      </c>
      <c r="G434" s="47" t="s">
        <v>13291</v>
      </c>
      <c r="H434" s="158">
        <v>1434</v>
      </c>
      <c r="I434" s="156" t="s">
        <v>11157</v>
      </c>
      <c r="J434" s="156" t="s">
        <v>12095</v>
      </c>
      <c r="K434" s="47"/>
      <c r="L434" s="47"/>
      <c r="M434" s="47"/>
      <c r="N434" s="156"/>
      <c r="O434" s="156" t="s">
        <v>157</v>
      </c>
      <c r="P434" s="47"/>
      <c r="Q434" s="47"/>
      <c r="R434" s="47"/>
      <c r="S434" s="47" t="s">
        <v>13292</v>
      </c>
      <c r="T434" s="47" t="s">
        <v>13295</v>
      </c>
      <c r="U434" s="47"/>
    </row>
    <row r="435" spans="1:21" x14ac:dyDescent="0.3">
      <c r="A435" s="46">
        <v>436</v>
      </c>
      <c r="B435" s="47" t="s">
        <v>13291</v>
      </c>
      <c r="C435" s="47" t="s">
        <v>13291</v>
      </c>
      <c r="D435" s="47" t="s">
        <v>13291</v>
      </c>
      <c r="E435" s="47" t="s">
        <v>13291</v>
      </c>
      <c r="F435" s="47" t="s">
        <v>13291</v>
      </c>
      <c r="G435" s="47" t="s">
        <v>13291</v>
      </c>
      <c r="H435" s="158">
        <v>1435</v>
      </c>
      <c r="I435" s="156" t="s">
        <v>11158</v>
      </c>
      <c r="J435" s="156" t="s">
        <v>12096</v>
      </c>
      <c r="K435" s="47"/>
      <c r="L435" s="47"/>
      <c r="M435" s="47"/>
      <c r="N435" s="156"/>
      <c r="O435" s="156" t="s">
        <v>157</v>
      </c>
      <c r="P435" s="47"/>
      <c r="Q435" s="47"/>
      <c r="R435" s="47"/>
      <c r="S435" s="47" t="s">
        <v>13292</v>
      </c>
      <c r="T435" s="47" t="s">
        <v>13295</v>
      </c>
      <c r="U435" s="47"/>
    </row>
    <row r="436" spans="1:21" x14ac:dyDescent="0.3">
      <c r="A436" s="46">
        <v>437</v>
      </c>
      <c r="B436" s="47" t="s">
        <v>13291</v>
      </c>
      <c r="C436" s="47" t="s">
        <v>13291</v>
      </c>
      <c r="D436" s="47" t="s">
        <v>13291</v>
      </c>
      <c r="E436" s="47" t="s">
        <v>13291</v>
      </c>
      <c r="F436" s="47" t="s">
        <v>13291</v>
      </c>
      <c r="G436" s="47" t="s">
        <v>13291</v>
      </c>
      <c r="H436" s="158">
        <v>1436</v>
      </c>
      <c r="I436" s="156" t="s">
        <v>10937</v>
      </c>
      <c r="J436" s="156" t="s">
        <v>11588</v>
      </c>
      <c r="K436" s="47"/>
      <c r="L436" s="47"/>
      <c r="M436" s="47"/>
      <c r="N436" s="156"/>
      <c r="O436" s="156" t="s">
        <v>157</v>
      </c>
      <c r="P436" s="47"/>
      <c r="Q436" s="47"/>
      <c r="R436" s="47"/>
      <c r="S436" s="47" t="s">
        <v>13292</v>
      </c>
      <c r="T436" s="47" t="s">
        <v>13295</v>
      </c>
      <c r="U436" s="47"/>
    </row>
    <row r="437" spans="1:21" x14ac:dyDescent="0.3">
      <c r="A437" s="46">
        <v>438</v>
      </c>
      <c r="B437" s="47" t="s">
        <v>13291</v>
      </c>
      <c r="C437" s="47" t="s">
        <v>13291</v>
      </c>
      <c r="D437" s="47" t="s">
        <v>13291</v>
      </c>
      <c r="E437" s="47" t="s">
        <v>13291</v>
      </c>
      <c r="F437" s="47" t="s">
        <v>13291</v>
      </c>
      <c r="G437" s="47" t="s">
        <v>13291</v>
      </c>
      <c r="H437" s="158">
        <v>1437</v>
      </c>
      <c r="I437" s="156" t="s">
        <v>10938</v>
      </c>
      <c r="J437" s="156" t="s">
        <v>11589</v>
      </c>
      <c r="K437" s="47"/>
      <c r="L437" s="47"/>
      <c r="M437" s="47"/>
      <c r="N437" s="156"/>
      <c r="O437" s="156" t="s">
        <v>157</v>
      </c>
      <c r="P437" s="47"/>
      <c r="Q437" s="47"/>
      <c r="R437" s="47"/>
      <c r="S437" s="47" t="s">
        <v>13292</v>
      </c>
      <c r="T437" s="47" t="s">
        <v>13295</v>
      </c>
      <c r="U437" s="47"/>
    </row>
    <row r="438" spans="1:21" x14ac:dyDescent="0.3">
      <c r="A438" s="46">
        <v>439</v>
      </c>
      <c r="B438" s="47" t="s">
        <v>13291</v>
      </c>
      <c r="C438" s="47" t="s">
        <v>13291</v>
      </c>
      <c r="D438" s="47" t="s">
        <v>13291</v>
      </c>
      <c r="E438" s="47" t="s">
        <v>13291</v>
      </c>
      <c r="F438" s="47" t="s">
        <v>13291</v>
      </c>
      <c r="G438" s="47" t="s">
        <v>13291</v>
      </c>
      <c r="H438" s="158">
        <v>1438</v>
      </c>
      <c r="I438" s="156" t="s">
        <v>11034</v>
      </c>
      <c r="J438" s="156" t="s">
        <v>11836</v>
      </c>
      <c r="K438" s="47"/>
      <c r="L438" s="47"/>
      <c r="M438" s="47"/>
      <c r="N438" s="156"/>
      <c r="O438" s="156" t="s">
        <v>157</v>
      </c>
      <c r="P438" s="47"/>
      <c r="Q438" s="47"/>
      <c r="R438" s="47"/>
      <c r="S438" s="47" t="s">
        <v>13292</v>
      </c>
      <c r="T438" s="47" t="s">
        <v>13295</v>
      </c>
      <c r="U438" s="47"/>
    </row>
    <row r="439" spans="1:21" x14ac:dyDescent="0.3">
      <c r="A439" s="46">
        <v>440</v>
      </c>
      <c r="B439" s="47" t="s">
        <v>13291</v>
      </c>
      <c r="C439" s="47" t="s">
        <v>13291</v>
      </c>
      <c r="D439" s="47" t="s">
        <v>13291</v>
      </c>
      <c r="E439" s="47" t="s">
        <v>13291</v>
      </c>
      <c r="F439" s="47" t="s">
        <v>13291</v>
      </c>
      <c r="G439" s="47" t="s">
        <v>13291</v>
      </c>
      <c r="H439" s="158">
        <v>1439</v>
      </c>
      <c r="I439" s="156" t="s">
        <v>5567</v>
      </c>
      <c r="J439" s="156" t="s">
        <v>12160</v>
      </c>
      <c r="K439" s="47"/>
      <c r="L439" s="47"/>
      <c r="M439" s="47"/>
      <c r="N439" s="156"/>
      <c r="O439" s="156" t="s">
        <v>157</v>
      </c>
      <c r="P439" s="47"/>
      <c r="Q439" s="47"/>
      <c r="R439" s="47"/>
      <c r="S439" s="47" t="s">
        <v>13292</v>
      </c>
      <c r="T439" s="47" t="s">
        <v>13295</v>
      </c>
      <c r="U439" s="47"/>
    </row>
    <row r="440" spans="1:21" x14ac:dyDescent="0.3">
      <c r="A440" s="46">
        <v>441</v>
      </c>
      <c r="B440" s="47" t="s">
        <v>13291</v>
      </c>
      <c r="C440" s="47" t="s">
        <v>13291</v>
      </c>
      <c r="D440" s="47" t="s">
        <v>13291</v>
      </c>
      <c r="E440" s="47" t="s">
        <v>13291</v>
      </c>
      <c r="F440" s="47" t="s">
        <v>13291</v>
      </c>
      <c r="G440" s="47" t="s">
        <v>13291</v>
      </c>
      <c r="H440" s="158">
        <v>1440</v>
      </c>
      <c r="I440" s="156" t="s">
        <v>5568</v>
      </c>
      <c r="J440" s="156" t="s">
        <v>11647</v>
      </c>
      <c r="K440" s="47"/>
      <c r="L440" s="47"/>
      <c r="M440" s="47"/>
      <c r="N440" s="156"/>
      <c r="O440" s="156" t="s">
        <v>157</v>
      </c>
      <c r="P440" s="47"/>
      <c r="Q440" s="47"/>
      <c r="R440" s="47"/>
      <c r="S440" s="47" t="s">
        <v>13292</v>
      </c>
      <c r="T440" s="47" t="s">
        <v>13295</v>
      </c>
      <c r="U440" s="47"/>
    </row>
    <row r="441" spans="1:21" x14ac:dyDescent="0.3">
      <c r="A441" s="46">
        <v>442</v>
      </c>
      <c r="B441" s="47" t="s">
        <v>13291</v>
      </c>
      <c r="C441" s="47" t="s">
        <v>13291</v>
      </c>
      <c r="D441" s="47" t="s">
        <v>13291</v>
      </c>
      <c r="E441" s="47" t="s">
        <v>13291</v>
      </c>
      <c r="F441" s="47" t="s">
        <v>13291</v>
      </c>
      <c r="G441" s="47" t="s">
        <v>13291</v>
      </c>
      <c r="H441" s="158">
        <v>1441</v>
      </c>
      <c r="I441" s="156" t="s">
        <v>5569</v>
      </c>
      <c r="J441" s="156" t="s">
        <v>11837</v>
      </c>
      <c r="K441" s="47"/>
      <c r="L441" s="47"/>
      <c r="M441" s="47"/>
      <c r="N441" s="156"/>
      <c r="O441" s="156" t="s">
        <v>157</v>
      </c>
      <c r="P441" s="47"/>
      <c r="Q441" s="47"/>
      <c r="R441" s="47"/>
      <c r="S441" s="47" t="s">
        <v>13292</v>
      </c>
      <c r="T441" s="47" t="s">
        <v>13295</v>
      </c>
      <c r="U441" s="47"/>
    </row>
    <row r="442" spans="1:21" x14ac:dyDescent="0.3">
      <c r="A442" s="46">
        <v>443</v>
      </c>
      <c r="B442" s="47" t="s">
        <v>13291</v>
      </c>
      <c r="C442" s="47" t="s">
        <v>13291</v>
      </c>
      <c r="D442" s="47" t="s">
        <v>13291</v>
      </c>
      <c r="E442" s="47" t="s">
        <v>13291</v>
      </c>
      <c r="F442" s="47" t="s">
        <v>13291</v>
      </c>
      <c r="G442" s="47" t="s">
        <v>13291</v>
      </c>
      <c r="H442" s="158">
        <v>1442</v>
      </c>
      <c r="I442" s="156" t="s">
        <v>5570</v>
      </c>
      <c r="J442" s="156" t="s">
        <v>11648</v>
      </c>
      <c r="K442" s="47"/>
      <c r="L442" s="47"/>
      <c r="M442" s="47"/>
      <c r="N442" s="156"/>
      <c r="O442" s="156" t="s">
        <v>157</v>
      </c>
      <c r="P442" s="47"/>
      <c r="Q442" s="47"/>
      <c r="R442" s="47"/>
      <c r="S442" s="47" t="s">
        <v>13292</v>
      </c>
      <c r="T442" s="47" t="s">
        <v>13295</v>
      </c>
      <c r="U442" s="47"/>
    </row>
    <row r="443" spans="1:21" x14ac:dyDescent="0.3">
      <c r="A443" s="46">
        <v>444</v>
      </c>
      <c r="B443" s="47" t="s">
        <v>13291</v>
      </c>
      <c r="C443" s="47" t="s">
        <v>13291</v>
      </c>
      <c r="D443" s="47" t="s">
        <v>13291</v>
      </c>
      <c r="E443" s="47" t="s">
        <v>13291</v>
      </c>
      <c r="F443" s="47" t="s">
        <v>13291</v>
      </c>
      <c r="G443" s="47" t="s">
        <v>13291</v>
      </c>
      <c r="H443" s="158">
        <v>1443</v>
      </c>
      <c r="I443" s="156" t="s">
        <v>5571</v>
      </c>
      <c r="J443" s="156" t="s">
        <v>11590</v>
      </c>
      <c r="K443" s="47"/>
      <c r="L443" s="47"/>
      <c r="M443" s="47"/>
      <c r="N443" s="156"/>
      <c r="O443" s="156" t="s">
        <v>157</v>
      </c>
      <c r="P443" s="47"/>
      <c r="Q443" s="47"/>
      <c r="R443" s="47"/>
      <c r="S443" s="47" t="s">
        <v>13292</v>
      </c>
      <c r="T443" s="47" t="s">
        <v>13295</v>
      </c>
      <c r="U443" s="47"/>
    </row>
    <row r="444" spans="1:21" x14ac:dyDescent="0.3">
      <c r="A444" s="46">
        <v>446</v>
      </c>
      <c r="B444" s="47" t="s">
        <v>13291</v>
      </c>
      <c r="C444" s="47" t="s">
        <v>13291</v>
      </c>
      <c r="D444" s="47" t="s">
        <v>13291</v>
      </c>
      <c r="E444" s="47" t="s">
        <v>13291</v>
      </c>
      <c r="F444" s="47" t="s">
        <v>13291</v>
      </c>
      <c r="G444" s="47" t="s">
        <v>13291</v>
      </c>
      <c r="H444" s="158">
        <v>1445</v>
      </c>
      <c r="I444" s="156" t="s">
        <v>11159</v>
      </c>
      <c r="J444" s="156" t="s">
        <v>12097</v>
      </c>
      <c r="K444" s="47"/>
      <c r="L444" s="47"/>
      <c r="M444" s="47"/>
      <c r="N444" s="156"/>
      <c r="O444" s="156" t="s">
        <v>157</v>
      </c>
      <c r="P444" s="47"/>
      <c r="Q444" s="47"/>
      <c r="R444" s="47"/>
      <c r="S444" s="47" t="s">
        <v>13292</v>
      </c>
      <c r="T444" s="47" t="s">
        <v>13295</v>
      </c>
      <c r="U444" s="47"/>
    </row>
    <row r="445" spans="1:21" x14ac:dyDescent="0.3">
      <c r="A445" s="46">
        <v>447</v>
      </c>
      <c r="B445" s="47" t="s">
        <v>13291</v>
      </c>
      <c r="C445" s="47" t="s">
        <v>13291</v>
      </c>
      <c r="D445" s="47" t="s">
        <v>13291</v>
      </c>
      <c r="E445" s="47" t="s">
        <v>13291</v>
      </c>
      <c r="F445" s="47" t="s">
        <v>13291</v>
      </c>
      <c r="G445" s="47" t="s">
        <v>13291</v>
      </c>
      <c r="H445" s="158">
        <v>1446</v>
      </c>
      <c r="I445" s="156" t="s">
        <v>5573</v>
      </c>
      <c r="J445" s="156" t="s">
        <v>11965</v>
      </c>
      <c r="K445" s="47"/>
      <c r="L445" s="47"/>
      <c r="M445" s="47"/>
      <c r="N445" s="156"/>
      <c r="O445" s="156" t="s">
        <v>157</v>
      </c>
      <c r="P445" s="47"/>
      <c r="Q445" s="47"/>
      <c r="R445" s="47"/>
      <c r="S445" s="47" t="s">
        <v>13292</v>
      </c>
      <c r="T445" s="47" t="s">
        <v>13295</v>
      </c>
      <c r="U445" s="47"/>
    </row>
    <row r="446" spans="1:21" x14ac:dyDescent="0.3">
      <c r="A446" s="46">
        <v>448</v>
      </c>
      <c r="B446" s="47" t="s">
        <v>13291</v>
      </c>
      <c r="C446" s="47" t="s">
        <v>13291</v>
      </c>
      <c r="D446" s="47" t="s">
        <v>13291</v>
      </c>
      <c r="E446" s="47" t="s">
        <v>13291</v>
      </c>
      <c r="F446" s="47" t="s">
        <v>13291</v>
      </c>
      <c r="G446" s="47" t="s">
        <v>13291</v>
      </c>
      <c r="H446" s="158">
        <v>1447</v>
      </c>
      <c r="I446" s="156" t="s">
        <v>5574</v>
      </c>
      <c r="J446" s="156" t="s">
        <v>12161</v>
      </c>
      <c r="K446" s="47"/>
      <c r="L446" s="47"/>
      <c r="M446" s="47"/>
      <c r="N446" s="156"/>
      <c r="O446" s="156" t="s">
        <v>157</v>
      </c>
      <c r="P446" s="47"/>
      <c r="Q446" s="47"/>
      <c r="R446" s="47"/>
      <c r="S446" s="47" t="s">
        <v>13292</v>
      </c>
      <c r="T446" s="47" t="s">
        <v>13295</v>
      </c>
      <c r="U446" s="47"/>
    </row>
    <row r="447" spans="1:21" x14ac:dyDescent="0.3">
      <c r="A447" s="46">
        <v>449</v>
      </c>
      <c r="B447" s="47" t="s">
        <v>13291</v>
      </c>
      <c r="C447" s="47" t="s">
        <v>13291</v>
      </c>
      <c r="D447" s="47" t="s">
        <v>13291</v>
      </c>
      <c r="E447" s="47" t="s">
        <v>13291</v>
      </c>
      <c r="F447" s="47" t="s">
        <v>13291</v>
      </c>
      <c r="G447" s="47" t="s">
        <v>13291</v>
      </c>
      <c r="H447" s="158">
        <v>1448</v>
      </c>
      <c r="I447" s="156" t="s">
        <v>11160</v>
      </c>
      <c r="J447" s="156" t="s">
        <v>12098</v>
      </c>
      <c r="K447" s="47"/>
      <c r="L447" s="47"/>
      <c r="M447" s="47"/>
      <c r="N447" s="156"/>
      <c r="O447" s="156" t="s">
        <v>157</v>
      </c>
      <c r="P447" s="47"/>
      <c r="Q447" s="47"/>
      <c r="R447" s="47"/>
      <c r="S447" s="47" t="s">
        <v>13292</v>
      </c>
      <c r="T447" s="47" t="s">
        <v>13295</v>
      </c>
      <c r="U447" s="47"/>
    </row>
    <row r="448" spans="1:21" x14ac:dyDescent="0.3">
      <c r="A448" s="46">
        <v>450</v>
      </c>
      <c r="B448" s="47" t="s">
        <v>13291</v>
      </c>
      <c r="C448" s="47" t="s">
        <v>13291</v>
      </c>
      <c r="D448" s="47" t="s">
        <v>13291</v>
      </c>
      <c r="E448" s="47" t="s">
        <v>13291</v>
      </c>
      <c r="F448" s="47" t="s">
        <v>13291</v>
      </c>
      <c r="G448" s="47" t="s">
        <v>13291</v>
      </c>
      <c r="H448" s="158">
        <v>1449</v>
      </c>
      <c r="I448" s="156" t="s">
        <v>11035</v>
      </c>
      <c r="J448" s="156" t="s">
        <v>11838</v>
      </c>
      <c r="K448" s="47"/>
      <c r="L448" s="47"/>
      <c r="M448" s="47"/>
      <c r="N448" s="156"/>
      <c r="O448" s="156" t="s">
        <v>157</v>
      </c>
      <c r="P448" s="47"/>
      <c r="Q448" s="47"/>
      <c r="R448" s="47"/>
      <c r="S448" s="47" t="s">
        <v>13292</v>
      </c>
      <c r="T448" s="47" t="s">
        <v>13295</v>
      </c>
      <c r="U448" s="47"/>
    </row>
    <row r="449" spans="1:21" x14ac:dyDescent="0.3">
      <c r="A449" s="46">
        <v>451</v>
      </c>
      <c r="B449" s="47" t="s">
        <v>13291</v>
      </c>
      <c r="C449" s="47" t="s">
        <v>13291</v>
      </c>
      <c r="D449" s="47" t="s">
        <v>13291</v>
      </c>
      <c r="E449" s="47" t="s">
        <v>13291</v>
      </c>
      <c r="F449" s="47" t="s">
        <v>13291</v>
      </c>
      <c r="G449" s="47" t="s">
        <v>13291</v>
      </c>
      <c r="H449" s="158">
        <v>1450</v>
      </c>
      <c r="I449" s="156" t="s">
        <v>5575</v>
      </c>
      <c r="J449" s="156" t="s">
        <v>11839</v>
      </c>
      <c r="K449" s="47"/>
      <c r="L449" s="47"/>
      <c r="M449" s="47"/>
      <c r="N449" s="156"/>
      <c r="O449" s="156" t="s">
        <v>157</v>
      </c>
      <c r="P449" s="47"/>
      <c r="Q449" s="47"/>
      <c r="R449" s="47"/>
      <c r="S449" s="47" t="s">
        <v>13292</v>
      </c>
      <c r="T449" s="47" t="s">
        <v>13295</v>
      </c>
      <c r="U449" s="47"/>
    </row>
    <row r="450" spans="1:21" x14ac:dyDescent="0.3">
      <c r="A450" s="46">
        <v>452</v>
      </c>
      <c r="B450" s="47" t="s">
        <v>13291</v>
      </c>
      <c r="C450" s="47" t="s">
        <v>13291</v>
      </c>
      <c r="D450" s="47" t="s">
        <v>13291</v>
      </c>
      <c r="E450" s="47" t="s">
        <v>13291</v>
      </c>
      <c r="F450" s="47" t="s">
        <v>13291</v>
      </c>
      <c r="G450" s="47" t="s">
        <v>13291</v>
      </c>
      <c r="H450" s="158">
        <v>1451</v>
      </c>
      <c r="I450" s="156" t="s">
        <v>5576</v>
      </c>
      <c r="J450" s="156" t="s">
        <v>11483</v>
      </c>
      <c r="K450" s="47"/>
      <c r="L450" s="47"/>
      <c r="M450" s="47"/>
      <c r="N450" s="156"/>
      <c r="O450" s="156" t="s">
        <v>157</v>
      </c>
      <c r="P450" s="47"/>
      <c r="Q450" s="47"/>
      <c r="R450" s="47"/>
      <c r="S450" s="47" t="s">
        <v>13292</v>
      </c>
      <c r="T450" s="47" t="s">
        <v>13295</v>
      </c>
      <c r="U450" s="47"/>
    </row>
    <row r="451" spans="1:21" x14ac:dyDescent="0.3">
      <c r="A451" s="46">
        <v>453</v>
      </c>
      <c r="B451" s="47" t="s">
        <v>13291</v>
      </c>
      <c r="C451" s="47" t="s">
        <v>13291</v>
      </c>
      <c r="D451" s="47" t="s">
        <v>13291</v>
      </c>
      <c r="E451" s="47" t="s">
        <v>13291</v>
      </c>
      <c r="F451" s="47" t="s">
        <v>13291</v>
      </c>
      <c r="G451" s="47" t="s">
        <v>13291</v>
      </c>
      <c r="H451" s="158">
        <v>1452</v>
      </c>
      <c r="I451" s="156" t="s">
        <v>5577</v>
      </c>
      <c r="J451" s="156" t="s">
        <v>11508</v>
      </c>
      <c r="K451" s="47"/>
      <c r="L451" s="47"/>
      <c r="M451" s="47"/>
      <c r="N451" s="156"/>
      <c r="O451" s="156" t="s">
        <v>157</v>
      </c>
      <c r="P451" s="47"/>
      <c r="Q451" s="47"/>
      <c r="R451" s="47"/>
      <c r="S451" s="47" t="s">
        <v>13292</v>
      </c>
      <c r="T451" s="47" t="s">
        <v>13295</v>
      </c>
      <c r="U451" s="47"/>
    </row>
    <row r="452" spans="1:21" x14ac:dyDescent="0.3">
      <c r="A452" s="46">
        <v>454</v>
      </c>
      <c r="B452" s="47" t="s">
        <v>13291</v>
      </c>
      <c r="C452" s="47" t="s">
        <v>13291</v>
      </c>
      <c r="D452" s="47" t="s">
        <v>13291</v>
      </c>
      <c r="E452" s="47" t="s">
        <v>13291</v>
      </c>
      <c r="F452" s="47" t="s">
        <v>13291</v>
      </c>
      <c r="G452" s="47" t="s">
        <v>13291</v>
      </c>
      <c r="H452" s="158">
        <v>1453</v>
      </c>
      <c r="I452" s="156" t="s">
        <v>11133</v>
      </c>
      <c r="J452" s="156" t="s">
        <v>12026</v>
      </c>
      <c r="K452" s="47"/>
      <c r="L452" s="47"/>
      <c r="M452" s="47"/>
      <c r="N452" s="156"/>
      <c r="O452" s="156" t="s">
        <v>157</v>
      </c>
      <c r="P452" s="47"/>
      <c r="Q452" s="47"/>
      <c r="R452" s="47"/>
      <c r="S452" s="47" t="s">
        <v>13292</v>
      </c>
      <c r="T452" s="47" t="s">
        <v>13295</v>
      </c>
      <c r="U452" s="47"/>
    </row>
    <row r="453" spans="1:21" x14ac:dyDescent="0.3">
      <c r="A453" s="46">
        <v>455</v>
      </c>
      <c r="B453" s="47" t="s">
        <v>13291</v>
      </c>
      <c r="C453" s="47" t="s">
        <v>13291</v>
      </c>
      <c r="D453" s="47" t="s">
        <v>13291</v>
      </c>
      <c r="E453" s="47" t="s">
        <v>13291</v>
      </c>
      <c r="F453" s="47" t="s">
        <v>13291</v>
      </c>
      <c r="G453" s="47" t="s">
        <v>13291</v>
      </c>
      <c r="H453" s="158">
        <v>1454</v>
      </c>
      <c r="I453" s="156" t="s">
        <v>11161</v>
      </c>
      <c r="J453" s="156" t="s">
        <v>12099</v>
      </c>
      <c r="K453" s="47"/>
      <c r="L453" s="47"/>
      <c r="M453" s="47"/>
      <c r="N453" s="156"/>
      <c r="O453" s="156" t="s">
        <v>157</v>
      </c>
      <c r="P453" s="47"/>
      <c r="Q453" s="47"/>
      <c r="R453" s="47"/>
      <c r="S453" s="47" t="s">
        <v>13292</v>
      </c>
      <c r="T453" s="47" t="s">
        <v>13295</v>
      </c>
      <c r="U453" s="47"/>
    </row>
    <row r="454" spans="1:21" x14ac:dyDescent="0.3">
      <c r="A454" s="46">
        <v>456</v>
      </c>
      <c r="B454" s="47" t="s">
        <v>13291</v>
      </c>
      <c r="C454" s="47" t="s">
        <v>13291</v>
      </c>
      <c r="D454" s="47" t="s">
        <v>13291</v>
      </c>
      <c r="E454" s="47" t="s">
        <v>13291</v>
      </c>
      <c r="F454" s="47" t="s">
        <v>13291</v>
      </c>
      <c r="G454" s="47" t="s">
        <v>13291</v>
      </c>
      <c r="H454" s="158">
        <v>1455</v>
      </c>
      <c r="I454" s="156" t="s">
        <v>11036</v>
      </c>
      <c r="J454" s="156" t="s">
        <v>11840</v>
      </c>
      <c r="K454" s="47"/>
      <c r="L454" s="47"/>
      <c r="M454" s="47"/>
      <c r="N454" s="156"/>
      <c r="O454" s="156" t="s">
        <v>157</v>
      </c>
      <c r="P454" s="47"/>
      <c r="Q454" s="47"/>
      <c r="R454" s="47"/>
      <c r="S454" s="47" t="s">
        <v>13292</v>
      </c>
      <c r="T454" s="47" t="s">
        <v>13295</v>
      </c>
      <c r="U454" s="47"/>
    </row>
    <row r="455" spans="1:21" x14ac:dyDescent="0.3">
      <c r="A455" s="46">
        <v>457</v>
      </c>
      <c r="B455" s="47" t="s">
        <v>13291</v>
      </c>
      <c r="C455" s="47" t="s">
        <v>13291</v>
      </c>
      <c r="D455" s="47" t="s">
        <v>13291</v>
      </c>
      <c r="E455" s="47" t="s">
        <v>13291</v>
      </c>
      <c r="F455" s="47" t="s">
        <v>13291</v>
      </c>
      <c r="G455" s="47" t="s">
        <v>13291</v>
      </c>
      <c r="H455" s="158">
        <v>1456</v>
      </c>
      <c r="I455" s="156" t="s">
        <v>5578</v>
      </c>
      <c r="J455" s="156" t="s">
        <v>12014</v>
      </c>
      <c r="K455" s="47"/>
      <c r="L455" s="47"/>
      <c r="M455" s="47"/>
      <c r="N455" s="156"/>
      <c r="O455" s="156" t="s">
        <v>157</v>
      </c>
      <c r="P455" s="47"/>
      <c r="Q455" s="47"/>
      <c r="R455" s="47"/>
      <c r="S455" s="47" t="s">
        <v>13292</v>
      </c>
      <c r="T455" s="47" t="s">
        <v>13295</v>
      </c>
      <c r="U455" s="47"/>
    </row>
    <row r="456" spans="1:21" x14ac:dyDescent="0.3">
      <c r="A456" s="46">
        <v>458</v>
      </c>
      <c r="B456" s="47" t="s">
        <v>13291</v>
      </c>
      <c r="C456" s="47" t="s">
        <v>13291</v>
      </c>
      <c r="D456" s="47" t="s">
        <v>13291</v>
      </c>
      <c r="E456" s="47" t="s">
        <v>13291</v>
      </c>
      <c r="F456" s="47" t="s">
        <v>13291</v>
      </c>
      <c r="G456" s="47" t="s">
        <v>13291</v>
      </c>
      <c r="H456" s="158">
        <v>1457</v>
      </c>
      <c r="I456" s="156" t="s">
        <v>5579</v>
      </c>
      <c r="J456" s="156" t="s">
        <v>11841</v>
      </c>
      <c r="K456" s="47"/>
      <c r="L456" s="47"/>
      <c r="M456" s="47"/>
      <c r="N456" s="156"/>
      <c r="O456" s="156" t="s">
        <v>157</v>
      </c>
      <c r="P456" s="47"/>
      <c r="Q456" s="47"/>
      <c r="R456" s="47"/>
      <c r="S456" s="47" t="s">
        <v>13292</v>
      </c>
      <c r="T456" s="47" t="s">
        <v>13295</v>
      </c>
      <c r="U456" s="47"/>
    </row>
    <row r="457" spans="1:21" x14ac:dyDescent="0.3">
      <c r="A457" s="46">
        <v>459</v>
      </c>
      <c r="B457" s="47" t="s">
        <v>13291</v>
      </c>
      <c r="C457" s="47" t="s">
        <v>13291</v>
      </c>
      <c r="D457" s="47" t="s">
        <v>13291</v>
      </c>
      <c r="E457" s="47" t="s">
        <v>13291</v>
      </c>
      <c r="F457" s="47" t="s">
        <v>13291</v>
      </c>
      <c r="G457" s="47" t="s">
        <v>13291</v>
      </c>
      <c r="H457" s="158">
        <v>1458</v>
      </c>
      <c r="I457" s="156" t="s">
        <v>11037</v>
      </c>
      <c r="J457" s="156" t="s">
        <v>11842</v>
      </c>
      <c r="K457" s="47"/>
      <c r="L457" s="47"/>
      <c r="M457" s="47"/>
      <c r="N457" s="156"/>
      <c r="O457" s="156" t="s">
        <v>157</v>
      </c>
      <c r="P457" s="47"/>
      <c r="Q457" s="47"/>
      <c r="R457" s="47"/>
      <c r="S457" s="47" t="s">
        <v>13292</v>
      </c>
      <c r="T457" s="47" t="s">
        <v>13295</v>
      </c>
      <c r="U457" s="47"/>
    </row>
    <row r="458" spans="1:21" x14ac:dyDescent="0.3">
      <c r="A458" s="46">
        <v>460</v>
      </c>
      <c r="B458" s="47" t="s">
        <v>13291</v>
      </c>
      <c r="C458" s="47" t="s">
        <v>13291</v>
      </c>
      <c r="D458" s="47" t="s">
        <v>13291</v>
      </c>
      <c r="E458" s="47" t="s">
        <v>13291</v>
      </c>
      <c r="F458" s="47" t="s">
        <v>13291</v>
      </c>
      <c r="G458" s="47" t="s">
        <v>13291</v>
      </c>
      <c r="H458" s="158">
        <v>1459</v>
      </c>
      <c r="I458" s="156" t="s">
        <v>10921</v>
      </c>
      <c r="J458" s="156" t="s">
        <v>11509</v>
      </c>
      <c r="K458" s="47"/>
      <c r="L458" s="47"/>
      <c r="M458" s="47"/>
      <c r="N458" s="156"/>
      <c r="O458" s="156" t="s">
        <v>157</v>
      </c>
      <c r="P458" s="47"/>
      <c r="Q458" s="47"/>
      <c r="R458" s="47"/>
      <c r="S458" s="47" t="s">
        <v>13292</v>
      </c>
      <c r="T458" s="47" t="s">
        <v>13295</v>
      </c>
      <c r="U458" s="47"/>
    </row>
    <row r="459" spans="1:21" x14ac:dyDescent="0.3">
      <c r="A459" s="46">
        <v>461</v>
      </c>
      <c r="B459" s="47" t="s">
        <v>13291</v>
      </c>
      <c r="C459" s="47" t="s">
        <v>13291</v>
      </c>
      <c r="D459" s="47" t="s">
        <v>13291</v>
      </c>
      <c r="E459" s="47" t="s">
        <v>13291</v>
      </c>
      <c r="F459" s="47" t="s">
        <v>13291</v>
      </c>
      <c r="G459" s="47" t="s">
        <v>13291</v>
      </c>
      <c r="H459" s="158">
        <v>1460</v>
      </c>
      <c r="I459" s="156" t="s">
        <v>5580</v>
      </c>
      <c r="J459" s="156" t="s">
        <v>12100</v>
      </c>
      <c r="K459" s="47"/>
      <c r="L459" s="47"/>
      <c r="M459" s="47"/>
      <c r="N459" s="156"/>
      <c r="O459" s="156" t="s">
        <v>157</v>
      </c>
      <c r="P459" s="47"/>
      <c r="Q459" s="47"/>
      <c r="R459" s="47"/>
      <c r="S459" s="47" t="s">
        <v>13292</v>
      </c>
      <c r="T459" s="47" t="s">
        <v>13295</v>
      </c>
      <c r="U459" s="47"/>
    </row>
    <row r="460" spans="1:21" x14ac:dyDescent="0.3">
      <c r="A460" s="46">
        <v>462</v>
      </c>
      <c r="B460" s="47" t="s">
        <v>13291</v>
      </c>
      <c r="C460" s="47" t="s">
        <v>13291</v>
      </c>
      <c r="D460" s="47" t="s">
        <v>13291</v>
      </c>
      <c r="E460" s="47" t="s">
        <v>13291</v>
      </c>
      <c r="F460" s="47" t="s">
        <v>13291</v>
      </c>
      <c r="G460" s="47" t="s">
        <v>13291</v>
      </c>
      <c r="H460" s="158">
        <v>1461</v>
      </c>
      <c r="I460" s="156" t="s">
        <v>10922</v>
      </c>
      <c r="J460" s="156" t="s">
        <v>11510</v>
      </c>
      <c r="K460" s="47"/>
      <c r="L460" s="47"/>
      <c r="M460" s="47"/>
      <c r="N460" s="156"/>
      <c r="O460" s="156" t="s">
        <v>157</v>
      </c>
      <c r="P460" s="47"/>
      <c r="Q460" s="47"/>
      <c r="R460" s="47"/>
      <c r="S460" s="47" t="s">
        <v>13292</v>
      </c>
      <c r="T460" s="47" t="s">
        <v>13295</v>
      </c>
      <c r="U460" s="47"/>
    </row>
    <row r="461" spans="1:21" x14ac:dyDescent="0.3">
      <c r="A461" s="46">
        <v>463</v>
      </c>
      <c r="B461" s="47" t="s">
        <v>13291</v>
      </c>
      <c r="C461" s="47" t="s">
        <v>13291</v>
      </c>
      <c r="D461" s="47" t="s">
        <v>13291</v>
      </c>
      <c r="E461" s="47" t="s">
        <v>13291</v>
      </c>
      <c r="F461" s="47" t="s">
        <v>13291</v>
      </c>
      <c r="G461" s="47" t="s">
        <v>13291</v>
      </c>
      <c r="H461" s="158">
        <v>1462</v>
      </c>
      <c r="I461" s="156" t="s">
        <v>11038</v>
      </c>
      <c r="J461" s="156" t="s">
        <v>11843</v>
      </c>
      <c r="K461" s="47"/>
      <c r="L461" s="47"/>
      <c r="M461" s="47"/>
      <c r="N461" s="156"/>
      <c r="O461" s="156" t="s">
        <v>157</v>
      </c>
      <c r="P461" s="47"/>
      <c r="Q461" s="47"/>
      <c r="R461" s="47"/>
      <c r="S461" s="47" t="s">
        <v>13292</v>
      </c>
      <c r="T461" s="47" t="s">
        <v>13295</v>
      </c>
      <c r="U461" s="47"/>
    </row>
    <row r="462" spans="1:21" x14ac:dyDescent="0.3">
      <c r="A462" s="46">
        <v>464</v>
      </c>
      <c r="B462" s="47" t="s">
        <v>13291</v>
      </c>
      <c r="C462" s="47" t="s">
        <v>13291</v>
      </c>
      <c r="D462" s="47" t="s">
        <v>13291</v>
      </c>
      <c r="E462" s="47" t="s">
        <v>13291</v>
      </c>
      <c r="F462" s="47" t="s">
        <v>13291</v>
      </c>
      <c r="G462" s="47" t="s">
        <v>13291</v>
      </c>
      <c r="H462" s="158">
        <v>1463</v>
      </c>
      <c r="I462" s="156" t="s">
        <v>10923</v>
      </c>
      <c r="J462" s="156" t="s">
        <v>11511</v>
      </c>
      <c r="K462" s="47"/>
      <c r="L462" s="47"/>
      <c r="M462" s="47"/>
      <c r="N462" s="156"/>
      <c r="O462" s="156" t="s">
        <v>157</v>
      </c>
      <c r="P462" s="47"/>
      <c r="Q462" s="47"/>
      <c r="R462" s="47"/>
      <c r="S462" s="47" t="s">
        <v>13292</v>
      </c>
      <c r="T462" s="47" t="s">
        <v>13295</v>
      </c>
      <c r="U462" s="47"/>
    </row>
    <row r="463" spans="1:21" x14ac:dyDescent="0.3">
      <c r="A463" s="46">
        <v>465</v>
      </c>
      <c r="B463" s="47" t="s">
        <v>13291</v>
      </c>
      <c r="C463" s="47" t="s">
        <v>13291</v>
      </c>
      <c r="D463" s="47" t="s">
        <v>13291</v>
      </c>
      <c r="E463" s="47" t="s">
        <v>13291</v>
      </c>
      <c r="F463" s="47" t="s">
        <v>13291</v>
      </c>
      <c r="G463" s="47" t="s">
        <v>13291</v>
      </c>
      <c r="H463" s="158">
        <v>1464</v>
      </c>
      <c r="I463" s="156" t="s">
        <v>11039</v>
      </c>
      <c r="J463" s="156" t="s">
        <v>11844</v>
      </c>
      <c r="K463" s="47"/>
      <c r="L463" s="47"/>
      <c r="M463" s="47"/>
      <c r="N463" s="156"/>
      <c r="O463" s="156" t="s">
        <v>157</v>
      </c>
      <c r="P463" s="47"/>
      <c r="Q463" s="47"/>
      <c r="R463" s="47"/>
      <c r="S463" s="47" t="s">
        <v>13292</v>
      </c>
      <c r="T463" s="47" t="s">
        <v>13295</v>
      </c>
      <c r="U463" s="47"/>
    </row>
    <row r="464" spans="1:21" x14ac:dyDescent="0.3">
      <c r="A464" s="46">
        <v>466</v>
      </c>
      <c r="B464" s="47" t="s">
        <v>13291</v>
      </c>
      <c r="C464" s="47" t="s">
        <v>13291</v>
      </c>
      <c r="D464" s="47" t="s">
        <v>13291</v>
      </c>
      <c r="E464" s="47" t="s">
        <v>13291</v>
      </c>
      <c r="F464" s="47" t="s">
        <v>13291</v>
      </c>
      <c r="G464" s="47" t="s">
        <v>13291</v>
      </c>
      <c r="H464" s="158">
        <v>1465</v>
      </c>
      <c r="I464" s="156" t="s">
        <v>11040</v>
      </c>
      <c r="J464" s="156" t="s">
        <v>11845</v>
      </c>
      <c r="K464" s="47"/>
      <c r="L464" s="47"/>
      <c r="M464" s="47"/>
      <c r="N464" s="156"/>
      <c r="O464" s="156" t="s">
        <v>157</v>
      </c>
      <c r="P464" s="47"/>
      <c r="Q464" s="47"/>
      <c r="R464" s="47"/>
      <c r="S464" s="47" t="s">
        <v>13292</v>
      </c>
      <c r="T464" s="47" t="s">
        <v>13295</v>
      </c>
      <c r="U464" s="47"/>
    </row>
    <row r="465" spans="1:21" x14ac:dyDescent="0.3">
      <c r="A465" s="46">
        <v>467</v>
      </c>
      <c r="B465" s="47" t="s">
        <v>13291</v>
      </c>
      <c r="C465" s="47" t="s">
        <v>13291</v>
      </c>
      <c r="D465" s="47" t="s">
        <v>13291</v>
      </c>
      <c r="E465" s="47" t="s">
        <v>13291</v>
      </c>
      <c r="F465" s="47" t="s">
        <v>13291</v>
      </c>
      <c r="G465" s="47" t="s">
        <v>13291</v>
      </c>
      <c r="H465" s="158">
        <v>1466</v>
      </c>
      <c r="I465" s="156" t="s">
        <v>5581</v>
      </c>
      <c r="J465" s="156" t="s">
        <v>11846</v>
      </c>
      <c r="K465" s="47"/>
      <c r="L465" s="47"/>
      <c r="M465" s="47"/>
      <c r="N465" s="156"/>
      <c r="O465" s="156" t="s">
        <v>157</v>
      </c>
      <c r="P465" s="47"/>
      <c r="Q465" s="47"/>
      <c r="R465" s="47"/>
      <c r="S465" s="47" t="s">
        <v>13292</v>
      </c>
      <c r="T465" s="47" t="s">
        <v>13295</v>
      </c>
      <c r="U465" s="47"/>
    </row>
    <row r="466" spans="1:21" x14ac:dyDescent="0.3">
      <c r="A466" s="46">
        <v>468</v>
      </c>
      <c r="B466" s="47" t="s">
        <v>13291</v>
      </c>
      <c r="C466" s="47" t="s">
        <v>13291</v>
      </c>
      <c r="D466" s="47" t="s">
        <v>13291</v>
      </c>
      <c r="E466" s="47" t="s">
        <v>13291</v>
      </c>
      <c r="F466" s="47" t="s">
        <v>13291</v>
      </c>
      <c r="G466" s="47" t="s">
        <v>13291</v>
      </c>
      <c r="H466" s="158">
        <v>1467</v>
      </c>
      <c r="I466" s="156" t="s">
        <v>5582</v>
      </c>
      <c r="J466" s="156" t="s">
        <v>12101</v>
      </c>
      <c r="K466" s="47"/>
      <c r="L466" s="47"/>
      <c r="M466" s="47"/>
      <c r="N466" s="156"/>
      <c r="O466" s="156" t="s">
        <v>157</v>
      </c>
      <c r="P466" s="47"/>
      <c r="Q466" s="47"/>
      <c r="R466" s="47"/>
      <c r="S466" s="47" t="s">
        <v>13292</v>
      </c>
      <c r="T466" s="47" t="s">
        <v>13295</v>
      </c>
      <c r="U466" s="47"/>
    </row>
    <row r="467" spans="1:21" x14ac:dyDescent="0.3">
      <c r="A467" s="46">
        <v>470</v>
      </c>
      <c r="B467" s="47" t="s">
        <v>13291</v>
      </c>
      <c r="C467" s="47" t="s">
        <v>13291</v>
      </c>
      <c r="D467" s="47" t="s">
        <v>13291</v>
      </c>
      <c r="E467" s="47" t="s">
        <v>13291</v>
      </c>
      <c r="F467" s="47" t="s">
        <v>13291</v>
      </c>
      <c r="G467" s="47" t="s">
        <v>13291</v>
      </c>
      <c r="H467" s="158">
        <v>1469</v>
      </c>
      <c r="I467" s="156" t="s">
        <v>5584</v>
      </c>
      <c r="J467" s="156" t="s">
        <v>12102</v>
      </c>
      <c r="K467" s="47"/>
      <c r="L467" s="47"/>
      <c r="M467" s="47"/>
      <c r="N467" s="156"/>
      <c r="O467" s="156" t="s">
        <v>157</v>
      </c>
      <c r="P467" s="47"/>
      <c r="Q467" s="47"/>
      <c r="R467" s="47"/>
      <c r="S467" s="47" t="s">
        <v>13292</v>
      </c>
      <c r="T467" s="47" t="s">
        <v>13295</v>
      </c>
      <c r="U467" s="47"/>
    </row>
    <row r="468" spans="1:21" x14ac:dyDescent="0.3">
      <c r="A468" s="46">
        <v>471</v>
      </c>
      <c r="B468" s="47" t="s">
        <v>13291</v>
      </c>
      <c r="C468" s="47" t="s">
        <v>13291</v>
      </c>
      <c r="D468" s="47" t="s">
        <v>13291</v>
      </c>
      <c r="E468" s="47" t="s">
        <v>13291</v>
      </c>
      <c r="F468" s="47" t="s">
        <v>13291</v>
      </c>
      <c r="G468" s="47" t="s">
        <v>13291</v>
      </c>
      <c r="H468" s="158">
        <v>1470</v>
      </c>
      <c r="I468" s="156" t="s">
        <v>5585</v>
      </c>
      <c r="J468" s="156" t="s">
        <v>12103</v>
      </c>
      <c r="K468" s="47"/>
      <c r="L468" s="47"/>
      <c r="M468" s="47"/>
      <c r="N468" s="156"/>
      <c r="O468" s="156" t="s">
        <v>157</v>
      </c>
      <c r="P468" s="47"/>
      <c r="Q468" s="47"/>
      <c r="R468" s="47"/>
      <c r="S468" s="47" t="s">
        <v>13292</v>
      </c>
      <c r="T468" s="47" t="s">
        <v>13295</v>
      </c>
      <c r="U468" s="47"/>
    </row>
    <row r="469" spans="1:21" x14ac:dyDescent="0.3">
      <c r="A469" s="46">
        <v>472</v>
      </c>
      <c r="B469" s="47" t="s">
        <v>13291</v>
      </c>
      <c r="C469" s="47" t="s">
        <v>13291</v>
      </c>
      <c r="D469" s="47" t="s">
        <v>13291</v>
      </c>
      <c r="E469" s="47" t="s">
        <v>13291</v>
      </c>
      <c r="F469" s="47" t="s">
        <v>13291</v>
      </c>
      <c r="G469" s="47" t="s">
        <v>13291</v>
      </c>
      <c r="H469" s="158">
        <v>1471</v>
      </c>
      <c r="I469" s="156" t="s">
        <v>5586</v>
      </c>
      <c r="J469" s="156" t="s">
        <v>12104</v>
      </c>
      <c r="K469" s="47"/>
      <c r="L469" s="47"/>
      <c r="M469" s="47"/>
      <c r="N469" s="156"/>
      <c r="O469" s="156" t="s">
        <v>157</v>
      </c>
      <c r="P469" s="47"/>
      <c r="Q469" s="47"/>
      <c r="R469" s="47"/>
      <c r="S469" s="47" t="s">
        <v>13292</v>
      </c>
      <c r="T469" s="47" t="s">
        <v>13295</v>
      </c>
      <c r="U469" s="47"/>
    </row>
    <row r="470" spans="1:21" x14ac:dyDescent="0.3">
      <c r="A470" s="46">
        <v>473</v>
      </c>
      <c r="B470" s="47" t="s">
        <v>13291</v>
      </c>
      <c r="C470" s="47" t="s">
        <v>13291</v>
      </c>
      <c r="D470" s="47" t="s">
        <v>13291</v>
      </c>
      <c r="E470" s="47" t="s">
        <v>13291</v>
      </c>
      <c r="F470" s="47" t="s">
        <v>13291</v>
      </c>
      <c r="G470" s="47" t="s">
        <v>13291</v>
      </c>
      <c r="H470" s="158">
        <v>1472</v>
      </c>
      <c r="I470" s="156" t="s">
        <v>11041</v>
      </c>
      <c r="J470" s="156" t="s">
        <v>11847</v>
      </c>
      <c r="K470" s="47"/>
      <c r="L470" s="47"/>
      <c r="M470" s="47"/>
      <c r="N470" s="156"/>
      <c r="O470" s="156" t="s">
        <v>157</v>
      </c>
      <c r="P470" s="47"/>
      <c r="Q470" s="47"/>
      <c r="R470" s="47"/>
      <c r="S470" s="47" t="s">
        <v>13292</v>
      </c>
      <c r="T470" s="47" t="s">
        <v>13295</v>
      </c>
      <c r="U470" s="47"/>
    </row>
    <row r="471" spans="1:21" x14ac:dyDescent="0.3">
      <c r="A471" s="46">
        <v>474</v>
      </c>
      <c r="B471" s="47" t="s">
        <v>13291</v>
      </c>
      <c r="C471" s="47" t="s">
        <v>13291</v>
      </c>
      <c r="D471" s="47" t="s">
        <v>13291</v>
      </c>
      <c r="E471" s="47" t="s">
        <v>13291</v>
      </c>
      <c r="F471" s="47" t="s">
        <v>13291</v>
      </c>
      <c r="G471" s="47" t="s">
        <v>13291</v>
      </c>
      <c r="H471" s="158">
        <v>1473</v>
      </c>
      <c r="I471" s="156" t="s">
        <v>11162</v>
      </c>
      <c r="J471" s="156" t="s">
        <v>12105</v>
      </c>
      <c r="K471" s="47"/>
      <c r="L471" s="47"/>
      <c r="M471" s="47"/>
      <c r="N471" s="156"/>
      <c r="O471" s="156" t="s">
        <v>157</v>
      </c>
      <c r="P471" s="47"/>
      <c r="Q471" s="47"/>
      <c r="R471" s="47"/>
      <c r="S471" s="47" t="s">
        <v>13292</v>
      </c>
      <c r="T471" s="47" t="s">
        <v>13295</v>
      </c>
      <c r="U471" s="47"/>
    </row>
    <row r="472" spans="1:21" x14ac:dyDescent="0.3">
      <c r="A472" s="46">
        <v>475</v>
      </c>
      <c r="B472" s="47" t="s">
        <v>13291</v>
      </c>
      <c r="C472" s="47" t="s">
        <v>13291</v>
      </c>
      <c r="D472" s="47" t="s">
        <v>13291</v>
      </c>
      <c r="E472" s="47" t="s">
        <v>13291</v>
      </c>
      <c r="F472" s="47" t="s">
        <v>13291</v>
      </c>
      <c r="G472" s="47" t="s">
        <v>13291</v>
      </c>
      <c r="H472" s="158">
        <v>1474</v>
      </c>
      <c r="I472" s="156" t="s">
        <v>11187</v>
      </c>
      <c r="J472" s="156" t="s">
        <v>12162</v>
      </c>
      <c r="K472" s="47"/>
      <c r="L472" s="47"/>
      <c r="M472" s="47"/>
      <c r="N472" s="156"/>
      <c r="O472" s="156" t="s">
        <v>157</v>
      </c>
      <c r="P472" s="47"/>
      <c r="Q472" s="47"/>
      <c r="R472" s="47"/>
      <c r="S472" s="47" t="s">
        <v>13292</v>
      </c>
      <c r="T472" s="47" t="s">
        <v>13295</v>
      </c>
      <c r="U472" s="47"/>
    </row>
    <row r="473" spans="1:21" x14ac:dyDescent="0.3">
      <c r="A473" s="46">
        <v>476</v>
      </c>
      <c r="B473" s="47" t="s">
        <v>13291</v>
      </c>
      <c r="C473" s="47" t="s">
        <v>13291</v>
      </c>
      <c r="D473" s="47" t="s">
        <v>13291</v>
      </c>
      <c r="E473" s="47" t="s">
        <v>13291</v>
      </c>
      <c r="F473" s="47" t="s">
        <v>13291</v>
      </c>
      <c r="G473" s="47" t="s">
        <v>13291</v>
      </c>
      <c r="H473" s="158">
        <v>1475</v>
      </c>
      <c r="I473" s="156" t="s">
        <v>11042</v>
      </c>
      <c r="J473" s="156" t="s">
        <v>11848</v>
      </c>
      <c r="K473" s="47"/>
      <c r="L473" s="47"/>
      <c r="M473" s="47"/>
      <c r="N473" s="156"/>
      <c r="O473" s="156" t="s">
        <v>157</v>
      </c>
      <c r="P473" s="47"/>
      <c r="Q473" s="47"/>
      <c r="R473" s="47"/>
      <c r="S473" s="47" t="s">
        <v>13292</v>
      </c>
      <c r="T473" s="47" t="s">
        <v>13295</v>
      </c>
      <c r="U473" s="47"/>
    </row>
    <row r="474" spans="1:21" x14ac:dyDescent="0.3">
      <c r="A474" s="46">
        <v>477</v>
      </c>
      <c r="B474" s="47" t="s">
        <v>13291</v>
      </c>
      <c r="C474" s="47" t="s">
        <v>13291</v>
      </c>
      <c r="D474" s="47" t="s">
        <v>13291</v>
      </c>
      <c r="E474" s="47" t="s">
        <v>13291</v>
      </c>
      <c r="F474" s="47" t="s">
        <v>13291</v>
      </c>
      <c r="G474" s="47" t="s">
        <v>13291</v>
      </c>
      <c r="H474" s="158">
        <v>1476</v>
      </c>
      <c r="I474" s="156" t="s">
        <v>11188</v>
      </c>
      <c r="J474" s="156" t="s">
        <v>12163</v>
      </c>
      <c r="K474" s="47"/>
      <c r="L474" s="47"/>
      <c r="M474" s="47"/>
      <c r="N474" s="156"/>
      <c r="O474" s="156" t="s">
        <v>157</v>
      </c>
      <c r="P474" s="47"/>
      <c r="Q474" s="47"/>
      <c r="R474" s="47"/>
      <c r="S474" s="47" t="s">
        <v>13292</v>
      </c>
      <c r="T474" s="47" t="s">
        <v>13295</v>
      </c>
      <c r="U474" s="47"/>
    </row>
    <row r="475" spans="1:21" x14ac:dyDescent="0.3">
      <c r="A475" s="46">
        <v>478</v>
      </c>
      <c r="B475" s="47" t="s">
        <v>13291</v>
      </c>
      <c r="C475" s="47" t="s">
        <v>13291</v>
      </c>
      <c r="D475" s="47" t="s">
        <v>13291</v>
      </c>
      <c r="E475" s="47" t="s">
        <v>13291</v>
      </c>
      <c r="F475" s="47" t="s">
        <v>13291</v>
      </c>
      <c r="G475" s="47" t="s">
        <v>13291</v>
      </c>
      <c r="H475" s="158">
        <v>1477</v>
      </c>
      <c r="I475" s="156" t="s">
        <v>11043</v>
      </c>
      <c r="J475" s="156" t="s">
        <v>11849</v>
      </c>
      <c r="K475" s="47"/>
      <c r="L475" s="47"/>
      <c r="M475" s="47"/>
      <c r="N475" s="156"/>
      <c r="O475" s="156" t="s">
        <v>157</v>
      </c>
      <c r="P475" s="47"/>
      <c r="Q475" s="47"/>
      <c r="R475" s="47"/>
      <c r="S475" s="47" t="s">
        <v>13292</v>
      </c>
      <c r="T475" s="47" t="s">
        <v>13295</v>
      </c>
      <c r="U475" s="47"/>
    </row>
    <row r="476" spans="1:21" x14ac:dyDescent="0.3">
      <c r="A476" s="46">
        <v>479</v>
      </c>
      <c r="B476" s="47" t="s">
        <v>13291</v>
      </c>
      <c r="C476" s="47" t="s">
        <v>13291</v>
      </c>
      <c r="D476" s="47" t="s">
        <v>13291</v>
      </c>
      <c r="E476" s="47" t="s">
        <v>13291</v>
      </c>
      <c r="F476" s="47" t="s">
        <v>13291</v>
      </c>
      <c r="G476" s="47" t="s">
        <v>13291</v>
      </c>
      <c r="H476" s="158">
        <v>1478</v>
      </c>
      <c r="I476" s="156" t="s">
        <v>11044</v>
      </c>
      <c r="J476" s="156" t="s">
        <v>11850</v>
      </c>
      <c r="K476" s="47"/>
      <c r="L476" s="47"/>
      <c r="M476" s="47"/>
      <c r="N476" s="156"/>
      <c r="O476" s="156" t="s">
        <v>157</v>
      </c>
      <c r="P476" s="47"/>
      <c r="Q476" s="47"/>
      <c r="R476" s="47"/>
      <c r="S476" s="47" t="s">
        <v>13292</v>
      </c>
      <c r="T476" s="47" t="s">
        <v>13295</v>
      </c>
      <c r="U476" s="47"/>
    </row>
    <row r="477" spans="1:21" x14ac:dyDescent="0.3">
      <c r="A477" s="46">
        <v>480</v>
      </c>
      <c r="B477" s="47" t="s">
        <v>13291</v>
      </c>
      <c r="C477" s="47" t="s">
        <v>13291</v>
      </c>
      <c r="D477" s="47" t="s">
        <v>13291</v>
      </c>
      <c r="E477" s="47" t="s">
        <v>13291</v>
      </c>
      <c r="F477" s="47" t="s">
        <v>13291</v>
      </c>
      <c r="G477" s="47" t="s">
        <v>13291</v>
      </c>
      <c r="H477" s="158">
        <v>1479</v>
      </c>
      <c r="I477" s="156" t="s">
        <v>11045</v>
      </c>
      <c r="J477" s="156" t="s">
        <v>11851</v>
      </c>
      <c r="K477" s="47"/>
      <c r="L477" s="47"/>
      <c r="M477" s="47"/>
      <c r="N477" s="156"/>
      <c r="O477" s="156" t="s">
        <v>157</v>
      </c>
      <c r="P477" s="47"/>
      <c r="Q477" s="47"/>
      <c r="R477" s="47"/>
      <c r="S477" s="47" t="s">
        <v>13292</v>
      </c>
      <c r="T477" s="47" t="s">
        <v>13295</v>
      </c>
      <c r="U477" s="47"/>
    </row>
    <row r="478" spans="1:21" x14ac:dyDescent="0.3">
      <c r="A478" s="46">
        <v>481</v>
      </c>
      <c r="B478" s="47" t="s">
        <v>13291</v>
      </c>
      <c r="C478" s="47" t="s">
        <v>13291</v>
      </c>
      <c r="D478" s="47" t="s">
        <v>13291</v>
      </c>
      <c r="E478" s="47" t="s">
        <v>13291</v>
      </c>
      <c r="F478" s="47" t="s">
        <v>13291</v>
      </c>
      <c r="G478" s="47" t="s">
        <v>13291</v>
      </c>
      <c r="H478" s="158">
        <v>1480</v>
      </c>
      <c r="I478" s="156" t="s">
        <v>11163</v>
      </c>
      <c r="J478" s="156" t="s">
        <v>12106</v>
      </c>
      <c r="K478" s="47"/>
      <c r="L478" s="47"/>
      <c r="M478" s="47"/>
      <c r="N478" s="156"/>
      <c r="O478" s="156" t="s">
        <v>157</v>
      </c>
      <c r="P478" s="47"/>
      <c r="Q478" s="47"/>
      <c r="R478" s="47"/>
      <c r="S478" s="47" t="s">
        <v>13292</v>
      </c>
      <c r="T478" s="47" t="s">
        <v>13295</v>
      </c>
      <c r="U478" s="47"/>
    </row>
    <row r="479" spans="1:21" x14ac:dyDescent="0.3">
      <c r="A479" s="46">
        <v>482</v>
      </c>
      <c r="B479" s="47" t="s">
        <v>13291</v>
      </c>
      <c r="C479" s="47" t="s">
        <v>13291</v>
      </c>
      <c r="D479" s="47" t="s">
        <v>13291</v>
      </c>
      <c r="E479" s="47" t="s">
        <v>13291</v>
      </c>
      <c r="F479" s="47" t="s">
        <v>13291</v>
      </c>
      <c r="G479" s="47" t="s">
        <v>13291</v>
      </c>
      <c r="H479" s="158">
        <v>1481</v>
      </c>
      <c r="I479" s="156" t="s">
        <v>11164</v>
      </c>
      <c r="J479" s="156" t="s">
        <v>12107</v>
      </c>
      <c r="K479" s="47"/>
      <c r="L479" s="47"/>
      <c r="M479" s="47"/>
      <c r="N479" s="156"/>
      <c r="O479" s="156" t="s">
        <v>157</v>
      </c>
      <c r="P479" s="47"/>
      <c r="Q479" s="47"/>
      <c r="R479" s="47"/>
      <c r="S479" s="47" t="s">
        <v>13292</v>
      </c>
      <c r="T479" s="47" t="s">
        <v>13295</v>
      </c>
      <c r="U479" s="47"/>
    </row>
    <row r="480" spans="1:21" x14ac:dyDescent="0.3">
      <c r="A480" s="46">
        <v>483</v>
      </c>
      <c r="B480" s="47" t="s">
        <v>13291</v>
      </c>
      <c r="C480" s="47" t="s">
        <v>13291</v>
      </c>
      <c r="D480" s="47" t="s">
        <v>13291</v>
      </c>
      <c r="E480" s="47" t="s">
        <v>13291</v>
      </c>
      <c r="F480" s="47" t="s">
        <v>13291</v>
      </c>
      <c r="G480" s="47" t="s">
        <v>13291</v>
      </c>
      <c r="H480" s="158">
        <v>1482</v>
      </c>
      <c r="I480" s="156" t="s">
        <v>5587</v>
      </c>
      <c r="J480" s="156" t="s">
        <v>11852</v>
      </c>
      <c r="K480" s="47"/>
      <c r="L480" s="47"/>
      <c r="M480" s="47"/>
      <c r="N480" s="156"/>
      <c r="O480" s="156" t="s">
        <v>157</v>
      </c>
      <c r="P480" s="47"/>
      <c r="Q480" s="47"/>
      <c r="R480" s="47"/>
      <c r="S480" s="47" t="s">
        <v>13292</v>
      </c>
      <c r="T480" s="47" t="s">
        <v>13295</v>
      </c>
      <c r="U480" s="47"/>
    </row>
    <row r="481" spans="1:21" x14ac:dyDescent="0.3">
      <c r="A481" s="46">
        <v>484</v>
      </c>
      <c r="B481" s="47" t="s">
        <v>13291</v>
      </c>
      <c r="C481" s="47" t="s">
        <v>13291</v>
      </c>
      <c r="D481" s="47" t="s">
        <v>13291</v>
      </c>
      <c r="E481" s="47" t="s">
        <v>13291</v>
      </c>
      <c r="F481" s="47" t="s">
        <v>13291</v>
      </c>
      <c r="G481" s="47" t="s">
        <v>13291</v>
      </c>
      <c r="H481" s="158">
        <v>1483</v>
      </c>
      <c r="I481" s="156" t="s">
        <v>5588</v>
      </c>
      <c r="J481" s="156" t="s">
        <v>11512</v>
      </c>
      <c r="K481" s="47"/>
      <c r="L481" s="47"/>
      <c r="M481" s="47"/>
      <c r="N481" s="156"/>
      <c r="O481" s="156" t="s">
        <v>157</v>
      </c>
      <c r="P481" s="47"/>
      <c r="Q481" s="47"/>
      <c r="R481" s="47"/>
      <c r="S481" s="47" t="s">
        <v>13292</v>
      </c>
      <c r="T481" s="47" t="s">
        <v>13295</v>
      </c>
      <c r="U481" s="47"/>
    </row>
    <row r="482" spans="1:21" x14ac:dyDescent="0.3">
      <c r="A482" s="46">
        <v>485</v>
      </c>
      <c r="B482" s="47" t="s">
        <v>13291</v>
      </c>
      <c r="C482" s="47" t="s">
        <v>13291</v>
      </c>
      <c r="D482" s="47" t="s">
        <v>13291</v>
      </c>
      <c r="E482" s="47" t="s">
        <v>13291</v>
      </c>
      <c r="F482" s="47" t="s">
        <v>13291</v>
      </c>
      <c r="G482" s="47" t="s">
        <v>13291</v>
      </c>
      <c r="H482" s="158">
        <v>1484</v>
      </c>
      <c r="I482" s="156" t="s">
        <v>5589</v>
      </c>
      <c r="J482" s="156" t="s">
        <v>11853</v>
      </c>
      <c r="K482" s="47"/>
      <c r="L482" s="47"/>
      <c r="M482" s="47"/>
      <c r="N482" s="156"/>
      <c r="O482" s="156" t="s">
        <v>157</v>
      </c>
      <c r="P482" s="47"/>
      <c r="Q482" s="47"/>
      <c r="R482" s="47"/>
      <c r="S482" s="47" t="s">
        <v>13292</v>
      </c>
      <c r="T482" s="47" t="s">
        <v>13295</v>
      </c>
      <c r="U482" s="47"/>
    </row>
    <row r="483" spans="1:21" x14ac:dyDescent="0.3">
      <c r="A483" s="46">
        <v>486</v>
      </c>
      <c r="B483" s="47" t="s">
        <v>13291</v>
      </c>
      <c r="C483" s="47" t="s">
        <v>13291</v>
      </c>
      <c r="D483" s="47" t="s">
        <v>13291</v>
      </c>
      <c r="E483" s="47" t="s">
        <v>13291</v>
      </c>
      <c r="F483" s="47" t="s">
        <v>13291</v>
      </c>
      <c r="G483" s="47" t="s">
        <v>13291</v>
      </c>
      <c r="H483" s="158">
        <v>1486</v>
      </c>
      <c r="I483" s="156" t="s">
        <v>5591</v>
      </c>
      <c r="J483" s="156" t="s">
        <v>12164</v>
      </c>
      <c r="K483" s="47"/>
      <c r="L483" s="47"/>
      <c r="M483" s="47"/>
      <c r="N483" s="156"/>
      <c r="O483" s="156" t="s">
        <v>157</v>
      </c>
      <c r="P483" s="47"/>
      <c r="Q483" s="47"/>
      <c r="R483" s="47"/>
      <c r="S483" s="47" t="s">
        <v>13292</v>
      </c>
      <c r="T483" s="47" t="s">
        <v>13295</v>
      </c>
      <c r="U483" s="47"/>
    </row>
    <row r="484" spans="1:21" x14ac:dyDescent="0.3">
      <c r="A484" s="46">
        <v>487</v>
      </c>
      <c r="B484" s="47" t="s">
        <v>13291</v>
      </c>
      <c r="C484" s="47" t="s">
        <v>13291</v>
      </c>
      <c r="D484" s="47" t="s">
        <v>13291</v>
      </c>
      <c r="E484" s="47" t="s">
        <v>13291</v>
      </c>
      <c r="F484" s="47" t="s">
        <v>13291</v>
      </c>
      <c r="G484" s="47" t="s">
        <v>13291</v>
      </c>
      <c r="H484" s="158">
        <v>1487</v>
      </c>
      <c r="I484" s="156" t="s">
        <v>11165</v>
      </c>
      <c r="J484" s="156" t="s">
        <v>12108</v>
      </c>
      <c r="K484" s="47"/>
      <c r="L484" s="47"/>
      <c r="M484" s="47"/>
      <c r="N484" s="156"/>
      <c r="O484" s="156" t="s">
        <v>157</v>
      </c>
      <c r="P484" s="47"/>
      <c r="Q484" s="47"/>
      <c r="R484" s="47"/>
      <c r="S484" s="47" t="s">
        <v>13292</v>
      </c>
      <c r="T484" s="47" t="s">
        <v>13295</v>
      </c>
      <c r="U484" s="47"/>
    </row>
    <row r="485" spans="1:21" x14ac:dyDescent="0.3">
      <c r="A485" s="46">
        <v>488</v>
      </c>
      <c r="B485" s="47" t="s">
        <v>13291</v>
      </c>
      <c r="C485" s="47" t="s">
        <v>13291</v>
      </c>
      <c r="D485" s="47" t="s">
        <v>13291</v>
      </c>
      <c r="E485" s="47" t="s">
        <v>13291</v>
      </c>
      <c r="F485" s="47" t="s">
        <v>13291</v>
      </c>
      <c r="G485" s="47" t="s">
        <v>13291</v>
      </c>
      <c r="H485" s="158">
        <v>1488</v>
      </c>
      <c r="I485" s="156" t="s">
        <v>11166</v>
      </c>
      <c r="J485" s="156" t="s">
        <v>12109</v>
      </c>
      <c r="K485" s="47"/>
      <c r="L485" s="47"/>
      <c r="M485" s="47"/>
      <c r="N485" s="156"/>
      <c r="O485" s="156" t="s">
        <v>157</v>
      </c>
      <c r="P485" s="47"/>
      <c r="Q485" s="47"/>
      <c r="R485" s="47"/>
      <c r="S485" s="47" t="s">
        <v>13292</v>
      </c>
      <c r="T485" s="47" t="s">
        <v>13295</v>
      </c>
      <c r="U485" s="47"/>
    </row>
    <row r="486" spans="1:21" x14ac:dyDescent="0.3">
      <c r="A486" s="46">
        <v>489</v>
      </c>
      <c r="B486" s="47" t="s">
        <v>13291</v>
      </c>
      <c r="C486" s="47" t="s">
        <v>13291</v>
      </c>
      <c r="D486" s="47" t="s">
        <v>13291</v>
      </c>
      <c r="E486" s="47" t="s">
        <v>13291</v>
      </c>
      <c r="F486" s="47" t="s">
        <v>13291</v>
      </c>
      <c r="G486" s="47" t="s">
        <v>13291</v>
      </c>
      <c r="H486" s="158">
        <v>1489</v>
      </c>
      <c r="I486" s="156" t="s">
        <v>5592</v>
      </c>
      <c r="J486" s="156" t="s">
        <v>11990</v>
      </c>
      <c r="K486" s="47"/>
      <c r="L486" s="47"/>
      <c r="M486" s="47"/>
      <c r="N486" s="156"/>
      <c r="O486" s="156" t="s">
        <v>157</v>
      </c>
      <c r="P486" s="47"/>
      <c r="Q486" s="47"/>
      <c r="R486" s="47"/>
      <c r="S486" s="47" t="s">
        <v>13292</v>
      </c>
      <c r="T486" s="47" t="s">
        <v>13295</v>
      </c>
      <c r="U486" s="47"/>
    </row>
    <row r="487" spans="1:21" x14ac:dyDescent="0.3">
      <c r="A487" s="46">
        <v>490</v>
      </c>
      <c r="B487" s="47" t="s">
        <v>13291</v>
      </c>
      <c r="C487" s="47" t="s">
        <v>13291</v>
      </c>
      <c r="D487" s="47" t="s">
        <v>13291</v>
      </c>
      <c r="E487" s="47" t="s">
        <v>13291</v>
      </c>
      <c r="F487" s="47" t="s">
        <v>13291</v>
      </c>
      <c r="G487" s="47" t="s">
        <v>13291</v>
      </c>
      <c r="H487" s="158">
        <v>1490</v>
      </c>
      <c r="I487" s="156" t="s">
        <v>5593</v>
      </c>
      <c r="J487" s="156" t="s">
        <v>11854</v>
      </c>
      <c r="K487" s="47"/>
      <c r="L487" s="47"/>
      <c r="M487" s="47"/>
      <c r="N487" s="156"/>
      <c r="O487" s="156" t="s">
        <v>157</v>
      </c>
      <c r="P487" s="47"/>
      <c r="Q487" s="47"/>
      <c r="R487" s="47"/>
      <c r="S487" s="47" t="s">
        <v>13292</v>
      </c>
      <c r="T487" s="47" t="s">
        <v>13295</v>
      </c>
      <c r="U487" s="47"/>
    </row>
    <row r="488" spans="1:21" x14ac:dyDescent="0.3">
      <c r="A488" s="46">
        <v>491</v>
      </c>
      <c r="B488" s="47" t="s">
        <v>13291</v>
      </c>
      <c r="C488" s="47" t="s">
        <v>13291</v>
      </c>
      <c r="D488" s="47" t="s">
        <v>13291</v>
      </c>
      <c r="E488" s="47" t="s">
        <v>13291</v>
      </c>
      <c r="F488" s="47" t="s">
        <v>13291</v>
      </c>
      <c r="G488" s="47" t="s">
        <v>13291</v>
      </c>
      <c r="H488" s="158">
        <v>1491</v>
      </c>
      <c r="I488" s="156" t="s">
        <v>11046</v>
      </c>
      <c r="J488" s="156" t="s">
        <v>11855</v>
      </c>
      <c r="K488" s="47"/>
      <c r="L488" s="47"/>
      <c r="M488" s="47"/>
      <c r="N488" s="156"/>
      <c r="O488" s="156" t="s">
        <v>157</v>
      </c>
      <c r="P488" s="47"/>
      <c r="Q488" s="47"/>
      <c r="R488" s="47"/>
      <c r="S488" s="47" t="s">
        <v>13292</v>
      </c>
      <c r="T488" s="47" t="s">
        <v>13295</v>
      </c>
      <c r="U488" s="47"/>
    </row>
    <row r="489" spans="1:21" x14ac:dyDescent="0.3">
      <c r="A489" s="46">
        <v>492</v>
      </c>
      <c r="B489" s="47" t="s">
        <v>13291</v>
      </c>
      <c r="C489" s="47" t="s">
        <v>13291</v>
      </c>
      <c r="D489" s="47" t="s">
        <v>13291</v>
      </c>
      <c r="E489" s="47" t="s">
        <v>13291</v>
      </c>
      <c r="F489" s="47" t="s">
        <v>13291</v>
      </c>
      <c r="G489" s="47" t="s">
        <v>13291</v>
      </c>
      <c r="H489" s="158">
        <v>1492</v>
      </c>
      <c r="I489" s="156" t="s">
        <v>11047</v>
      </c>
      <c r="J489" s="156" t="s">
        <v>11856</v>
      </c>
      <c r="K489" s="47"/>
      <c r="L489" s="47"/>
      <c r="M489" s="47"/>
      <c r="N489" s="156"/>
      <c r="O489" s="156" t="s">
        <v>157</v>
      </c>
      <c r="P489" s="47"/>
      <c r="Q489" s="47"/>
      <c r="R489" s="47"/>
      <c r="S489" s="47" t="s">
        <v>13292</v>
      </c>
      <c r="T489" s="47" t="s">
        <v>13295</v>
      </c>
      <c r="U489" s="47"/>
    </row>
    <row r="490" spans="1:21" x14ac:dyDescent="0.3">
      <c r="A490" s="46">
        <v>493</v>
      </c>
      <c r="B490" s="47" t="s">
        <v>13291</v>
      </c>
      <c r="C490" s="47" t="s">
        <v>13291</v>
      </c>
      <c r="D490" s="47" t="s">
        <v>13291</v>
      </c>
      <c r="E490" s="47" t="s">
        <v>13291</v>
      </c>
      <c r="F490" s="47" t="s">
        <v>13291</v>
      </c>
      <c r="G490" s="47" t="s">
        <v>13291</v>
      </c>
      <c r="H490" s="158">
        <v>1493</v>
      </c>
      <c r="I490" s="156" t="s">
        <v>11048</v>
      </c>
      <c r="J490" s="156" t="s">
        <v>11857</v>
      </c>
      <c r="K490" s="47"/>
      <c r="L490" s="47"/>
      <c r="M490" s="47"/>
      <c r="N490" s="156"/>
      <c r="O490" s="156" t="s">
        <v>157</v>
      </c>
      <c r="P490" s="47"/>
      <c r="Q490" s="47"/>
      <c r="R490" s="47"/>
      <c r="S490" s="47" t="s">
        <v>13292</v>
      </c>
      <c r="T490" s="47" t="s">
        <v>13295</v>
      </c>
      <c r="U490" s="47"/>
    </row>
    <row r="491" spans="1:21" x14ac:dyDescent="0.3">
      <c r="A491" s="46">
        <v>494</v>
      </c>
      <c r="B491" s="47" t="s">
        <v>13291</v>
      </c>
      <c r="C491" s="47" t="s">
        <v>13291</v>
      </c>
      <c r="D491" s="47" t="s">
        <v>13291</v>
      </c>
      <c r="E491" s="47" t="s">
        <v>13291</v>
      </c>
      <c r="F491" s="47" t="s">
        <v>13291</v>
      </c>
      <c r="G491" s="47" t="s">
        <v>13291</v>
      </c>
      <c r="H491" s="158">
        <v>1494</v>
      </c>
      <c r="I491" s="156" t="s">
        <v>5594</v>
      </c>
      <c r="J491" s="156" t="s">
        <v>11858</v>
      </c>
      <c r="K491" s="47"/>
      <c r="L491" s="47"/>
      <c r="M491" s="47"/>
      <c r="N491" s="156"/>
      <c r="O491" s="156" t="s">
        <v>157</v>
      </c>
      <c r="P491" s="47"/>
      <c r="Q491" s="47"/>
      <c r="R491" s="47"/>
      <c r="S491" s="47" t="s">
        <v>13292</v>
      </c>
      <c r="T491" s="47" t="s">
        <v>13295</v>
      </c>
      <c r="U491" s="47"/>
    </row>
    <row r="492" spans="1:21" x14ac:dyDescent="0.3">
      <c r="A492" s="46">
        <v>495</v>
      </c>
      <c r="B492" s="47" t="s">
        <v>13291</v>
      </c>
      <c r="C492" s="47" t="s">
        <v>13291</v>
      </c>
      <c r="D492" s="47" t="s">
        <v>13291</v>
      </c>
      <c r="E492" s="47" t="s">
        <v>13291</v>
      </c>
      <c r="F492" s="47" t="s">
        <v>13291</v>
      </c>
      <c r="G492" s="47" t="s">
        <v>13291</v>
      </c>
      <c r="H492" s="158">
        <v>1495</v>
      </c>
      <c r="I492" s="156" t="s">
        <v>5595</v>
      </c>
      <c r="J492" s="156" t="s">
        <v>11966</v>
      </c>
      <c r="K492" s="47"/>
      <c r="L492" s="47"/>
      <c r="M492" s="47"/>
      <c r="N492" s="156"/>
      <c r="O492" s="156" t="s">
        <v>157</v>
      </c>
      <c r="P492" s="47"/>
      <c r="Q492" s="47"/>
      <c r="R492" s="47"/>
      <c r="S492" s="47" t="s">
        <v>13292</v>
      </c>
      <c r="T492" s="47" t="s">
        <v>13295</v>
      </c>
      <c r="U492" s="47"/>
    </row>
    <row r="493" spans="1:21" x14ac:dyDescent="0.3">
      <c r="A493" s="46">
        <v>496</v>
      </c>
      <c r="B493" s="47" t="s">
        <v>13291</v>
      </c>
      <c r="C493" s="47" t="s">
        <v>13291</v>
      </c>
      <c r="D493" s="47" t="s">
        <v>13291</v>
      </c>
      <c r="E493" s="47" t="s">
        <v>13291</v>
      </c>
      <c r="F493" s="47" t="s">
        <v>13291</v>
      </c>
      <c r="G493" s="47" t="s">
        <v>13291</v>
      </c>
      <c r="H493" s="158">
        <v>1496</v>
      </c>
      <c r="I493" s="156" t="s">
        <v>5596</v>
      </c>
      <c r="J493" s="156" t="s">
        <v>11859</v>
      </c>
      <c r="K493" s="47"/>
      <c r="L493" s="47"/>
      <c r="M493" s="47"/>
      <c r="N493" s="156"/>
      <c r="O493" s="156" t="s">
        <v>157</v>
      </c>
      <c r="P493" s="47"/>
      <c r="Q493" s="47"/>
      <c r="R493" s="47"/>
      <c r="S493" s="47" t="s">
        <v>13292</v>
      </c>
      <c r="T493" s="47" t="s">
        <v>13295</v>
      </c>
      <c r="U493" s="47"/>
    </row>
    <row r="494" spans="1:21" x14ac:dyDescent="0.3">
      <c r="A494" s="46">
        <v>497</v>
      </c>
      <c r="B494" s="47" t="s">
        <v>13291</v>
      </c>
      <c r="C494" s="47" t="s">
        <v>13291</v>
      </c>
      <c r="D494" s="47" t="s">
        <v>13291</v>
      </c>
      <c r="E494" s="47" t="s">
        <v>13291</v>
      </c>
      <c r="F494" s="47" t="s">
        <v>13291</v>
      </c>
      <c r="G494" s="47" t="s">
        <v>13291</v>
      </c>
      <c r="H494" s="158">
        <v>1497</v>
      </c>
      <c r="I494" s="156" t="s">
        <v>5597</v>
      </c>
      <c r="J494" s="156" t="s">
        <v>11991</v>
      </c>
      <c r="K494" s="47"/>
      <c r="L494" s="47"/>
      <c r="M494" s="47"/>
      <c r="N494" s="156"/>
      <c r="O494" s="156" t="s">
        <v>157</v>
      </c>
      <c r="P494" s="47"/>
      <c r="Q494" s="47"/>
      <c r="R494" s="47"/>
      <c r="S494" s="47" t="s">
        <v>13292</v>
      </c>
      <c r="T494" s="47" t="s">
        <v>13295</v>
      </c>
      <c r="U494" s="47"/>
    </row>
    <row r="495" spans="1:21" x14ac:dyDescent="0.3">
      <c r="A495" s="46">
        <v>498</v>
      </c>
      <c r="B495" s="47" t="s">
        <v>13291</v>
      </c>
      <c r="C495" s="47" t="s">
        <v>13291</v>
      </c>
      <c r="D495" s="47" t="s">
        <v>13291</v>
      </c>
      <c r="E495" s="47" t="s">
        <v>13291</v>
      </c>
      <c r="F495" s="47" t="s">
        <v>13291</v>
      </c>
      <c r="G495" s="47" t="s">
        <v>13291</v>
      </c>
      <c r="H495" s="158">
        <v>1498</v>
      </c>
      <c r="I495" s="156" t="s">
        <v>5598</v>
      </c>
      <c r="J495" s="156" t="s">
        <v>12110</v>
      </c>
      <c r="K495" s="47"/>
      <c r="L495" s="47"/>
      <c r="M495" s="47"/>
      <c r="N495" s="156"/>
      <c r="O495" s="156" t="s">
        <v>157</v>
      </c>
      <c r="P495" s="47"/>
      <c r="Q495" s="47"/>
      <c r="R495" s="47"/>
      <c r="S495" s="47" t="s">
        <v>13292</v>
      </c>
      <c r="T495" s="47" t="s">
        <v>13295</v>
      </c>
      <c r="U495" s="47"/>
    </row>
    <row r="496" spans="1:21" x14ac:dyDescent="0.3">
      <c r="A496" s="46">
        <v>499</v>
      </c>
      <c r="B496" s="47" t="s">
        <v>13291</v>
      </c>
      <c r="C496" s="47" t="s">
        <v>13291</v>
      </c>
      <c r="D496" s="47" t="s">
        <v>13291</v>
      </c>
      <c r="E496" s="47" t="s">
        <v>13291</v>
      </c>
      <c r="F496" s="47" t="s">
        <v>13291</v>
      </c>
      <c r="G496" s="47" t="s">
        <v>13291</v>
      </c>
      <c r="H496" s="158">
        <v>1499</v>
      </c>
      <c r="I496" s="156" t="s">
        <v>5599</v>
      </c>
      <c r="J496" s="156" t="s">
        <v>12111</v>
      </c>
      <c r="K496" s="47"/>
      <c r="L496" s="47"/>
      <c r="M496" s="47"/>
      <c r="N496" s="156"/>
      <c r="O496" s="156" t="s">
        <v>157</v>
      </c>
      <c r="P496" s="47"/>
      <c r="Q496" s="47"/>
      <c r="R496" s="47"/>
      <c r="S496" s="47" t="s">
        <v>13292</v>
      </c>
      <c r="T496" s="47" t="s">
        <v>13295</v>
      </c>
      <c r="U496" s="47"/>
    </row>
    <row r="497" spans="1:21" x14ac:dyDescent="0.3">
      <c r="A497" s="46">
        <v>500</v>
      </c>
      <c r="B497" s="47" t="s">
        <v>13291</v>
      </c>
      <c r="C497" s="47" t="s">
        <v>13291</v>
      </c>
      <c r="D497" s="47" t="s">
        <v>13291</v>
      </c>
      <c r="E497" s="47" t="s">
        <v>13291</v>
      </c>
      <c r="F497" s="47" t="s">
        <v>13291</v>
      </c>
      <c r="G497" s="47" t="s">
        <v>13291</v>
      </c>
      <c r="H497" s="158">
        <v>1500</v>
      </c>
      <c r="I497" s="156" t="s">
        <v>5600</v>
      </c>
      <c r="J497" s="156" t="s">
        <v>12027</v>
      </c>
      <c r="K497" s="47"/>
      <c r="L497" s="47"/>
      <c r="M497" s="47"/>
      <c r="N497" s="156"/>
      <c r="O497" s="156" t="s">
        <v>157</v>
      </c>
      <c r="P497" s="47"/>
      <c r="Q497" s="47"/>
      <c r="R497" s="47"/>
      <c r="S497" s="47" t="s">
        <v>13292</v>
      </c>
      <c r="T497" s="47" t="s">
        <v>13295</v>
      </c>
      <c r="U497" s="47"/>
    </row>
    <row r="498" spans="1:21" x14ac:dyDescent="0.3">
      <c r="A498" s="46">
        <v>501</v>
      </c>
      <c r="B498" s="47" t="s">
        <v>13291</v>
      </c>
      <c r="C498" s="47" t="s">
        <v>13291</v>
      </c>
      <c r="D498" s="47" t="s">
        <v>13291</v>
      </c>
      <c r="E498" s="47" t="s">
        <v>13291</v>
      </c>
      <c r="F498" s="47" t="s">
        <v>13291</v>
      </c>
      <c r="G498" s="47" t="s">
        <v>13291</v>
      </c>
      <c r="H498" s="158">
        <v>1501</v>
      </c>
      <c r="I498" s="156" t="s">
        <v>5601</v>
      </c>
      <c r="J498" s="156" t="s">
        <v>11860</v>
      </c>
      <c r="K498" s="47"/>
      <c r="L498" s="47"/>
      <c r="M498" s="47"/>
      <c r="N498" s="156"/>
      <c r="O498" s="156" t="s">
        <v>157</v>
      </c>
      <c r="P498" s="47"/>
      <c r="Q498" s="47"/>
      <c r="R498" s="47"/>
      <c r="S498" s="47" t="s">
        <v>13292</v>
      </c>
      <c r="T498" s="47" t="s">
        <v>13295</v>
      </c>
      <c r="U498" s="47"/>
    </row>
    <row r="499" spans="1:21" x14ac:dyDescent="0.3">
      <c r="A499" s="46">
        <v>502</v>
      </c>
      <c r="B499" s="47" t="s">
        <v>13291</v>
      </c>
      <c r="C499" s="47" t="s">
        <v>13291</v>
      </c>
      <c r="D499" s="47" t="s">
        <v>13291</v>
      </c>
      <c r="E499" s="47" t="s">
        <v>13291</v>
      </c>
      <c r="F499" s="47" t="s">
        <v>13291</v>
      </c>
      <c r="G499" s="47" t="s">
        <v>13291</v>
      </c>
      <c r="H499" s="158">
        <v>1502</v>
      </c>
      <c r="I499" s="156" t="s">
        <v>5602</v>
      </c>
      <c r="J499" s="156" t="s">
        <v>11967</v>
      </c>
      <c r="K499" s="47"/>
      <c r="L499" s="47"/>
      <c r="M499" s="47"/>
      <c r="N499" s="156"/>
      <c r="O499" s="156" t="s">
        <v>157</v>
      </c>
      <c r="P499" s="47"/>
      <c r="Q499" s="47"/>
      <c r="R499" s="47"/>
      <c r="S499" s="47" t="s">
        <v>13292</v>
      </c>
      <c r="T499" s="47" t="s">
        <v>13295</v>
      </c>
      <c r="U499" s="47"/>
    </row>
    <row r="500" spans="1:21" x14ac:dyDescent="0.3">
      <c r="A500" s="46">
        <v>503</v>
      </c>
      <c r="B500" s="47" t="s">
        <v>13291</v>
      </c>
      <c r="C500" s="47" t="s">
        <v>13291</v>
      </c>
      <c r="D500" s="47" t="s">
        <v>13291</v>
      </c>
      <c r="E500" s="47" t="s">
        <v>13291</v>
      </c>
      <c r="F500" s="47" t="s">
        <v>13291</v>
      </c>
      <c r="G500" s="47" t="s">
        <v>13291</v>
      </c>
      <c r="H500" s="158">
        <v>1503</v>
      </c>
      <c r="I500" s="156" t="s">
        <v>5603</v>
      </c>
      <c r="J500" s="156" t="s">
        <v>11968</v>
      </c>
      <c r="K500" s="47"/>
      <c r="L500" s="47"/>
      <c r="M500" s="47"/>
      <c r="N500" s="156"/>
      <c r="O500" s="156" t="s">
        <v>157</v>
      </c>
      <c r="P500" s="47"/>
      <c r="Q500" s="47"/>
      <c r="R500" s="47"/>
      <c r="S500" s="47" t="s">
        <v>13292</v>
      </c>
      <c r="T500" s="47" t="s">
        <v>13295</v>
      </c>
      <c r="U500" s="47"/>
    </row>
    <row r="501" spans="1:21" x14ac:dyDescent="0.3">
      <c r="A501" s="46">
        <v>504</v>
      </c>
      <c r="B501" s="47" t="s">
        <v>13291</v>
      </c>
      <c r="C501" s="47" t="s">
        <v>13291</v>
      </c>
      <c r="D501" s="47" t="s">
        <v>13291</v>
      </c>
      <c r="E501" s="47" t="s">
        <v>13291</v>
      </c>
      <c r="F501" s="47" t="s">
        <v>13291</v>
      </c>
      <c r="G501" s="47" t="s">
        <v>13291</v>
      </c>
      <c r="H501" s="158">
        <v>1504</v>
      </c>
      <c r="I501" s="156" t="s">
        <v>11167</v>
      </c>
      <c r="J501" s="156" t="s">
        <v>12112</v>
      </c>
      <c r="K501" s="47"/>
      <c r="L501" s="47"/>
      <c r="M501" s="47"/>
      <c r="N501" s="156"/>
      <c r="O501" s="156" t="s">
        <v>157</v>
      </c>
      <c r="P501" s="47"/>
      <c r="Q501" s="47"/>
      <c r="R501" s="47"/>
      <c r="S501" s="47" t="s">
        <v>13292</v>
      </c>
      <c r="T501" s="47" t="s">
        <v>13295</v>
      </c>
      <c r="U501" s="47"/>
    </row>
    <row r="502" spans="1:21" x14ac:dyDescent="0.3">
      <c r="A502" s="46">
        <v>505</v>
      </c>
      <c r="B502" s="47" t="s">
        <v>13291</v>
      </c>
      <c r="C502" s="47" t="s">
        <v>13291</v>
      </c>
      <c r="D502" s="47" t="s">
        <v>13291</v>
      </c>
      <c r="E502" s="47" t="s">
        <v>13291</v>
      </c>
      <c r="F502" s="47" t="s">
        <v>13291</v>
      </c>
      <c r="G502" s="47" t="s">
        <v>13291</v>
      </c>
      <c r="H502" s="158">
        <v>1505</v>
      </c>
      <c r="I502" s="156" t="s">
        <v>11168</v>
      </c>
      <c r="J502" s="156" t="s">
        <v>12113</v>
      </c>
      <c r="K502" s="47"/>
      <c r="L502" s="47"/>
      <c r="M502" s="47"/>
      <c r="N502" s="156"/>
      <c r="O502" s="156" t="s">
        <v>157</v>
      </c>
      <c r="P502" s="47"/>
      <c r="Q502" s="47"/>
      <c r="R502" s="47"/>
      <c r="S502" s="47" t="s">
        <v>13292</v>
      </c>
      <c r="T502" s="47" t="s">
        <v>13295</v>
      </c>
      <c r="U502" s="47"/>
    </row>
    <row r="503" spans="1:21" x14ac:dyDescent="0.3">
      <c r="A503" s="46">
        <v>506</v>
      </c>
      <c r="B503" s="47" t="s">
        <v>13291</v>
      </c>
      <c r="C503" s="47" t="s">
        <v>13291</v>
      </c>
      <c r="D503" s="47" t="s">
        <v>13291</v>
      </c>
      <c r="E503" s="47" t="s">
        <v>13291</v>
      </c>
      <c r="F503" s="47" t="s">
        <v>13291</v>
      </c>
      <c r="G503" s="47" t="s">
        <v>13291</v>
      </c>
      <c r="H503" s="158">
        <v>1506</v>
      </c>
      <c r="I503" s="156" t="s">
        <v>5604</v>
      </c>
      <c r="J503" s="156" t="s">
        <v>12165</v>
      </c>
      <c r="K503" s="47"/>
      <c r="L503" s="47"/>
      <c r="M503" s="47"/>
      <c r="N503" s="156"/>
      <c r="O503" s="156" t="s">
        <v>157</v>
      </c>
      <c r="P503" s="47"/>
      <c r="Q503" s="47"/>
      <c r="R503" s="47"/>
      <c r="S503" s="47" t="s">
        <v>13292</v>
      </c>
      <c r="T503" s="47" t="s">
        <v>13295</v>
      </c>
      <c r="U503" s="47"/>
    </row>
    <row r="504" spans="1:21" x14ac:dyDescent="0.3">
      <c r="A504" s="46">
        <v>507</v>
      </c>
      <c r="B504" s="47" t="s">
        <v>13291</v>
      </c>
      <c r="C504" s="47" t="s">
        <v>13291</v>
      </c>
      <c r="D504" s="47" t="s">
        <v>13291</v>
      </c>
      <c r="E504" s="47" t="s">
        <v>13291</v>
      </c>
      <c r="F504" s="47" t="s">
        <v>13291</v>
      </c>
      <c r="G504" s="47" t="s">
        <v>13291</v>
      </c>
      <c r="H504" s="158">
        <v>1507</v>
      </c>
      <c r="I504" s="156" t="s">
        <v>5605</v>
      </c>
      <c r="J504" s="156" t="s">
        <v>12114</v>
      </c>
      <c r="K504" s="47"/>
      <c r="L504" s="47"/>
      <c r="M504" s="47"/>
      <c r="N504" s="156"/>
      <c r="O504" s="156" t="s">
        <v>157</v>
      </c>
      <c r="P504" s="47"/>
      <c r="Q504" s="47"/>
      <c r="R504" s="47"/>
      <c r="S504" s="47" t="s">
        <v>13292</v>
      </c>
      <c r="T504" s="47" t="s">
        <v>13295</v>
      </c>
      <c r="U504" s="47"/>
    </row>
    <row r="505" spans="1:21" x14ac:dyDescent="0.3">
      <c r="A505" s="46">
        <v>508</v>
      </c>
      <c r="B505" s="47" t="s">
        <v>13291</v>
      </c>
      <c r="C505" s="47" t="s">
        <v>13291</v>
      </c>
      <c r="D505" s="47" t="s">
        <v>13291</v>
      </c>
      <c r="E505" s="47" t="s">
        <v>13291</v>
      </c>
      <c r="F505" s="47" t="s">
        <v>13291</v>
      </c>
      <c r="G505" s="47" t="s">
        <v>13291</v>
      </c>
      <c r="H505" s="158">
        <v>1508</v>
      </c>
      <c r="I505" s="156" t="s">
        <v>10924</v>
      </c>
      <c r="J505" s="156" t="s">
        <v>11513</v>
      </c>
      <c r="K505" s="47"/>
      <c r="L505" s="47"/>
      <c r="M505" s="47"/>
      <c r="N505" s="156"/>
      <c r="O505" s="156" t="s">
        <v>157</v>
      </c>
      <c r="P505" s="47"/>
      <c r="Q505" s="47"/>
      <c r="R505" s="47"/>
      <c r="S505" s="47" t="s">
        <v>13292</v>
      </c>
      <c r="T505" s="47" t="s">
        <v>13295</v>
      </c>
      <c r="U505" s="47"/>
    </row>
    <row r="506" spans="1:21" x14ac:dyDescent="0.3">
      <c r="A506" s="46">
        <v>509</v>
      </c>
      <c r="B506" s="47" t="s">
        <v>13291</v>
      </c>
      <c r="C506" s="47" t="s">
        <v>13291</v>
      </c>
      <c r="D506" s="47" t="s">
        <v>13291</v>
      </c>
      <c r="E506" s="47" t="s">
        <v>13291</v>
      </c>
      <c r="F506" s="47" t="s">
        <v>13291</v>
      </c>
      <c r="G506" s="47" t="s">
        <v>13291</v>
      </c>
      <c r="H506" s="158">
        <v>1509</v>
      </c>
      <c r="I506" s="156" t="s">
        <v>5606</v>
      </c>
      <c r="J506" s="156" t="s">
        <v>11592</v>
      </c>
      <c r="K506" s="47"/>
      <c r="L506" s="47"/>
      <c r="M506" s="47"/>
      <c r="N506" s="156"/>
      <c r="O506" s="156" t="s">
        <v>157</v>
      </c>
      <c r="P506" s="47"/>
      <c r="Q506" s="47"/>
      <c r="R506" s="47"/>
      <c r="S506" s="47" t="s">
        <v>13292</v>
      </c>
      <c r="T506" s="47" t="s">
        <v>13295</v>
      </c>
      <c r="U506" s="47"/>
    </row>
    <row r="507" spans="1:21" x14ac:dyDescent="0.3">
      <c r="A507" s="46">
        <v>510</v>
      </c>
      <c r="B507" s="47" t="s">
        <v>13291</v>
      </c>
      <c r="C507" s="47" t="s">
        <v>13291</v>
      </c>
      <c r="D507" s="47" t="s">
        <v>13291</v>
      </c>
      <c r="E507" s="47" t="s">
        <v>13291</v>
      </c>
      <c r="F507" s="47" t="s">
        <v>13291</v>
      </c>
      <c r="G507" s="47" t="s">
        <v>13291</v>
      </c>
      <c r="H507" s="158">
        <v>1510</v>
      </c>
      <c r="I507" s="156" t="s">
        <v>5607</v>
      </c>
      <c r="J507" s="156" t="s">
        <v>11514</v>
      </c>
      <c r="K507" s="47"/>
      <c r="L507" s="47"/>
      <c r="M507" s="47"/>
      <c r="N507" s="156"/>
      <c r="O507" s="156" t="s">
        <v>157</v>
      </c>
      <c r="P507" s="47"/>
      <c r="Q507" s="47"/>
      <c r="R507" s="47"/>
      <c r="S507" s="47" t="s">
        <v>13292</v>
      </c>
      <c r="T507" s="47" t="s">
        <v>13295</v>
      </c>
      <c r="U507" s="47"/>
    </row>
    <row r="508" spans="1:21" x14ac:dyDescent="0.3">
      <c r="A508" s="46">
        <v>511</v>
      </c>
      <c r="B508" s="47" t="s">
        <v>13291</v>
      </c>
      <c r="C508" s="47" t="s">
        <v>13291</v>
      </c>
      <c r="D508" s="47" t="s">
        <v>13291</v>
      </c>
      <c r="E508" s="47" t="s">
        <v>13291</v>
      </c>
      <c r="F508" s="47" t="s">
        <v>13291</v>
      </c>
      <c r="G508" s="47" t="s">
        <v>13291</v>
      </c>
      <c r="H508" s="158">
        <v>1511</v>
      </c>
      <c r="I508" s="156" t="s">
        <v>5608</v>
      </c>
      <c r="J508" s="156" t="s">
        <v>11515</v>
      </c>
      <c r="K508" s="47"/>
      <c r="L508" s="47"/>
      <c r="M508" s="47"/>
      <c r="N508" s="156"/>
      <c r="O508" s="156" t="s">
        <v>157</v>
      </c>
      <c r="P508" s="47"/>
      <c r="Q508" s="47"/>
      <c r="R508" s="47"/>
      <c r="S508" s="47" t="s">
        <v>13292</v>
      </c>
      <c r="T508" s="47" t="s">
        <v>13295</v>
      </c>
      <c r="U508" s="47"/>
    </row>
    <row r="509" spans="1:21" x14ac:dyDescent="0.3">
      <c r="A509" s="46">
        <v>512</v>
      </c>
      <c r="B509" s="47" t="s">
        <v>13291</v>
      </c>
      <c r="C509" s="47" t="s">
        <v>13291</v>
      </c>
      <c r="D509" s="47" t="s">
        <v>13291</v>
      </c>
      <c r="E509" s="47" t="s">
        <v>13291</v>
      </c>
      <c r="F509" s="47" t="s">
        <v>13291</v>
      </c>
      <c r="G509" s="47" t="s">
        <v>13291</v>
      </c>
      <c r="H509" s="158">
        <v>1512</v>
      </c>
      <c r="I509" s="156" t="s">
        <v>10913</v>
      </c>
      <c r="J509" s="156" t="s">
        <v>11484</v>
      </c>
      <c r="K509" s="47"/>
      <c r="L509" s="47"/>
      <c r="M509" s="47"/>
      <c r="N509" s="156"/>
      <c r="O509" s="156" t="s">
        <v>157</v>
      </c>
      <c r="P509" s="47"/>
      <c r="Q509" s="47"/>
      <c r="R509" s="47"/>
      <c r="S509" s="47" t="s">
        <v>13292</v>
      </c>
      <c r="T509" s="47" t="s">
        <v>13295</v>
      </c>
      <c r="U509" s="47"/>
    </row>
    <row r="510" spans="1:21" x14ac:dyDescent="0.3">
      <c r="A510" s="46">
        <v>513</v>
      </c>
      <c r="B510" s="47" t="s">
        <v>13291</v>
      </c>
      <c r="C510" s="47" t="s">
        <v>13291</v>
      </c>
      <c r="D510" s="47" t="s">
        <v>13291</v>
      </c>
      <c r="E510" s="47" t="s">
        <v>13291</v>
      </c>
      <c r="F510" s="47" t="s">
        <v>13291</v>
      </c>
      <c r="G510" s="47" t="s">
        <v>13291</v>
      </c>
      <c r="H510" s="158">
        <v>1513</v>
      </c>
      <c r="I510" s="156" t="s">
        <v>5609</v>
      </c>
      <c r="J510" s="156" t="s">
        <v>12116</v>
      </c>
      <c r="K510" s="47"/>
      <c r="L510" s="47"/>
      <c r="M510" s="47"/>
      <c r="N510" s="156"/>
      <c r="O510" s="156" t="s">
        <v>157</v>
      </c>
      <c r="P510" s="47"/>
      <c r="Q510" s="47"/>
      <c r="R510" s="47"/>
      <c r="S510" s="47" t="s">
        <v>13292</v>
      </c>
      <c r="T510" s="47" t="s">
        <v>13295</v>
      </c>
      <c r="U510" s="47"/>
    </row>
    <row r="511" spans="1:21" x14ac:dyDescent="0.3">
      <c r="A511" s="46">
        <v>514</v>
      </c>
      <c r="B511" s="47" t="s">
        <v>13291</v>
      </c>
      <c r="C511" s="47" t="s">
        <v>13291</v>
      </c>
      <c r="D511" s="47" t="s">
        <v>13291</v>
      </c>
      <c r="E511" s="47" t="s">
        <v>13291</v>
      </c>
      <c r="F511" s="47" t="s">
        <v>13291</v>
      </c>
      <c r="G511" s="47" t="s">
        <v>13291</v>
      </c>
      <c r="H511" s="158">
        <v>1514</v>
      </c>
      <c r="I511" s="156" t="s">
        <v>11170</v>
      </c>
      <c r="J511" s="156" t="s">
        <v>12117</v>
      </c>
      <c r="K511" s="47"/>
      <c r="L511" s="47"/>
      <c r="M511" s="47"/>
      <c r="N511" s="156"/>
      <c r="O511" s="156" t="s">
        <v>157</v>
      </c>
      <c r="P511" s="47"/>
      <c r="Q511" s="47"/>
      <c r="R511" s="47"/>
      <c r="S511" s="47" t="s">
        <v>13292</v>
      </c>
      <c r="T511" s="47" t="s">
        <v>13295</v>
      </c>
      <c r="U511" s="47"/>
    </row>
    <row r="512" spans="1:21" x14ac:dyDescent="0.3">
      <c r="A512" s="46">
        <v>515</v>
      </c>
      <c r="B512" s="47" t="s">
        <v>13291</v>
      </c>
      <c r="C512" s="47" t="s">
        <v>13291</v>
      </c>
      <c r="D512" s="47" t="s">
        <v>13291</v>
      </c>
      <c r="E512" s="47" t="s">
        <v>13291</v>
      </c>
      <c r="F512" s="47" t="s">
        <v>13291</v>
      </c>
      <c r="G512" s="47" t="s">
        <v>13291</v>
      </c>
      <c r="H512" s="158">
        <v>1515</v>
      </c>
      <c r="I512" s="156" t="s">
        <v>11169</v>
      </c>
      <c r="J512" s="156" t="s">
        <v>12115</v>
      </c>
      <c r="K512" s="47"/>
      <c r="L512" s="47"/>
      <c r="M512" s="47"/>
      <c r="N512" s="156"/>
      <c r="O512" s="156" t="s">
        <v>157</v>
      </c>
      <c r="P512" s="47"/>
      <c r="Q512" s="47"/>
      <c r="R512" s="47"/>
      <c r="S512" s="47" t="s">
        <v>13292</v>
      </c>
      <c r="T512" s="47" t="s">
        <v>13295</v>
      </c>
      <c r="U512" s="47"/>
    </row>
    <row r="513" spans="1:21" x14ac:dyDescent="0.3">
      <c r="A513" s="46">
        <v>516</v>
      </c>
      <c r="B513" s="47" t="s">
        <v>13291</v>
      </c>
      <c r="C513" s="47" t="s">
        <v>13291</v>
      </c>
      <c r="D513" s="47" t="s">
        <v>13291</v>
      </c>
      <c r="E513" s="47" t="s">
        <v>13291</v>
      </c>
      <c r="F513" s="47" t="s">
        <v>13291</v>
      </c>
      <c r="G513" s="47" t="s">
        <v>13291</v>
      </c>
      <c r="H513" s="158">
        <v>1516</v>
      </c>
      <c r="I513" s="156" t="s">
        <v>5610</v>
      </c>
      <c r="J513" s="156" t="s">
        <v>12118</v>
      </c>
      <c r="K513" s="47"/>
      <c r="L513" s="47"/>
      <c r="M513" s="47"/>
      <c r="N513" s="156"/>
      <c r="O513" s="156" t="s">
        <v>157</v>
      </c>
      <c r="P513" s="47"/>
      <c r="Q513" s="47"/>
      <c r="R513" s="47"/>
      <c r="S513" s="47" t="s">
        <v>13292</v>
      </c>
      <c r="T513" s="47" t="s">
        <v>13295</v>
      </c>
      <c r="U513" s="47"/>
    </row>
    <row r="514" spans="1:21" x14ac:dyDescent="0.3">
      <c r="A514" s="46">
        <v>517</v>
      </c>
      <c r="B514" s="47" t="s">
        <v>13291</v>
      </c>
      <c r="C514" s="47" t="s">
        <v>13291</v>
      </c>
      <c r="D514" s="47" t="s">
        <v>13291</v>
      </c>
      <c r="E514" s="47" t="s">
        <v>13291</v>
      </c>
      <c r="F514" s="47" t="s">
        <v>13291</v>
      </c>
      <c r="G514" s="47" t="s">
        <v>13291</v>
      </c>
      <c r="H514" s="158">
        <v>1517</v>
      </c>
      <c r="I514" s="156" t="s">
        <v>5611</v>
      </c>
      <c r="J514" s="156" t="s">
        <v>11624</v>
      </c>
      <c r="K514" s="47"/>
      <c r="L514" s="47"/>
      <c r="M514" s="47"/>
      <c r="N514" s="156"/>
      <c r="O514" s="156" t="s">
        <v>157</v>
      </c>
      <c r="P514" s="47"/>
      <c r="Q514" s="47"/>
      <c r="R514" s="47"/>
      <c r="S514" s="47" t="s">
        <v>13292</v>
      </c>
      <c r="T514" s="47" t="s">
        <v>13295</v>
      </c>
      <c r="U514" s="47"/>
    </row>
    <row r="515" spans="1:21" x14ac:dyDescent="0.3">
      <c r="A515" s="46">
        <v>518</v>
      </c>
      <c r="B515" s="47" t="s">
        <v>13291</v>
      </c>
      <c r="C515" s="47" t="s">
        <v>13291</v>
      </c>
      <c r="D515" s="47" t="s">
        <v>13291</v>
      </c>
      <c r="E515" s="47" t="s">
        <v>13291</v>
      </c>
      <c r="F515" s="47" t="s">
        <v>13291</v>
      </c>
      <c r="G515" s="47" t="s">
        <v>13291</v>
      </c>
      <c r="H515" s="158">
        <v>1518</v>
      </c>
      <c r="I515" s="156" t="s">
        <v>5612</v>
      </c>
      <c r="J515" s="156" t="s">
        <v>11516</v>
      </c>
      <c r="K515" s="47"/>
      <c r="L515" s="47"/>
      <c r="M515" s="47"/>
      <c r="N515" s="156"/>
      <c r="O515" s="156" t="s">
        <v>157</v>
      </c>
      <c r="P515" s="47"/>
      <c r="Q515" s="47"/>
      <c r="R515" s="47"/>
      <c r="S515" s="47" t="s">
        <v>13292</v>
      </c>
      <c r="T515" s="47" t="s">
        <v>13295</v>
      </c>
      <c r="U515" s="47"/>
    </row>
    <row r="516" spans="1:21" x14ac:dyDescent="0.3">
      <c r="A516" s="46">
        <v>519</v>
      </c>
      <c r="B516" s="47" t="s">
        <v>13291</v>
      </c>
      <c r="C516" s="47" t="s">
        <v>13291</v>
      </c>
      <c r="D516" s="47" t="s">
        <v>13291</v>
      </c>
      <c r="E516" s="47" t="s">
        <v>13291</v>
      </c>
      <c r="F516" s="47" t="s">
        <v>13291</v>
      </c>
      <c r="G516" s="47" t="s">
        <v>13291</v>
      </c>
      <c r="H516" s="158">
        <v>1519</v>
      </c>
      <c r="I516" s="156" t="s">
        <v>5613</v>
      </c>
      <c r="J516" s="156" t="s">
        <v>12119</v>
      </c>
      <c r="K516" s="47"/>
      <c r="L516" s="47"/>
      <c r="M516" s="47"/>
      <c r="N516" s="156"/>
      <c r="O516" s="156" t="s">
        <v>157</v>
      </c>
      <c r="P516" s="47"/>
      <c r="Q516" s="47"/>
      <c r="R516" s="47"/>
      <c r="S516" s="47" t="s">
        <v>13292</v>
      </c>
      <c r="T516" s="47" t="s">
        <v>13295</v>
      </c>
      <c r="U516" s="47"/>
    </row>
    <row r="517" spans="1:21" x14ac:dyDescent="0.3">
      <c r="A517" s="46">
        <v>520</v>
      </c>
      <c r="B517" s="47" t="s">
        <v>13291</v>
      </c>
      <c r="C517" s="47" t="s">
        <v>13291</v>
      </c>
      <c r="D517" s="47" t="s">
        <v>13291</v>
      </c>
      <c r="E517" s="47" t="s">
        <v>13291</v>
      </c>
      <c r="F517" s="47" t="s">
        <v>13291</v>
      </c>
      <c r="G517" s="47" t="s">
        <v>13291</v>
      </c>
      <c r="H517" s="158">
        <v>1520</v>
      </c>
      <c r="I517" s="156" t="s">
        <v>5614</v>
      </c>
      <c r="J517" s="156" t="s">
        <v>12120</v>
      </c>
      <c r="K517" s="47"/>
      <c r="L517" s="47"/>
      <c r="M517" s="47"/>
      <c r="N517" s="156"/>
      <c r="O517" s="156" t="s">
        <v>157</v>
      </c>
      <c r="P517" s="47"/>
      <c r="Q517" s="47"/>
      <c r="R517" s="47"/>
      <c r="S517" s="47" t="s">
        <v>13292</v>
      </c>
      <c r="T517" s="47" t="s">
        <v>13295</v>
      </c>
      <c r="U517" s="47"/>
    </row>
    <row r="518" spans="1:21" x14ac:dyDescent="0.3">
      <c r="A518" s="46">
        <v>521</v>
      </c>
      <c r="B518" s="47" t="s">
        <v>13291</v>
      </c>
      <c r="C518" s="47" t="s">
        <v>13291</v>
      </c>
      <c r="D518" s="47" t="s">
        <v>13291</v>
      </c>
      <c r="E518" s="47" t="s">
        <v>13291</v>
      </c>
      <c r="F518" s="47" t="s">
        <v>13291</v>
      </c>
      <c r="G518" s="47" t="s">
        <v>13291</v>
      </c>
      <c r="H518" s="158">
        <v>1521</v>
      </c>
      <c r="I518" s="156" t="s">
        <v>11049</v>
      </c>
      <c r="J518" s="156" t="s">
        <v>11861</v>
      </c>
      <c r="K518" s="47"/>
      <c r="L518" s="47"/>
      <c r="M518" s="47"/>
      <c r="N518" s="156"/>
      <c r="O518" s="156" t="s">
        <v>157</v>
      </c>
      <c r="P518" s="47"/>
      <c r="Q518" s="47"/>
      <c r="R518" s="47"/>
      <c r="S518" s="47" t="s">
        <v>13292</v>
      </c>
      <c r="T518" s="47" t="s">
        <v>13295</v>
      </c>
      <c r="U518" s="47"/>
    </row>
    <row r="519" spans="1:21" x14ac:dyDescent="0.3">
      <c r="A519" s="46">
        <v>522</v>
      </c>
      <c r="B519" s="47" t="s">
        <v>13291</v>
      </c>
      <c r="C519" s="47" t="s">
        <v>13291</v>
      </c>
      <c r="D519" s="47" t="s">
        <v>13291</v>
      </c>
      <c r="E519" s="47" t="s">
        <v>13291</v>
      </c>
      <c r="F519" s="47" t="s">
        <v>13291</v>
      </c>
      <c r="G519" s="47" t="s">
        <v>13291</v>
      </c>
      <c r="H519" s="158">
        <v>1522</v>
      </c>
      <c r="I519" s="156" t="s">
        <v>11110</v>
      </c>
      <c r="J519" s="156" t="s">
        <v>11992</v>
      </c>
      <c r="K519" s="47"/>
      <c r="L519" s="47"/>
      <c r="M519" s="47"/>
      <c r="N519" s="156"/>
      <c r="O519" s="156" t="s">
        <v>157</v>
      </c>
      <c r="P519" s="47"/>
      <c r="Q519" s="47"/>
      <c r="R519" s="47"/>
      <c r="S519" s="47" t="s">
        <v>13292</v>
      </c>
      <c r="T519" s="47" t="s">
        <v>13295</v>
      </c>
      <c r="U519" s="47"/>
    </row>
    <row r="520" spans="1:21" x14ac:dyDescent="0.3">
      <c r="A520" s="46">
        <v>523</v>
      </c>
      <c r="B520" s="47" t="s">
        <v>13291</v>
      </c>
      <c r="C520" s="47" t="s">
        <v>13291</v>
      </c>
      <c r="D520" s="47" t="s">
        <v>13291</v>
      </c>
      <c r="E520" s="47" t="s">
        <v>13291</v>
      </c>
      <c r="F520" s="47" t="s">
        <v>13291</v>
      </c>
      <c r="G520" s="47" t="s">
        <v>13291</v>
      </c>
      <c r="H520" s="158">
        <v>1523</v>
      </c>
      <c r="I520" s="156" t="s">
        <v>11111</v>
      </c>
      <c r="J520" s="156" t="s">
        <v>11993</v>
      </c>
      <c r="K520" s="47"/>
      <c r="L520" s="47"/>
      <c r="M520" s="47"/>
      <c r="N520" s="156"/>
      <c r="O520" s="156" t="s">
        <v>157</v>
      </c>
      <c r="P520" s="47"/>
      <c r="Q520" s="47"/>
      <c r="R520" s="47"/>
      <c r="S520" s="47" t="s">
        <v>13292</v>
      </c>
      <c r="T520" s="47" t="s">
        <v>13295</v>
      </c>
      <c r="U520" s="47"/>
    </row>
    <row r="521" spans="1:21" x14ac:dyDescent="0.3">
      <c r="A521" s="46">
        <v>524</v>
      </c>
      <c r="B521" s="47" t="s">
        <v>13291</v>
      </c>
      <c r="C521" s="47" t="s">
        <v>13291</v>
      </c>
      <c r="D521" s="47" t="s">
        <v>13291</v>
      </c>
      <c r="E521" s="47" t="s">
        <v>13291</v>
      </c>
      <c r="F521" s="47" t="s">
        <v>13291</v>
      </c>
      <c r="G521" s="47" t="s">
        <v>13291</v>
      </c>
      <c r="H521" s="158">
        <v>1524</v>
      </c>
      <c r="I521" s="156" t="s">
        <v>11050</v>
      </c>
      <c r="J521" s="156" t="s">
        <v>11862</v>
      </c>
      <c r="K521" s="47"/>
      <c r="L521" s="47"/>
      <c r="M521" s="47"/>
      <c r="N521" s="156"/>
      <c r="O521" s="156" t="s">
        <v>157</v>
      </c>
      <c r="P521" s="47"/>
      <c r="Q521" s="47"/>
      <c r="R521" s="47"/>
      <c r="S521" s="47" t="s">
        <v>13292</v>
      </c>
      <c r="T521" s="47" t="s">
        <v>13295</v>
      </c>
      <c r="U521" s="47"/>
    </row>
    <row r="522" spans="1:21" x14ac:dyDescent="0.3">
      <c r="A522" s="46">
        <v>525</v>
      </c>
      <c r="B522" s="47" t="s">
        <v>13291</v>
      </c>
      <c r="C522" s="47" t="s">
        <v>13291</v>
      </c>
      <c r="D522" s="47" t="s">
        <v>13291</v>
      </c>
      <c r="E522" s="47" t="s">
        <v>13291</v>
      </c>
      <c r="F522" s="47" t="s">
        <v>13291</v>
      </c>
      <c r="G522" s="47" t="s">
        <v>13291</v>
      </c>
      <c r="H522" s="158">
        <v>1525</v>
      </c>
      <c r="I522" s="156" t="s">
        <v>5615</v>
      </c>
      <c r="J522" s="156" t="s">
        <v>12028</v>
      </c>
      <c r="K522" s="47"/>
      <c r="L522" s="47"/>
      <c r="M522" s="47"/>
      <c r="N522" s="156"/>
      <c r="O522" s="156" t="s">
        <v>157</v>
      </c>
      <c r="P522" s="47"/>
      <c r="Q522" s="47"/>
      <c r="R522" s="47"/>
      <c r="S522" s="47" t="s">
        <v>13292</v>
      </c>
      <c r="T522" s="47" t="s">
        <v>13295</v>
      </c>
      <c r="U522" s="47"/>
    </row>
    <row r="523" spans="1:21" x14ac:dyDescent="0.3">
      <c r="A523" s="46">
        <v>526</v>
      </c>
      <c r="B523" s="47" t="s">
        <v>13291</v>
      </c>
      <c r="C523" s="47" t="s">
        <v>13291</v>
      </c>
      <c r="D523" s="47" t="s">
        <v>13291</v>
      </c>
      <c r="E523" s="47" t="s">
        <v>13291</v>
      </c>
      <c r="F523" s="47" t="s">
        <v>13291</v>
      </c>
      <c r="G523" s="47" t="s">
        <v>13291</v>
      </c>
      <c r="H523" s="158">
        <v>1526</v>
      </c>
      <c r="I523" s="156" t="s">
        <v>11171</v>
      </c>
      <c r="J523" s="156" t="s">
        <v>12121</v>
      </c>
      <c r="K523" s="47"/>
      <c r="L523" s="47"/>
      <c r="M523" s="47"/>
      <c r="N523" s="156"/>
      <c r="O523" s="156" t="s">
        <v>157</v>
      </c>
      <c r="P523" s="47"/>
      <c r="Q523" s="47"/>
      <c r="R523" s="47"/>
      <c r="S523" s="47" t="s">
        <v>13292</v>
      </c>
      <c r="T523" s="47" t="s">
        <v>13295</v>
      </c>
      <c r="U523" s="47"/>
    </row>
    <row r="524" spans="1:21" x14ac:dyDescent="0.3">
      <c r="A524" s="46">
        <v>528</v>
      </c>
      <c r="B524" s="47" t="s">
        <v>13291</v>
      </c>
      <c r="C524" s="47" t="s">
        <v>13291</v>
      </c>
      <c r="D524" s="47" t="s">
        <v>13291</v>
      </c>
      <c r="E524" s="47" t="s">
        <v>13291</v>
      </c>
      <c r="F524" s="47" t="s">
        <v>13291</v>
      </c>
      <c r="G524" s="47" t="s">
        <v>13291</v>
      </c>
      <c r="H524" s="158">
        <v>1528</v>
      </c>
      <c r="I524" s="156" t="s">
        <v>10939</v>
      </c>
      <c r="J524" s="156" t="s">
        <v>11593</v>
      </c>
      <c r="K524" s="47"/>
      <c r="L524" s="47"/>
      <c r="M524" s="47"/>
      <c r="N524" s="156"/>
      <c r="O524" s="156" t="s">
        <v>157</v>
      </c>
      <c r="P524" s="47"/>
      <c r="Q524" s="47"/>
      <c r="R524" s="47"/>
      <c r="S524" s="47" t="s">
        <v>13292</v>
      </c>
      <c r="T524" s="47" t="s">
        <v>13295</v>
      </c>
      <c r="U524" s="47"/>
    </row>
    <row r="525" spans="1:21" x14ac:dyDescent="0.3">
      <c r="A525" s="46">
        <v>529</v>
      </c>
      <c r="B525" s="47" t="s">
        <v>13291</v>
      </c>
      <c r="C525" s="47" t="s">
        <v>13291</v>
      </c>
      <c r="D525" s="47" t="s">
        <v>13291</v>
      </c>
      <c r="E525" s="47" t="s">
        <v>13291</v>
      </c>
      <c r="F525" s="47" t="s">
        <v>13291</v>
      </c>
      <c r="G525" s="47" t="s">
        <v>13291</v>
      </c>
      <c r="H525" s="158">
        <v>1529</v>
      </c>
      <c r="I525" s="156" t="s">
        <v>5617</v>
      </c>
      <c r="J525" s="156" t="s">
        <v>11863</v>
      </c>
      <c r="K525" s="47"/>
      <c r="L525" s="47"/>
      <c r="M525" s="47"/>
      <c r="N525" s="156"/>
      <c r="O525" s="156" t="s">
        <v>157</v>
      </c>
      <c r="P525" s="47"/>
      <c r="Q525" s="47"/>
      <c r="R525" s="47"/>
      <c r="S525" s="47" t="s">
        <v>13292</v>
      </c>
      <c r="T525" s="47" t="s">
        <v>13295</v>
      </c>
      <c r="U525" s="47"/>
    </row>
    <row r="526" spans="1:21" x14ac:dyDescent="0.3">
      <c r="A526" s="46">
        <v>530</v>
      </c>
      <c r="B526" s="47" t="s">
        <v>13291</v>
      </c>
      <c r="C526" s="47" t="s">
        <v>13291</v>
      </c>
      <c r="D526" s="47" t="s">
        <v>13291</v>
      </c>
      <c r="E526" s="47" t="s">
        <v>13291</v>
      </c>
      <c r="F526" s="47" t="s">
        <v>13291</v>
      </c>
      <c r="G526" s="47" t="s">
        <v>13291</v>
      </c>
      <c r="H526" s="158">
        <v>1530</v>
      </c>
      <c r="I526" s="156" t="s">
        <v>5618</v>
      </c>
      <c r="J526" s="156" t="s">
        <v>12015</v>
      </c>
      <c r="K526" s="47"/>
      <c r="L526" s="47"/>
      <c r="M526" s="47"/>
      <c r="N526" s="156"/>
      <c r="O526" s="156" t="s">
        <v>157</v>
      </c>
      <c r="P526" s="47"/>
      <c r="Q526" s="47"/>
      <c r="R526" s="47"/>
      <c r="S526" s="47" t="s">
        <v>13292</v>
      </c>
      <c r="T526" s="47" t="s">
        <v>13295</v>
      </c>
      <c r="U526" s="47"/>
    </row>
    <row r="527" spans="1:21" x14ac:dyDescent="0.3">
      <c r="A527" s="46">
        <v>531</v>
      </c>
      <c r="B527" s="47" t="s">
        <v>13291</v>
      </c>
      <c r="C527" s="47" t="s">
        <v>13291</v>
      </c>
      <c r="D527" s="47" t="s">
        <v>13291</v>
      </c>
      <c r="E527" s="47" t="s">
        <v>13291</v>
      </c>
      <c r="F527" s="47" t="s">
        <v>13291</v>
      </c>
      <c r="G527" s="47" t="s">
        <v>13291</v>
      </c>
      <c r="H527" s="158">
        <v>1531</v>
      </c>
      <c r="I527" s="156" t="s">
        <v>5619</v>
      </c>
      <c r="J527" s="156" t="s">
        <v>11517</v>
      </c>
      <c r="K527" s="47"/>
      <c r="L527" s="47"/>
      <c r="M527" s="47"/>
      <c r="N527" s="156"/>
      <c r="O527" s="156" t="s">
        <v>157</v>
      </c>
      <c r="P527" s="47"/>
      <c r="Q527" s="47"/>
      <c r="R527" s="47"/>
      <c r="S527" s="47" t="s">
        <v>13292</v>
      </c>
      <c r="T527" s="47" t="s">
        <v>13295</v>
      </c>
      <c r="U527" s="47"/>
    </row>
    <row r="528" spans="1:21" x14ac:dyDescent="0.3">
      <c r="A528" s="46">
        <v>532</v>
      </c>
      <c r="B528" s="47" t="s">
        <v>13291</v>
      </c>
      <c r="C528" s="47" t="s">
        <v>13291</v>
      </c>
      <c r="D528" s="47" t="s">
        <v>13291</v>
      </c>
      <c r="E528" s="47" t="s">
        <v>13291</v>
      </c>
      <c r="F528" s="47" t="s">
        <v>13291</v>
      </c>
      <c r="G528" s="47" t="s">
        <v>13291</v>
      </c>
      <c r="H528" s="158">
        <v>1532</v>
      </c>
      <c r="I528" s="156" t="s">
        <v>10914</v>
      </c>
      <c r="J528" s="156" t="s">
        <v>11485</v>
      </c>
      <c r="K528" s="47"/>
      <c r="L528" s="47"/>
      <c r="M528" s="47"/>
      <c r="N528" s="156"/>
      <c r="O528" s="156" t="s">
        <v>157</v>
      </c>
      <c r="P528" s="47"/>
      <c r="Q528" s="47"/>
      <c r="R528" s="47"/>
      <c r="S528" s="47" t="s">
        <v>13292</v>
      </c>
      <c r="T528" s="47" t="s">
        <v>13295</v>
      </c>
      <c r="U528" s="47"/>
    </row>
    <row r="529" spans="1:21" x14ac:dyDescent="0.3">
      <c r="A529" s="46">
        <v>533</v>
      </c>
      <c r="B529" s="47" t="s">
        <v>13291</v>
      </c>
      <c r="C529" s="47" t="s">
        <v>13291</v>
      </c>
      <c r="D529" s="47" t="s">
        <v>13291</v>
      </c>
      <c r="E529" s="47" t="s">
        <v>13291</v>
      </c>
      <c r="F529" s="47" t="s">
        <v>13291</v>
      </c>
      <c r="G529" s="47" t="s">
        <v>13291</v>
      </c>
      <c r="H529" s="158">
        <v>1533</v>
      </c>
      <c r="I529" s="156" t="s">
        <v>5620</v>
      </c>
      <c r="J529" s="156" t="s">
        <v>11864</v>
      </c>
      <c r="K529" s="47"/>
      <c r="L529" s="47"/>
      <c r="M529" s="47"/>
      <c r="N529" s="156"/>
      <c r="O529" s="156" t="s">
        <v>157</v>
      </c>
      <c r="P529" s="47"/>
      <c r="Q529" s="47"/>
      <c r="R529" s="47"/>
      <c r="S529" s="47" t="s">
        <v>13292</v>
      </c>
      <c r="T529" s="47" t="s">
        <v>13295</v>
      </c>
      <c r="U529" s="47"/>
    </row>
    <row r="530" spans="1:21" x14ac:dyDescent="0.3">
      <c r="A530" s="46">
        <v>534</v>
      </c>
      <c r="B530" s="47" t="s">
        <v>13291</v>
      </c>
      <c r="C530" s="47" t="s">
        <v>13291</v>
      </c>
      <c r="D530" s="47" t="s">
        <v>13291</v>
      </c>
      <c r="E530" s="47" t="s">
        <v>13291</v>
      </c>
      <c r="F530" s="47" t="s">
        <v>13291</v>
      </c>
      <c r="G530" s="47" t="s">
        <v>13291</v>
      </c>
      <c r="H530" s="158">
        <v>1534</v>
      </c>
      <c r="I530" s="156" t="s">
        <v>11051</v>
      </c>
      <c r="J530" s="156" t="s">
        <v>11865</v>
      </c>
      <c r="K530" s="47"/>
      <c r="L530" s="47"/>
      <c r="M530" s="47"/>
      <c r="N530" s="156"/>
      <c r="O530" s="156" t="s">
        <v>157</v>
      </c>
      <c r="P530" s="47"/>
      <c r="Q530" s="47"/>
      <c r="R530" s="47"/>
      <c r="S530" s="47" t="s">
        <v>13292</v>
      </c>
      <c r="T530" s="47" t="s">
        <v>13295</v>
      </c>
      <c r="U530" s="47"/>
    </row>
    <row r="531" spans="1:21" x14ac:dyDescent="0.3">
      <c r="A531" s="46">
        <v>535</v>
      </c>
      <c r="B531" s="47" t="s">
        <v>13291</v>
      </c>
      <c r="C531" s="47" t="s">
        <v>13291</v>
      </c>
      <c r="D531" s="47" t="s">
        <v>13291</v>
      </c>
      <c r="E531" s="47" t="s">
        <v>13291</v>
      </c>
      <c r="F531" s="47" t="s">
        <v>13291</v>
      </c>
      <c r="G531" s="47" t="s">
        <v>13291</v>
      </c>
      <c r="H531" s="158">
        <v>1535</v>
      </c>
      <c r="I531" s="156" t="s">
        <v>11134</v>
      </c>
      <c r="J531" s="156" t="s">
        <v>12029</v>
      </c>
      <c r="K531" s="47"/>
      <c r="L531" s="47"/>
      <c r="M531" s="47"/>
      <c r="N531" s="156"/>
      <c r="O531" s="156" t="s">
        <v>157</v>
      </c>
      <c r="P531" s="47"/>
      <c r="Q531" s="47"/>
      <c r="R531" s="47"/>
      <c r="S531" s="47" t="s">
        <v>13292</v>
      </c>
      <c r="T531" s="47" t="s">
        <v>13295</v>
      </c>
      <c r="U531" s="47"/>
    </row>
    <row r="532" spans="1:21" x14ac:dyDescent="0.3">
      <c r="A532" s="46">
        <v>536</v>
      </c>
      <c r="B532" s="47" t="s">
        <v>13291</v>
      </c>
      <c r="C532" s="47" t="s">
        <v>13291</v>
      </c>
      <c r="D532" s="47" t="s">
        <v>13291</v>
      </c>
      <c r="E532" s="47" t="s">
        <v>13291</v>
      </c>
      <c r="F532" s="47" t="s">
        <v>13291</v>
      </c>
      <c r="G532" s="47" t="s">
        <v>13291</v>
      </c>
      <c r="H532" s="158">
        <v>1536</v>
      </c>
      <c r="I532" s="156" t="s">
        <v>11172</v>
      </c>
      <c r="J532" s="156" t="s">
        <v>12122</v>
      </c>
      <c r="K532" s="47"/>
      <c r="L532" s="47"/>
      <c r="M532" s="47"/>
      <c r="N532" s="156"/>
      <c r="O532" s="156" t="s">
        <v>157</v>
      </c>
      <c r="P532" s="47"/>
      <c r="Q532" s="47"/>
      <c r="R532" s="47"/>
      <c r="S532" s="47" t="s">
        <v>13292</v>
      </c>
      <c r="T532" s="47" t="s">
        <v>13295</v>
      </c>
      <c r="U532" s="47"/>
    </row>
    <row r="533" spans="1:21" x14ac:dyDescent="0.3">
      <c r="A533" s="46">
        <v>537</v>
      </c>
      <c r="B533" s="47" t="s">
        <v>13291</v>
      </c>
      <c r="C533" s="47" t="s">
        <v>13291</v>
      </c>
      <c r="D533" s="47" t="s">
        <v>13291</v>
      </c>
      <c r="E533" s="47" t="s">
        <v>13291</v>
      </c>
      <c r="F533" s="47" t="s">
        <v>13291</v>
      </c>
      <c r="G533" s="47" t="s">
        <v>13291</v>
      </c>
      <c r="H533" s="158">
        <v>1537</v>
      </c>
      <c r="I533" s="156" t="s">
        <v>11052</v>
      </c>
      <c r="J533" s="156" t="s">
        <v>11866</v>
      </c>
      <c r="K533" s="47"/>
      <c r="L533" s="47"/>
      <c r="M533" s="47"/>
      <c r="N533" s="156"/>
      <c r="O533" s="156" t="s">
        <v>157</v>
      </c>
      <c r="P533" s="47"/>
      <c r="Q533" s="47"/>
      <c r="R533" s="47"/>
      <c r="S533" s="47" t="s">
        <v>13292</v>
      </c>
      <c r="T533" s="47" t="s">
        <v>13295</v>
      </c>
      <c r="U533" s="47"/>
    </row>
    <row r="534" spans="1:21" x14ac:dyDescent="0.3">
      <c r="A534" s="46">
        <v>538</v>
      </c>
      <c r="B534" s="47" t="s">
        <v>13291</v>
      </c>
      <c r="C534" s="47" t="s">
        <v>13291</v>
      </c>
      <c r="D534" s="47" t="s">
        <v>13291</v>
      </c>
      <c r="E534" s="47" t="s">
        <v>13291</v>
      </c>
      <c r="F534" s="47" t="s">
        <v>13291</v>
      </c>
      <c r="G534" s="47" t="s">
        <v>13291</v>
      </c>
      <c r="H534" s="158">
        <v>1538</v>
      </c>
      <c r="I534" s="156" t="s">
        <v>11053</v>
      </c>
      <c r="J534" s="156" t="s">
        <v>11867</v>
      </c>
      <c r="K534" s="47"/>
      <c r="L534" s="47"/>
      <c r="M534" s="47"/>
      <c r="N534" s="156"/>
      <c r="O534" s="156" t="s">
        <v>157</v>
      </c>
      <c r="P534" s="47"/>
      <c r="Q534" s="47"/>
      <c r="R534" s="47"/>
      <c r="S534" s="47" t="s">
        <v>13292</v>
      </c>
      <c r="T534" s="47" t="s">
        <v>13295</v>
      </c>
      <c r="U534" s="47"/>
    </row>
    <row r="535" spans="1:21" x14ac:dyDescent="0.3">
      <c r="A535" s="46">
        <v>539</v>
      </c>
      <c r="B535" s="47" t="s">
        <v>13291</v>
      </c>
      <c r="C535" s="47" t="s">
        <v>13291</v>
      </c>
      <c r="D535" s="47" t="s">
        <v>13291</v>
      </c>
      <c r="E535" s="47" t="s">
        <v>13291</v>
      </c>
      <c r="F535" s="47" t="s">
        <v>13291</v>
      </c>
      <c r="G535" s="47" t="s">
        <v>13291</v>
      </c>
      <c r="H535" s="158">
        <v>1539</v>
      </c>
      <c r="I535" s="156" t="s">
        <v>10940</v>
      </c>
      <c r="J535" s="156" t="s">
        <v>11594</v>
      </c>
      <c r="K535" s="47"/>
      <c r="L535" s="47"/>
      <c r="M535" s="47"/>
      <c r="N535" s="156"/>
      <c r="O535" s="156" t="s">
        <v>157</v>
      </c>
      <c r="P535" s="47"/>
      <c r="Q535" s="47"/>
      <c r="R535" s="47"/>
      <c r="S535" s="47" t="s">
        <v>13292</v>
      </c>
      <c r="T535" s="47" t="s">
        <v>13295</v>
      </c>
      <c r="U535" s="47"/>
    </row>
    <row r="536" spans="1:21" x14ac:dyDescent="0.3">
      <c r="A536" s="46">
        <v>540</v>
      </c>
      <c r="B536" s="47" t="s">
        <v>13291</v>
      </c>
      <c r="C536" s="47" t="s">
        <v>13291</v>
      </c>
      <c r="D536" s="47" t="s">
        <v>13291</v>
      </c>
      <c r="E536" s="47" t="s">
        <v>13291</v>
      </c>
      <c r="F536" s="47" t="s">
        <v>13291</v>
      </c>
      <c r="G536" s="47" t="s">
        <v>13291</v>
      </c>
      <c r="H536" s="158">
        <v>1540</v>
      </c>
      <c r="I536" s="156" t="s">
        <v>11189</v>
      </c>
      <c r="J536" s="156" t="s">
        <v>12166</v>
      </c>
      <c r="K536" s="47"/>
      <c r="L536" s="47"/>
      <c r="M536" s="47"/>
      <c r="N536" s="156"/>
      <c r="O536" s="156" t="s">
        <v>157</v>
      </c>
      <c r="P536" s="47"/>
      <c r="Q536" s="47"/>
      <c r="R536" s="47"/>
      <c r="S536" s="47" t="s">
        <v>13292</v>
      </c>
      <c r="T536" s="47" t="s">
        <v>13295</v>
      </c>
      <c r="U536" s="47"/>
    </row>
    <row r="537" spans="1:21" x14ac:dyDescent="0.3">
      <c r="A537" s="46">
        <v>541</v>
      </c>
      <c r="B537" s="47" t="s">
        <v>13291</v>
      </c>
      <c r="C537" s="47" t="s">
        <v>13291</v>
      </c>
      <c r="D537" s="47" t="s">
        <v>13291</v>
      </c>
      <c r="E537" s="47" t="s">
        <v>13291</v>
      </c>
      <c r="F537" s="47" t="s">
        <v>13291</v>
      </c>
      <c r="G537" s="47" t="s">
        <v>13291</v>
      </c>
      <c r="H537" s="158">
        <v>1541</v>
      </c>
      <c r="I537" s="156" t="s">
        <v>11190</v>
      </c>
      <c r="J537" s="156" t="s">
        <v>12167</v>
      </c>
      <c r="K537" s="47"/>
      <c r="L537" s="47"/>
      <c r="M537" s="47"/>
      <c r="N537" s="156"/>
      <c r="O537" s="156" t="s">
        <v>157</v>
      </c>
      <c r="P537" s="47"/>
      <c r="Q537" s="47"/>
      <c r="R537" s="47"/>
      <c r="S537" s="47" t="s">
        <v>13292</v>
      </c>
      <c r="T537" s="47" t="s">
        <v>13295</v>
      </c>
      <c r="U537" s="47"/>
    </row>
    <row r="538" spans="1:21" x14ac:dyDescent="0.3">
      <c r="A538" s="46">
        <v>542</v>
      </c>
      <c r="B538" s="47" t="s">
        <v>13291</v>
      </c>
      <c r="C538" s="47" t="s">
        <v>13291</v>
      </c>
      <c r="D538" s="47" t="s">
        <v>13291</v>
      </c>
      <c r="E538" s="47" t="s">
        <v>13291</v>
      </c>
      <c r="F538" s="47" t="s">
        <v>13291</v>
      </c>
      <c r="G538" s="47" t="s">
        <v>13291</v>
      </c>
      <c r="H538" s="158">
        <v>1542</v>
      </c>
      <c r="I538" s="156" t="s">
        <v>5621</v>
      </c>
      <c r="J538" s="156" t="s">
        <v>11969</v>
      </c>
      <c r="K538" s="47"/>
      <c r="L538" s="47"/>
      <c r="M538" s="47"/>
      <c r="N538" s="156"/>
      <c r="O538" s="156" t="s">
        <v>157</v>
      </c>
      <c r="P538" s="47"/>
      <c r="Q538" s="47"/>
      <c r="R538" s="47"/>
      <c r="S538" s="47" t="s">
        <v>13292</v>
      </c>
      <c r="T538" s="47" t="s">
        <v>13295</v>
      </c>
      <c r="U538" s="47"/>
    </row>
    <row r="539" spans="1:21" x14ac:dyDescent="0.3">
      <c r="A539" s="46">
        <v>543</v>
      </c>
      <c r="B539" s="47" t="s">
        <v>13291</v>
      </c>
      <c r="C539" s="47" t="s">
        <v>13291</v>
      </c>
      <c r="D539" s="47" t="s">
        <v>13291</v>
      </c>
      <c r="E539" s="47" t="s">
        <v>13291</v>
      </c>
      <c r="F539" s="47" t="s">
        <v>13291</v>
      </c>
      <c r="G539" s="47" t="s">
        <v>13291</v>
      </c>
      <c r="H539" s="158">
        <v>1543</v>
      </c>
      <c r="I539" s="156" t="s">
        <v>5622</v>
      </c>
      <c r="J539" s="156" t="s">
        <v>11994</v>
      </c>
      <c r="K539" s="47"/>
      <c r="L539" s="47"/>
      <c r="M539" s="47"/>
      <c r="N539" s="156"/>
      <c r="O539" s="156" t="s">
        <v>157</v>
      </c>
      <c r="P539" s="47"/>
      <c r="Q539" s="47"/>
      <c r="R539" s="47"/>
      <c r="S539" s="47" t="s">
        <v>13292</v>
      </c>
      <c r="T539" s="47" t="s">
        <v>13295</v>
      </c>
      <c r="U539" s="47"/>
    </row>
    <row r="540" spans="1:21" x14ac:dyDescent="0.3">
      <c r="A540" s="46">
        <v>544</v>
      </c>
      <c r="B540" s="47" t="s">
        <v>13291</v>
      </c>
      <c r="C540" s="47" t="s">
        <v>13291</v>
      </c>
      <c r="D540" s="47" t="s">
        <v>13291</v>
      </c>
      <c r="E540" s="47" t="s">
        <v>13291</v>
      </c>
      <c r="F540" s="47" t="s">
        <v>13291</v>
      </c>
      <c r="G540" s="47" t="s">
        <v>13291</v>
      </c>
      <c r="H540" s="158">
        <v>1544</v>
      </c>
      <c r="I540" s="156" t="s">
        <v>5623</v>
      </c>
      <c r="J540" s="156" t="s">
        <v>11995</v>
      </c>
      <c r="K540" s="47"/>
      <c r="L540" s="47"/>
      <c r="M540" s="47"/>
      <c r="N540" s="156"/>
      <c r="O540" s="156" t="s">
        <v>157</v>
      </c>
      <c r="P540" s="47"/>
      <c r="Q540" s="47"/>
      <c r="R540" s="47"/>
      <c r="S540" s="47" t="s">
        <v>13292</v>
      </c>
      <c r="T540" s="47" t="s">
        <v>13295</v>
      </c>
      <c r="U540" s="47"/>
    </row>
    <row r="541" spans="1:21" x14ac:dyDescent="0.3">
      <c r="A541" s="46">
        <v>545</v>
      </c>
      <c r="B541" s="47" t="s">
        <v>13291</v>
      </c>
      <c r="C541" s="47" t="s">
        <v>13291</v>
      </c>
      <c r="D541" s="47" t="s">
        <v>13291</v>
      </c>
      <c r="E541" s="47" t="s">
        <v>13291</v>
      </c>
      <c r="F541" s="47" t="s">
        <v>13291</v>
      </c>
      <c r="G541" s="47" t="s">
        <v>13291</v>
      </c>
      <c r="H541" s="158">
        <v>1545</v>
      </c>
      <c r="I541" s="156" t="s">
        <v>5624</v>
      </c>
      <c r="J541" s="156" t="s">
        <v>11996</v>
      </c>
      <c r="K541" s="47"/>
      <c r="L541" s="47"/>
      <c r="M541" s="47"/>
      <c r="N541" s="156"/>
      <c r="O541" s="156" t="s">
        <v>157</v>
      </c>
      <c r="P541" s="47"/>
      <c r="Q541" s="47"/>
      <c r="R541" s="47"/>
      <c r="S541" s="47" t="s">
        <v>13292</v>
      </c>
      <c r="T541" s="47" t="s">
        <v>13295</v>
      </c>
      <c r="U541" s="47"/>
    </row>
    <row r="542" spans="1:21" x14ac:dyDescent="0.3">
      <c r="A542" s="46">
        <v>546</v>
      </c>
      <c r="B542" s="47" t="s">
        <v>13291</v>
      </c>
      <c r="C542" s="47" t="s">
        <v>13291</v>
      </c>
      <c r="D542" s="47" t="s">
        <v>13291</v>
      </c>
      <c r="E542" s="47" t="s">
        <v>13291</v>
      </c>
      <c r="F542" s="47" t="s">
        <v>13291</v>
      </c>
      <c r="G542" s="47" t="s">
        <v>13291</v>
      </c>
      <c r="H542" s="158">
        <v>1546</v>
      </c>
      <c r="I542" s="156" t="s">
        <v>11054</v>
      </c>
      <c r="J542" s="156" t="s">
        <v>11868</v>
      </c>
      <c r="K542" s="47"/>
      <c r="L542" s="47"/>
      <c r="M542" s="47"/>
      <c r="N542" s="156"/>
      <c r="O542" s="156" t="s">
        <v>157</v>
      </c>
      <c r="P542" s="47"/>
      <c r="Q542" s="47"/>
      <c r="R542" s="47"/>
      <c r="S542" s="47" t="s">
        <v>13292</v>
      </c>
      <c r="T542" s="47" t="s">
        <v>13295</v>
      </c>
      <c r="U542" s="47"/>
    </row>
    <row r="543" spans="1:21" x14ac:dyDescent="0.3">
      <c r="A543" s="46">
        <v>547</v>
      </c>
      <c r="B543" s="47" t="s">
        <v>13291</v>
      </c>
      <c r="C543" s="47" t="s">
        <v>13291</v>
      </c>
      <c r="D543" s="47" t="s">
        <v>13291</v>
      </c>
      <c r="E543" s="47" t="s">
        <v>13291</v>
      </c>
      <c r="F543" s="47" t="s">
        <v>13291</v>
      </c>
      <c r="G543" s="47" t="s">
        <v>13291</v>
      </c>
      <c r="H543" s="158">
        <v>1547</v>
      </c>
      <c r="I543" s="156" t="s">
        <v>11055</v>
      </c>
      <c r="J543" s="156" t="s">
        <v>11869</v>
      </c>
      <c r="K543" s="47"/>
      <c r="L543" s="47"/>
      <c r="M543" s="47"/>
      <c r="N543" s="156"/>
      <c r="O543" s="156" t="s">
        <v>157</v>
      </c>
      <c r="P543" s="47"/>
      <c r="Q543" s="47"/>
      <c r="R543" s="47"/>
      <c r="S543" s="47" t="s">
        <v>13292</v>
      </c>
      <c r="T543" s="47" t="s">
        <v>13295</v>
      </c>
      <c r="U543" s="47"/>
    </row>
    <row r="544" spans="1:21" x14ac:dyDescent="0.3">
      <c r="A544" s="46">
        <v>548</v>
      </c>
      <c r="B544" s="47" t="s">
        <v>13291</v>
      </c>
      <c r="C544" s="47" t="s">
        <v>13291</v>
      </c>
      <c r="D544" s="47" t="s">
        <v>13291</v>
      </c>
      <c r="E544" s="47" t="s">
        <v>13291</v>
      </c>
      <c r="F544" s="47" t="s">
        <v>13291</v>
      </c>
      <c r="G544" s="47" t="s">
        <v>13291</v>
      </c>
      <c r="H544" s="158">
        <v>1548</v>
      </c>
      <c r="I544" s="156" t="s">
        <v>5625</v>
      </c>
      <c r="J544" s="156" t="s">
        <v>11870</v>
      </c>
      <c r="K544" s="47"/>
      <c r="L544" s="47"/>
      <c r="M544" s="47"/>
      <c r="N544" s="156"/>
      <c r="O544" s="156" t="s">
        <v>157</v>
      </c>
      <c r="P544" s="47"/>
      <c r="Q544" s="47"/>
      <c r="R544" s="47"/>
      <c r="S544" s="47" t="s">
        <v>13292</v>
      </c>
      <c r="T544" s="47" t="s">
        <v>13295</v>
      </c>
      <c r="U544" s="47"/>
    </row>
    <row r="545" spans="1:21" x14ac:dyDescent="0.3">
      <c r="A545" s="46">
        <v>549</v>
      </c>
      <c r="B545" s="47" t="s">
        <v>13291</v>
      </c>
      <c r="C545" s="47" t="s">
        <v>13291</v>
      </c>
      <c r="D545" s="47" t="s">
        <v>13291</v>
      </c>
      <c r="E545" s="47" t="s">
        <v>13291</v>
      </c>
      <c r="F545" s="47" t="s">
        <v>13291</v>
      </c>
      <c r="G545" s="47" t="s">
        <v>13291</v>
      </c>
      <c r="H545" s="158">
        <v>1549</v>
      </c>
      <c r="I545" s="156" t="s">
        <v>11056</v>
      </c>
      <c r="J545" s="156" t="s">
        <v>11871</v>
      </c>
      <c r="K545" s="47"/>
      <c r="L545" s="47"/>
      <c r="M545" s="47"/>
      <c r="N545" s="156"/>
      <c r="O545" s="156" t="s">
        <v>157</v>
      </c>
      <c r="P545" s="47"/>
      <c r="Q545" s="47"/>
      <c r="R545" s="47"/>
      <c r="S545" s="47" t="s">
        <v>13292</v>
      </c>
      <c r="T545" s="47" t="s">
        <v>13295</v>
      </c>
      <c r="U545" s="47"/>
    </row>
    <row r="546" spans="1:21" x14ac:dyDescent="0.3">
      <c r="A546" s="46">
        <v>550</v>
      </c>
      <c r="B546" s="47" t="s">
        <v>13291</v>
      </c>
      <c r="C546" s="47" t="s">
        <v>13291</v>
      </c>
      <c r="D546" s="47" t="s">
        <v>13291</v>
      </c>
      <c r="E546" s="47" t="s">
        <v>13291</v>
      </c>
      <c r="F546" s="47" t="s">
        <v>13291</v>
      </c>
      <c r="G546" s="47" t="s">
        <v>13291</v>
      </c>
      <c r="H546" s="158">
        <v>1550</v>
      </c>
      <c r="I546" s="156" t="s">
        <v>5626</v>
      </c>
      <c r="J546" s="156" t="s">
        <v>11486</v>
      </c>
      <c r="K546" s="47"/>
      <c r="L546" s="47"/>
      <c r="M546" s="47"/>
      <c r="N546" s="156"/>
      <c r="O546" s="156" t="s">
        <v>157</v>
      </c>
      <c r="P546" s="47"/>
      <c r="Q546" s="47"/>
      <c r="R546" s="47"/>
      <c r="S546" s="47" t="s">
        <v>13292</v>
      </c>
      <c r="T546" s="47" t="s">
        <v>13295</v>
      </c>
      <c r="U546" s="47"/>
    </row>
    <row r="547" spans="1:21" x14ac:dyDescent="0.3">
      <c r="A547" s="46">
        <v>551</v>
      </c>
      <c r="B547" s="47" t="s">
        <v>13291</v>
      </c>
      <c r="C547" s="47" t="s">
        <v>13291</v>
      </c>
      <c r="D547" s="47" t="s">
        <v>13291</v>
      </c>
      <c r="E547" s="47" t="s">
        <v>13291</v>
      </c>
      <c r="F547" s="47" t="s">
        <v>13291</v>
      </c>
      <c r="G547" s="47" t="s">
        <v>13291</v>
      </c>
      <c r="H547" s="158">
        <v>1551</v>
      </c>
      <c r="I547" s="156" t="s">
        <v>5627</v>
      </c>
      <c r="J547" s="156" t="s">
        <v>11518</v>
      </c>
      <c r="K547" s="47"/>
      <c r="L547" s="47"/>
      <c r="M547" s="47"/>
      <c r="N547" s="156"/>
      <c r="O547" s="156" t="s">
        <v>157</v>
      </c>
      <c r="P547" s="47"/>
      <c r="Q547" s="47"/>
      <c r="R547" s="47"/>
      <c r="S547" s="47" t="s">
        <v>13292</v>
      </c>
      <c r="T547" s="47" t="s">
        <v>13295</v>
      </c>
      <c r="U547" s="47"/>
    </row>
    <row r="548" spans="1:21" x14ac:dyDescent="0.3">
      <c r="A548" s="46">
        <v>552</v>
      </c>
      <c r="B548" s="47" t="s">
        <v>13291</v>
      </c>
      <c r="C548" s="47" t="s">
        <v>13291</v>
      </c>
      <c r="D548" s="47" t="s">
        <v>13291</v>
      </c>
      <c r="E548" s="47" t="s">
        <v>13291</v>
      </c>
      <c r="F548" s="47" t="s">
        <v>13291</v>
      </c>
      <c r="G548" s="47" t="s">
        <v>13291</v>
      </c>
      <c r="H548" s="158">
        <v>1552</v>
      </c>
      <c r="I548" s="156" t="s">
        <v>5628</v>
      </c>
      <c r="J548" s="156" t="s">
        <v>11519</v>
      </c>
      <c r="K548" s="47"/>
      <c r="L548" s="47"/>
      <c r="M548" s="47"/>
      <c r="N548" s="156"/>
      <c r="O548" s="156" t="s">
        <v>157</v>
      </c>
      <c r="P548" s="47"/>
      <c r="Q548" s="47"/>
      <c r="R548" s="47"/>
      <c r="S548" s="47" t="s">
        <v>13292</v>
      </c>
      <c r="T548" s="47" t="s">
        <v>13295</v>
      </c>
      <c r="U548" s="47"/>
    </row>
    <row r="549" spans="1:21" x14ac:dyDescent="0.3">
      <c r="A549" s="46">
        <v>553</v>
      </c>
      <c r="B549" s="47" t="s">
        <v>13291</v>
      </c>
      <c r="C549" s="47" t="s">
        <v>13291</v>
      </c>
      <c r="D549" s="47" t="s">
        <v>13291</v>
      </c>
      <c r="E549" s="47" t="s">
        <v>13291</v>
      </c>
      <c r="F549" s="47" t="s">
        <v>13291</v>
      </c>
      <c r="G549" s="47" t="s">
        <v>13291</v>
      </c>
      <c r="H549" s="158">
        <v>1553</v>
      </c>
      <c r="I549" s="156" t="s">
        <v>5629</v>
      </c>
      <c r="J549" s="156" t="s">
        <v>11872</v>
      </c>
      <c r="K549" s="47"/>
      <c r="L549" s="47"/>
      <c r="M549" s="47"/>
      <c r="N549" s="156"/>
      <c r="O549" s="156" t="s">
        <v>157</v>
      </c>
      <c r="P549" s="47"/>
      <c r="Q549" s="47"/>
      <c r="R549" s="47"/>
      <c r="S549" s="47" t="s">
        <v>13292</v>
      </c>
      <c r="T549" s="47" t="s">
        <v>13295</v>
      </c>
      <c r="U549" s="47"/>
    </row>
    <row r="550" spans="1:21" x14ac:dyDescent="0.3">
      <c r="A550" s="46">
        <v>554</v>
      </c>
      <c r="B550" s="47" t="s">
        <v>13291</v>
      </c>
      <c r="C550" s="47" t="s">
        <v>13291</v>
      </c>
      <c r="D550" s="47" t="s">
        <v>13291</v>
      </c>
      <c r="E550" s="47" t="s">
        <v>13291</v>
      </c>
      <c r="F550" s="47" t="s">
        <v>13291</v>
      </c>
      <c r="G550" s="47" t="s">
        <v>13291</v>
      </c>
      <c r="H550" s="158">
        <v>1554</v>
      </c>
      <c r="I550" s="156" t="s">
        <v>11057</v>
      </c>
      <c r="J550" s="156" t="s">
        <v>11873</v>
      </c>
      <c r="K550" s="47"/>
      <c r="L550" s="47"/>
      <c r="M550" s="47"/>
      <c r="N550" s="156"/>
      <c r="O550" s="156" t="s">
        <v>157</v>
      </c>
      <c r="P550" s="47"/>
      <c r="Q550" s="47"/>
      <c r="R550" s="47"/>
      <c r="S550" s="47" t="s">
        <v>13292</v>
      </c>
      <c r="T550" s="47" t="s">
        <v>13295</v>
      </c>
      <c r="U550" s="47"/>
    </row>
    <row r="551" spans="1:21" x14ac:dyDescent="0.3">
      <c r="A551" s="46">
        <v>555</v>
      </c>
      <c r="B551" s="47" t="s">
        <v>13291</v>
      </c>
      <c r="C551" s="47" t="s">
        <v>13291</v>
      </c>
      <c r="D551" s="47" t="s">
        <v>13291</v>
      </c>
      <c r="E551" s="47" t="s">
        <v>13291</v>
      </c>
      <c r="F551" s="47" t="s">
        <v>13291</v>
      </c>
      <c r="G551" s="47" t="s">
        <v>13291</v>
      </c>
      <c r="H551" s="158">
        <v>1555</v>
      </c>
      <c r="I551" s="156" t="s">
        <v>11058</v>
      </c>
      <c r="J551" s="156" t="s">
        <v>11874</v>
      </c>
      <c r="K551" s="47"/>
      <c r="L551" s="47"/>
      <c r="M551" s="47"/>
      <c r="N551" s="156"/>
      <c r="O551" s="156" t="s">
        <v>157</v>
      </c>
      <c r="P551" s="47"/>
      <c r="Q551" s="47"/>
      <c r="R551" s="47"/>
      <c r="S551" s="47" t="s">
        <v>13292</v>
      </c>
      <c r="T551" s="47" t="s">
        <v>13295</v>
      </c>
      <c r="U551" s="47"/>
    </row>
    <row r="552" spans="1:21" x14ac:dyDescent="0.3">
      <c r="A552" s="46">
        <v>556</v>
      </c>
      <c r="B552" s="47" t="s">
        <v>13291</v>
      </c>
      <c r="C552" s="47" t="s">
        <v>13291</v>
      </c>
      <c r="D552" s="47" t="s">
        <v>13291</v>
      </c>
      <c r="E552" s="47" t="s">
        <v>13291</v>
      </c>
      <c r="F552" s="47" t="s">
        <v>13291</v>
      </c>
      <c r="G552" s="47" t="s">
        <v>13291</v>
      </c>
      <c r="H552" s="158">
        <v>1556</v>
      </c>
      <c r="I552" s="156" t="s">
        <v>11059</v>
      </c>
      <c r="J552" s="156" t="s">
        <v>11875</v>
      </c>
      <c r="K552" s="47"/>
      <c r="L552" s="47"/>
      <c r="M552" s="47"/>
      <c r="N552" s="156"/>
      <c r="O552" s="156" t="s">
        <v>157</v>
      </c>
      <c r="P552" s="47"/>
      <c r="Q552" s="47"/>
      <c r="R552" s="47"/>
      <c r="S552" s="47" t="s">
        <v>13292</v>
      </c>
      <c r="T552" s="47" t="s">
        <v>13295</v>
      </c>
      <c r="U552" s="47"/>
    </row>
    <row r="553" spans="1:21" x14ac:dyDescent="0.3">
      <c r="A553" s="46">
        <v>557</v>
      </c>
      <c r="B553" s="47" t="s">
        <v>13291</v>
      </c>
      <c r="C553" s="47" t="s">
        <v>13291</v>
      </c>
      <c r="D553" s="47" t="s">
        <v>13291</v>
      </c>
      <c r="E553" s="47" t="s">
        <v>13291</v>
      </c>
      <c r="F553" s="47" t="s">
        <v>13291</v>
      </c>
      <c r="G553" s="47" t="s">
        <v>13291</v>
      </c>
      <c r="H553" s="158">
        <v>1557</v>
      </c>
      <c r="I553" s="156" t="s">
        <v>5630</v>
      </c>
      <c r="J553" s="156" t="s">
        <v>11542</v>
      </c>
      <c r="K553" s="47"/>
      <c r="L553" s="47"/>
      <c r="M553" s="47"/>
      <c r="N553" s="156"/>
      <c r="O553" s="156" t="s">
        <v>157</v>
      </c>
      <c r="P553" s="47"/>
      <c r="Q553" s="47"/>
      <c r="R553" s="47"/>
      <c r="S553" s="47" t="s">
        <v>13292</v>
      </c>
      <c r="T553" s="47" t="s">
        <v>13295</v>
      </c>
      <c r="U553" s="47"/>
    </row>
    <row r="554" spans="1:21" x14ac:dyDescent="0.3">
      <c r="A554" s="46">
        <v>558</v>
      </c>
      <c r="B554" s="47" t="s">
        <v>13291</v>
      </c>
      <c r="C554" s="47" t="s">
        <v>13291</v>
      </c>
      <c r="D554" s="47" t="s">
        <v>13291</v>
      </c>
      <c r="E554" s="47" t="s">
        <v>13291</v>
      </c>
      <c r="F554" s="47" t="s">
        <v>13291</v>
      </c>
      <c r="G554" s="47" t="s">
        <v>13291</v>
      </c>
      <c r="H554" s="158">
        <v>1558</v>
      </c>
      <c r="I554" s="156" t="s">
        <v>5631</v>
      </c>
      <c r="J554" s="156" t="s">
        <v>11597</v>
      </c>
      <c r="K554" s="47"/>
      <c r="L554" s="47"/>
      <c r="M554" s="47"/>
      <c r="N554" s="156"/>
      <c r="O554" s="156" t="s">
        <v>157</v>
      </c>
      <c r="P554" s="47"/>
      <c r="Q554" s="47"/>
      <c r="R554" s="47"/>
      <c r="S554" s="47" t="s">
        <v>13292</v>
      </c>
      <c r="T554" s="47" t="s">
        <v>13295</v>
      </c>
      <c r="U554" s="47"/>
    </row>
    <row r="555" spans="1:21" x14ac:dyDescent="0.3">
      <c r="A555" s="46">
        <v>559</v>
      </c>
      <c r="B555" s="47" t="s">
        <v>13291</v>
      </c>
      <c r="C555" s="47" t="s">
        <v>13291</v>
      </c>
      <c r="D555" s="47" t="s">
        <v>13291</v>
      </c>
      <c r="E555" s="47" t="s">
        <v>13291</v>
      </c>
      <c r="F555" s="47" t="s">
        <v>13291</v>
      </c>
      <c r="G555" s="47" t="s">
        <v>13291</v>
      </c>
      <c r="H555" s="158">
        <v>1559</v>
      </c>
      <c r="I555" s="156" t="s">
        <v>5632</v>
      </c>
      <c r="J555" s="156" t="s">
        <v>11543</v>
      </c>
      <c r="K555" s="47"/>
      <c r="L555" s="47"/>
      <c r="M555" s="47"/>
      <c r="N555" s="156"/>
      <c r="O555" s="156" t="s">
        <v>157</v>
      </c>
      <c r="P555" s="47"/>
      <c r="Q555" s="47"/>
      <c r="R555" s="47"/>
      <c r="S555" s="47" t="s">
        <v>13292</v>
      </c>
      <c r="T555" s="47" t="s">
        <v>13295</v>
      </c>
      <c r="U555" s="47"/>
    </row>
    <row r="556" spans="1:21" x14ac:dyDescent="0.3">
      <c r="A556" s="46">
        <v>560</v>
      </c>
      <c r="B556" s="47" t="s">
        <v>13291</v>
      </c>
      <c r="C556" s="47" t="s">
        <v>13291</v>
      </c>
      <c r="D556" s="47" t="s">
        <v>13291</v>
      </c>
      <c r="E556" s="47" t="s">
        <v>13291</v>
      </c>
      <c r="F556" s="47" t="s">
        <v>13291</v>
      </c>
      <c r="G556" s="47" t="s">
        <v>13291</v>
      </c>
      <c r="H556" s="158">
        <v>1560</v>
      </c>
      <c r="I556" s="156" t="s">
        <v>5633</v>
      </c>
      <c r="J556" s="156" t="s">
        <v>11598</v>
      </c>
      <c r="K556" s="47"/>
      <c r="L556" s="47"/>
      <c r="M556" s="47"/>
      <c r="N556" s="156"/>
      <c r="O556" s="156" t="s">
        <v>157</v>
      </c>
      <c r="P556" s="47"/>
      <c r="Q556" s="47"/>
      <c r="R556" s="47"/>
      <c r="S556" s="47" t="s">
        <v>13292</v>
      </c>
      <c r="T556" s="47" t="s">
        <v>13295</v>
      </c>
      <c r="U556" s="47"/>
    </row>
    <row r="557" spans="1:21" x14ac:dyDescent="0.3">
      <c r="A557" s="46">
        <v>561</v>
      </c>
      <c r="B557" s="47" t="s">
        <v>13291</v>
      </c>
      <c r="C557" s="47" t="s">
        <v>13291</v>
      </c>
      <c r="D557" s="47" t="s">
        <v>13291</v>
      </c>
      <c r="E557" s="47" t="s">
        <v>13291</v>
      </c>
      <c r="F557" s="47" t="s">
        <v>13291</v>
      </c>
      <c r="G557" s="47" t="s">
        <v>13291</v>
      </c>
      <c r="H557" s="158">
        <v>1561</v>
      </c>
      <c r="I557" s="156" t="s">
        <v>5634</v>
      </c>
      <c r="J557" s="156" t="s">
        <v>11595</v>
      </c>
      <c r="K557" s="47"/>
      <c r="L557" s="47"/>
      <c r="M557" s="47"/>
      <c r="N557" s="156"/>
      <c r="O557" s="156" t="s">
        <v>157</v>
      </c>
      <c r="P557" s="47"/>
      <c r="Q557" s="47"/>
      <c r="R557" s="47"/>
      <c r="S557" s="47" t="s">
        <v>13292</v>
      </c>
      <c r="T557" s="47" t="s">
        <v>13295</v>
      </c>
      <c r="U557" s="47"/>
    </row>
    <row r="558" spans="1:21" x14ac:dyDescent="0.3">
      <c r="A558" s="46">
        <v>562</v>
      </c>
      <c r="B558" s="47" t="s">
        <v>13291</v>
      </c>
      <c r="C558" s="47" t="s">
        <v>13291</v>
      </c>
      <c r="D558" s="47" t="s">
        <v>13291</v>
      </c>
      <c r="E558" s="47" t="s">
        <v>13291</v>
      </c>
      <c r="F558" s="47" t="s">
        <v>13291</v>
      </c>
      <c r="G558" s="47" t="s">
        <v>13291</v>
      </c>
      <c r="H558" s="158">
        <v>1562</v>
      </c>
      <c r="I558" s="156" t="s">
        <v>5635</v>
      </c>
      <c r="J558" s="156" t="s">
        <v>11596</v>
      </c>
      <c r="K558" s="47"/>
      <c r="L558" s="47"/>
      <c r="M558" s="47"/>
      <c r="N558" s="156"/>
      <c r="O558" s="156" t="s">
        <v>157</v>
      </c>
      <c r="P558" s="47"/>
      <c r="Q558" s="47"/>
      <c r="R558" s="47"/>
      <c r="S558" s="47" t="s">
        <v>13292</v>
      </c>
      <c r="T558" s="47" t="s">
        <v>13295</v>
      </c>
      <c r="U558" s="47"/>
    </row>
    <row r="559" spans="1:21" x14ac:dyDescent="0.3">
      <c r="A559" s="46">
        <v>563</v>
      </c>
      <c r="B559" s="47" t="s">
        <v>13291</v>
      </c>
      <c r="C559" s="47" t="s">
        <v>13291</v>
      </c>
      <c r="D559" s="47" t="s">
        <v>13291</v>
      </c>
      <c r="E559" s="47" t="s">
        <v>13291</v>
      </c>
      <c r="F559" s="47" t="s">
        <v>13291</v>
      </c>
      <c r="G559" s="47" t="s">
        <v>13291</v>
      </c>
      <c r="H559" s="158">
        <v>1563</v>
      </c>
      <c r="I559" s="156" t="s">
        <v>5636</v>
      </c>
      <c r="J559" s="156" t="s">
        <v>11599</v>
      </c>
      <c r="K559" s="47"/>
      <c r="L559" s="47"/>
      <c r="M559" s="47"/>
      <c r="N559" s="156"/>
      <c r="O559" s="156" t="s">
        <v>157</v>
      </c>
      <c r="P559" s="47"/>
      <c r="Q559" s="47"/>
      <c r="R559" s="47"/>
      <c r="S559" s="47" t="s">
        <v>13292</v>
      </c>
      <c r="T559" s="47" t="s">
        <v>13295</v>
      </c>
      <c r="U559" s="47"/>
    </row>
    <row r="560" spans="1:21" x14ac:dyDescent="0.3">
      <c r="A560" s="46">
        <v>564</v>
      </c>
      <c r="B560" s="47" t="s">
        <v>13291</v>
      </c>
      <c r="C560" s="47" t="s">
        <v>13291</v>
      </c>
      <c r="D560" s="47" t="s">
        <v>13291</v>
      </c>
      <c r="E560" s="47" t="s">
        <v>13291</v>
      </c>
      <c r="F560" s="47" t="s">
        <v>13291</v>
      </c>
      <c r="G560" s="47" t="s">
        <v>13291</v>
      </c>
      <c r="H560" s="158">
        <v>1564</v>
      </c>
      <c r="I560" s="156" t="s">
        <v>10941</v>
      </c>
      <c r="J560" s="156" t="s">
        <v>11600</v>
      </c>
      <c r="K560" s="47"/>
      <c r="L560" s="47"/>
      <c r="M560" s="47"/>
      <c r="N560" s="156"/>
      <c r="O560" s="156" t="s">
        <v>157</v>
      </c>
      <c r="P560" s="47"/>
      <c r="Q560" s="47"/>
      <c r="R560" s="47"/>
      <c r="S560" s="47" t="s">
        <v>13292</v>
      </c>
      <c r="T560" s="47" t="s">
        <v>13295</v>
      </c>
      <c r="U560" s="47"/>
    </row>
    <row r="561" spans="1:21" x14ac:dyDescent="0.3">
      <c r="A561" s="46">
        <v>565</v>
      </c>
      <c r="B561" s="47" t="s">
        <v>13291</v>
      </c>
      <c r="C561" s="47" t="s">
        <v>13291</v>
      </c>
      <c r="D561" s="47" t="s">
        <v>13291</v>
      </c>
      <c r="E561" s="47" t="s">
        <v>13291</v>
      </c>
      <c r="F561" s="47" t="s">
        <v>13291</v>
      </c>
      <c r="G561" s="47" t="s">
        <v>13291</v>
      </c>
      <c r="H561" s="158">
        <v>1565</v>
      </c>
      <c r="I561" s="156" t="s">
        <v>5637</v>
      </c>
      <c r="J561" s="156" t="s">
        <v>11601</v>
      </c>
      <c r="K561" s="47"/>
      <c r="L561" s="47"/>
      <c r="M561" s="47"/>
      <c r="N561" s="156"/>
      <c r="O561" s="156" t="s">
        <v>157</v>
      </c>
      <c r="P561" s="47"/>
      <c r="Q561" s="47"/>
      <c r="R561" s="47"/>
      <c r="S561" s="47" t="s">
        <v>13292</v>
      </c>
      <c r="T561" s="47" t="s">
        <v>13295</v>
      </c>
      <c r="U561" s="47"/>
    </row>
    <row r="562" spans="1:21" x14ac:dyDescent="0.3">
      <c r="A562" s="46">
        <v>566</v>
      </c>
      <c r="B562" s="47" t="s">
        <v>13291</v>
      </c>
      <c r="C562" s="47" t="s">
        <v>13291</v>
      </c>
      <c r="D562" s="47" t="s">
        <v>13291</v>
      </c>
      <c r="E562" s="47" t="s">
        <v>13291</v>
      </c>
      <c r="F562" s="47" t="s">
        <v>13291</v>
      </c>
      <c r="G562" s="47" t="s">
        <v>13291</v>
      </c>
      <c r="H562" s="158">
        <v>1566</v>
      </c>
      <c r="I562" s="156" t="s">
        <v>10942</v>
      </c>
      <c r="J562" s="156" t="s">
        <v>11602</v>
      </c>
      <c r="K562" s="47"/>
      <c r="L562" s="47"/>
      <c r="M562" s="47"/>
      <c r="N562" s="156"/>
      <c r="O562" s="156" t="s">
        <v>157</v>
      </c>
      <c r="P562" s="47"/>
      <c r="Q562" s="47"/>
      <c r="R562" s="47"/>
      <c r="S562" s="47" t="s">
        <v>13292</v>
      </c>
      <c r="T562" s="47" t="s">
        <v>13295</v>
      </c>
      <c r="U562" s="47"/>
    </row>
    <row r="563" spans="1:21" x14ac:dyDescent="0.3">
      <c r="A563" s="46">
        <v>567</v>
      </c>
      <c r="B563" s="47" t="s">
        <v>13291</v>
      </c>
      <c r="C563" s="47" t="s">
        <v>13291</v>
      </c>
      <c r="D563" s="47" t="s">
        <v>13291</v>
      </c>
      <c r="E563" s="47" t="s">
        <v>13291</v>
      </c>
      <c r="F563" s="47" t="s">
        <v>13291</v>
      </c>
      <c r="G563" s="47" t="s">
        <v>13291</v>
      </c>
      <c r="H563" s="158">
        <v>1567</v>
      </c>
      <c r="I563" s="156" t="s">
        <v>5638</v>
      </c>
      <c r="J563" s="156" t="s">
        <v>11544</v>
      </c>
      <c r="K563" s="47"/>
      <c r="L563" s="47"/>
      <c r="M563" s="47"/>
      <c r="N563" s="156"/>
      <c r="O563" s="156" t="s">
        <v>157</v>
      </c>
      <c r="P563" s="47"/>
      <c r="Q563" s="47"/>
      <c r="R563" s="47"/>
      <c r="S563" s="47" t="s">
        <v>13292</v>
      </c>
      <c r="T563" s="47" t="s">
        <v>13295</v>
      </c>
      <c r="U563" s="47"/>
    </row>
    <row r="564" spans="1:21" x14ac:dyDescent="0.3">
      <c r="A564" s="46">
        <v>568</v>
      </c>
      <c r="B564" s="47" t="s">
        <v>13291</v>
      </c>
      <c r="C564" s="47" t="s">
        <v>13291</v>
      </c>
      <c r="D564" s="47" t="s">
        <v>13291</v>
      </c>
      <c r="E564" s="47" t="s">
        <v>13291</v>
      </c>
      <c r="F564" s="47" t="s">
        <v>13291</v>
      </c>
      <c r="G564" s="47" t="s">
        <v>13291</v>
      </c>
      <c r="H564" s="158">
        <v>1568</v>
      </c>
      <c r="I564" s="156" t="s">
        <v>10943</v>
      </c>
      <c r="J564" s="156" t="s">
        <v>11603</v>
      </c>
      <c r="K564" s="47"/>
      <c r="L564" s="47"/>
      <c r="M564" s="47"/>
      <c r="N564" s="156"/>
      <c r="O564" s="156" t="s">
        <v>157</v>
      </c>
      <c r="P564" s="47"/>
      <c r="Q564" s="47"/>
      <c r="R564" s="47"/>
      <c r="S564" s="47" t="s">
        <v>13292</v>
      </c>
      <c r="T564" s="47" t="s">
        <v>13295</v>
      </c>
      <c r="U564" s="47"/>
    </row>
    <row r="565" spans="1:21" x14ac:dyDescent="0.3">
      <c r="A565" s="46">
        <v>569</v>
      </c>
      <c r="B565" s="47" t="s">
        <v>13291</v>
      </c>
      <c r="C565" s="47" t="s">
        <v>13291</v>
      </c>
      <c r="D565" s="47" t="s">
        <v>13291</v>
      </c>
      <c r="E565" s="47" t="s">
        <v>13291</v>
      </c>
      <c r="F565" s="47" t="s">
        <v>13291</v>
      </c>
      <c r="G565" s="47" t="s">
        <v>13291</v>
      </c>
      <c r="H565" s="158">
        <v>1569</v>
      </c>
      <c r="I565" s="156" t="s">
        <v>10944</v>
      </c>
      <c r="J565" s="156" t="s">
        <v>11604</v>
      </c>
      <c r="K565" s="47"/>
      <c r="L565" s="47"/>
      <c r="M565" s="47"/>
      <c r="N565" s="156"/>
      <c r="O565" s="156" t="s">
        <v>157</v>
      </c>
      <c r="P565" s="47"/>
      <c r="Q565" s="47"/>
      <c r="R565" s="47"/>
      <c r="S565" s="47" t="s">
        <v>13292</v>
      </c>
      <c r="T565" s="47" t="s">
        <v>13295</v>
      </c>
      <c r="U565" s="47"/>
    </row>
    <row r="566" spans="1:21" x14ac:dyDescent="0.3">
      <c r="A566" s="46">
        <v>570</v>
      </c>
      <c r="B566" s="47" t="s">
        <v>13291</v>
      </c>
      <c r="C566" s="47" t="s">
        <v>13291</v>
      </c>
      <c r="D566" s="47" t="s">
        <v>13291</v>
      </c>
      <c r="E566" s="47" t="s">
        <v>13291</v>
      </c>
      <c r="F566" s="47" t="s">
        <v>13291</v>
      </c>
      <c r="G566" s="47" t="s">
        <v>13291</v>
      </c>
      <c r="H566" s="158">
        <v>1570</v>
      </c>
      <c r="I566" s="156" t="s">
        <v>5639</v>
      </c>
      <c r="J566" s="156" t="s">
        <v>11605</v>
      </c>
      <c r="K566" s="47"/>
      <c r="L566" s="47"/>
      <c r="M566" s="47"/>
      <c r="N566" s="156"/>
      <c r="O566" s="156" t="s">
        <v>157</v>
      </c>
      <c r="P566" s="47"/>
      <c r="Q566" s="47"/>
      <c r="R566" s="47"/>
      <c r="S566" s="47" t="s">
        <v>13292</v>
      </c>
      <c r="T566" s="47" t="s">
        <v>13295</v>
      </c>
      <c r="U566" s="47"/>
    </row>
    <row r="567" spans="1:21" x14ac:dyDescent="0.3">
      <c r="A567" s="46">
        <v>571</v>
      </c>
      <c r="B567" s="47" t="s">
        <v>13291</v>
      </c>
      <c r="C567" s="47" t="s">
        <v>13291</v>
      </c>
      <c r="D567" s="47" t="s">
        <v>13291</v>
      </c>
      <c r="E567" s="47" t="s">
        <v>13291</v>
      </c>
      <c r="F567" s="47" t="s">
        <v>13291</v>
      </c>
      <c r="G567" s="47" t="s">
        <v>13291</v>
      </c>
      <c r="H567" s="158">
        <v>1571</v>
      </c>
      <c r="I567" s="156" t="s">
        <v>5640</v>
      </c>
      <c r="J567" s="156" t="s">
        <v>11876</v>
      </c>
      <c r="K567" s="47"/>
      <c r="L567" s="47"/>
      <c r="M567" s="47"/>
      <c r="N567" s="156"/>
      <c r="O567" s="156" t="s">
        <v>157</v>
      </c>
      <c r="P567" s="47"/>
      <c r="Q567" s="47"/>
      <c r="R567" s="47"/>
      <c r="S567" s="47" t="s">
        <v>13292</v>
      </c>
      <c r="T567" s="47" t="s">
        <v>13295</v>
      </c>
      <c r="U567" s="47"/>
    </row>
    <row r="568" spans="1:21" x14ac:dyDescent="0.3">
      <c r="A568" s="46">
        <v>572</v>
      </c>
      <c r="B568" s="47" t="s">
        <v>13291</v>
      </c>
      <c r="C568" s="47" t="s">
        <v>13291</v>
      </c>
      <c r="D568" s="47" t="s">
        <v>13291</v>
      </c>
      <c r="E568" s="47" t="s">
        <v>13291</v>
      </c>
      <c r="F568" s="47" t="s">
        <v>13291</v>
      </c>
      <c r="G568" s="47" t="s">
        <v>13291</v>
      </c>
      <c r="H568" s="158">
        <v>1572</v>
      </c>
      <c r="I568" s="156" t="s">
        <v>5641</v>
      </c>
      <c r="J568" s="156" t="s">
        <v>12168</v>
      </c>
      <c r="K568" s="47"/>
      <c r="L568" s="47"/>
      <c r="M568" s="47"/>
      <c r="N568" s="156"/>
      <c r="O568" s="156" t="s">
        <v>157</v>
      </c>
      <c r="P568" s="47"/>
      <c r="Q568" s="47"/>
      <c r="R568" s="47"/>
      <c r="S568" s="47" t="s">
        <v>13292</v>
      </c>
      <c r="T568" s="47" t="s">
        <v>13295</v>
      </c>
      <c r="U568" s="47"/>
    </row>
    <row r="569" spans="1:21" x14ac:dyDescent="0.3">
      <c r="A569" s="46">
        <v>573</v>
      </c>
      <c r="B569" s="47" t="s">
        <v>13291</v>
      </c>
      <c r="C569" s="47" t="s">
        <v>13291</v>
      </c>
      <c r="D569" s="47" t="s">
        <v>13291</v>
      </c>
      <c r="E569" s="47" t="s">
        <v>13291</v>
      </c>
      <c r="F569" s="47" t="s">
        <v>13291</v>
      </c>
      <c r="G569" s="47" t="s">
        <v>13291</v>
      </c>
      <c r="H569" s="158">
        <v>1573</v>
      </c>
      <c r="I569" s="156" t="s">
        <v>11191</v>
      </c>
      <c r="J569" s="156" t="s">
        <v>12169</v>
      </c>
      <c r="K569" s="47"/>
      <c r="L569" s="47"/>
      <c r="M569" s="47"/>
      <c r="N569" s="156"/>
      <c r="O569" s="156" t="s">
        <v>157</v>
      </c>
      <c r="P569" s="47"/>
      <c r="Q569" s="47"/>
      <c r="R569" s="47"/>
      <c r="S569" s="47" t="s">
        <v>13292</v>
      </c>
      <c r="T569" s="47" t="s">
        <v>13295</v>
      </c>
      <c r="U569" s="47"/>
    </row>
    <row r="570" spans="1:21" x14ac:dyDescent="0.3">
      <c r="A570" s="46">
        <v>574</v>
      </c>
      <c r="B570" s="47" t="s">
        <v>13291</v>
      </c>
      <c r="C570" s="47" t="s">
        <v>13291</v>
      </c>
      <c r="D570" s="47" t="s">
        <v>13291</v>
      </c>
      <c r="E570" s="47" t="s">
        <v>13291</v>
      </c>
      <c r="F570" s="47" t="s">
        <v>13291</v>
      </c>
      <c r="G570" s="47" t="s">
        <v>13291</v>
      </c>
      <c r="H570" s="158">
        <v>1574</v>
      </c>
      <c r="I570" s="156" t="s">
        <v>11192</v>
      </c>
      <c r="J570" s="156" t="s">
        <v>12170</v>
      </c>
      <c r="K570" s="47"/>
      <c r="L570" s="47"/>
      <c r="M570" s="47"/>
      <c r="N570" s="156"/>
      <c r="O570" s="156" t="s">
        <v>157</v>
      </c>
      <c r="P570" s="47"/>
      <c r="Q570" s="47"/>
      <c r="R570" s="47"/>
      <c r="S570" s="47" t="s">
        <v>13292</v>
      </c>
      <c r="T570" s="47" t="s">
        <v>13295</v>
      </c>
      <c r="U570" s="47"/>
    </row>
    <row r="571" spans="1:21" x14ac:dyDescent="0.3">
      <c r="A571" s="46">
        <v>575</v>
      </c>
      <c r="B571" s="47" t="s">
        <v>13291</v>
      </c>
      <c r="C571" s="47" t="s">
        <v>13291</v>
      </c>
      <c r="D571" s="47" t="s">
        <v>13291</v>
      </c>
      <c r="E571" s="47" t="s">
        <v>13291</v>
      </c>
      <c r="F571" s="47" t="s">
        <v>13291</v>
      </c>
      <c r="G571" s="47" t="s">
        <v>13291</v>
      </c>
      <c r="H571" s="158">
        <v>1575</v>
      </c>
      <c r="I571" s="156" t="s">
        <v>5642</v>
      </c>
      <c r="J571" s="156" t="s">
        <v>12171</v>
      </c>
      <c r="K571" s="47"/>
      <c r="L571" s="47"/>
      <c r="M571" s="47"/>
      <c r="N571" s="156"/>
      <c r="O571" s="156" t="s">
        <v>157</v>
      </c>
      <c r="P571" s="47"/>
      <c r="Q571" s="47"/>
      <c r="R571" s="47"/>
      <c r="S571" s="47" t="s">
        <v>13292</v>
      </c>
      <c r="T571" s="47" t="s">
        <v>13295</v>
      </c>
      <c r="U571" s="47"/>
    </row>
    <row r="572" spans="1:21" x14ac:dyDescent="0.3">
      <c r="A572" s="46">
        <v>576</v>
      </c>
      <c r="B572" s="47" t="s">
        <v>13291</v>
      </c>
      <c r="C572" s="47" t="s">
        <v>13291</v>
      </c>
      <c r="D572" s="47" t="s">
        <v>13291</v>
      </c>
      <c r="E572" s="47" t="s">
        <v>13291</v>
      </c>
      <c r="F572" s="47" t="s">
        <v>13291</v>
      </c>
      <c r="G572" s="47" t="s">
        <v>13291</v>
      </c>
      <c r="H572" s="158">
        <v>1576</v>
      </c>
      <c r="I572" s="156" t="s">
        <v>11193</v>
      </c>
      <c r="J572" s="156" t="s">
        <v>12172</v>
      </c>
      <c r="K572" s="47"/>
      <c r="L572" s="47"/>
      <c r="M572" s="47"/>
      <c r="N572" s="156"/>
      <c r="O572" s="156" t="s">
        <v>157</v>
      </c>
      <c r="P572" s="47"/>
      <c r="Q572" s="47"/>
      <c r="R572" s="47"/>
      <c r="S572" s="47" t="s">
        <v>13292</v>
      </c>
      <c r="T572" s="47" t="s">
        <v>13295</v>
      </c>
      <c r="U572" s="47"/>
    </row>
    <row r="573" spans="1:21" x14ac:dyDescent="0.3">
      <c r="A573" s="46">
        <v>577</v>
      </c>
      <c r="B573" s="47" t="s">
        <v>13291</v>
      </c>
      <c r="C573" s="47" t="s">
        <v>13291</v>
      </c>
      <c r="D573" s="47" t="s">
        <v>13291</v>
      </c>
      <c r="E573" s="47" t="s">
        <v>13291</v>
      </c>
      <c r="F573" s="47" t="s">
        <v>13291</v>
      </c>
      <c r="G573" s="47" t="s">
        <v>13291</v>
      </c>
      <c r="H573" s="158">
        <v>1577</v>
      </c>
      <c r="I573" s="156" t="s">
        <v>5643</v>
      </c>
      <c r="J573" s="156" t="s">
        <v>12173</v>
      </c>
      <c r="K573" s="47"/>
      <c r="L573" s="47"/>
      <c r="M573" s="47"/>
      <c r="N573" s="156"/>
      <c r="O573" s="156" t="s">
        <v>157</v>
      </c>
      <c r="P573" s="47"/>
      <c r="Q573" s="47"/>
      <c r="R573" s="47"/>
      <c r="S573" s="47" t="s">
        <v>13292</v>
      </c>
      <c r="T573" s="47" t="s">
        <v>13295</v>
      </c>
      <c r="U573" s="47"/>
    </row>
    <row r="574" spans="1:21" x14ac:dyDescent="0.3">
      <c r="A574" s="46">
        <v>578</v>
      </c>
      <c r="B574" s="47" t="s">
        <v>13291</v>
      </c>
      <c r="C574" s="47" t="s">
        <v>13291</v>
      </c>
      <c r="D574" s="47" t="s">
        <v>13291</v>
      </c>
      <c r="E574" s="47" t="s">
        <v>13291</v>
      </c>
      <c r="F574" s="47" t="s">
        <v>13291</v>
      </c>
      <c r="G574" s="47" t="s">
        <v>13291</v>
      </c>
      <c r="H574" s="158">
        <v>1578</v>
      </c>
      <c r="I574" s="156" t="s">
        <v>11194</v>
      </c>
      <c r="J574" s="156" t="s">
        <v>12174</v>
      </c>
      <c r="K574" s="47"/>
      <c r="L574" s="47"/>
      <c r="M574" s="47"/>
      <c r="N574" s="156"/>
      <c r="O574" s="156" t="s">
        <v>157</v>
      </c>
      <c r="P574" s="47"/>
      <c r="Q574" s="47"/>
      <c r="R574" s="47"/>
      <c r="S574" s="47" t="s">
        <v>13292</v>
      </c>
      <c r="T574" s="47" t="s">
        <v>13295</v>
      </c>
      <c r="U574" s="47"/>
    </row>
    <row r="575" spans="1:21" x14ac:dyDescent="0.3">
      <c r="A575" s="46">
        <v>579</v>
      </c>
      <c r="B575" s="47" t="s">
        <v>13291</v>
      </c>
      <c r="C575" s="47" t="s">
        <v>13291</v>
      </c>
      <c r="D575" s="47" t="s">
        <v>13291</v>
      </c>
      <c r="E575" s="47" t="s">
        <v>13291</v>
      </c>
      <c r="F575" s="47" t="s">
        <v>13291</v>
      </c>
      <c r="G575" s="47" t="s">
        <v>13291</v>
      </c>
      <c r="H575" s="158">
        <v>1579</v>
      </c>
      <c r="I575" s="156" t="s">
        <v>11195</v>
      </c>
      <c r="J575" s="156" t="s">
        <v>12175</v>
      </c>
      <c r="K575" s="47"/>
      <c r="L575" s="47"/>
      <c r="M575" s="47"/>
      <c r="N575" s="156"/>
      <c r="O575" s="156" t="s">
        <v>157</v>
      </c>
      <c r="P575" s="47"/>
      <c r="Q575" s="47"/>
      <c r="R575" s="47"/>
      <c r="S575" s="47" t="s">
        <v>13292</v>
      </c>
      <c r="T575" s="47" t="s">
        <v>13295</v>
      </c>
      <c r="U575" s="47"/>
    </row>
    <row r="576" spans="1:21" x14ac:dyDescent="0.3">
      <c r="A576" s="46">
        <v>580</v>
      </c>
      <c r="B576" s="47" t="s">
        <v>13291</v>
      </c>
      <c r="C576" s="47" t="s">
        <v>13291</v>
      </c>
      <c r="D576" s="47" t="s">
        <v>13291</v>
      </c>
      <c r="E576" s="47" t="s">
        <v>13291</v>
      </c>
      <c r="F576" s="47" t="s">
        <v>13291</v>
      </c>
      <c r="G576" s="47" t="s">
        <v>13291</v>
      </c>
      <c r="H576" s="158">
        <v>1580</v>
      </c>
      <c r="I576" s="156" t="s">
        <v>11196</v>
      </c>
      <c r="J576" s="156" t="s">
        <v>12176</v>
      </c>
      <c r="K576" s="47"/>
      <c r="L576" s="47"/>
      <c r="M576" s="47"/>
      <c r="N576" s="156"/>
      <c r="O576" s="156" t="s">
        <v>157</v>
      </c>
      <c r="P576" s="47"/>
      <c r="Q576" s="47"/>
      <c r="R576" s="47"/>
      <c r="S576" s="47" t="s">
        <v>13292</v>
      </c>
      <c r="T576" s="47" t="s">
        <v>13295</v>
      </c>
      <c r="U576" s="47"/>
    </row>
    <row r="577" spans="1:21" x14ac:dyDescent="0.3">
      <c r="A577" s="46">
        <v>581</v>
      </c>
      <c r="B577" s="47" t="s">
        <v>13291</v>
      </c>
      <c r="C577" s="47" t="s">
        <v>13291</v>
      </c>
      <c r="D577" s="47" t="s">
        <v>13291</v>
      </c>
      <c r="E577" s="47" t="s">
        <v>13291</v>
      </c>
      <c r="F577" s="47" t="s">
        <v>13291</v>
      </c>
      <c r="G577" s="47" t="s">
        <v>13291</v>
      </c>
      <c r="H577" s="158">
        <v>1581</v>
      </c>
      <c r="I577" s="156" t="s">
        <v>11197</v>
      </c>
      <c r="J577" s="156" t="s">
        <v>12177</v>
      </c>
      <c r="K577" s="47"/>
      <c r="L577" s="47"/>
      <c r="M577" s="47"/>
      <c r="N577" s="156"/>
      <c r="O577" s="156" t="s">
        <v>157</v>
      </c>
      <c r="P577" s="47"/>
      <c r="Q577" s="47"/>
      <c r="R577" s="47"/>
      <c r="S577" s="47" t="s">
        <v>13292</v>
      </c>
      <c r="T577" s="47" t="s">
        <v>13295</v>
      </c>
      <c r="U577" s="47"/>
    </row>
    <row r="578" spans="1:21" x14ac:dyDescent="0.3">
      <c r="A578" s="46">
        <v>582</v>
      </c>
      <c r="B578" s="47" t="s">
        <v>13291</v>
      </c>
      <c r="C578" s="47" t="s">
        <v>13291</v>
      </c>
      <c r="D578" s="47" t="s">
        <v>13291</v>
      </c>
      <c r="E578" s="47" t="s">
        <v>13291</v>
      </c>
      <c r="F578" s="47" t="s">
        <v>13291</v>
      </c>
      <c r="G578" s="47" t="s">
        <v>13291</v>
      </c>
      <c r="H578" s="158">
        <v>1582</v>
      </c>
      <c r="I578" s="156" t="s">
        <v>11198</v>
      </c>
      <c r="J578" s="156" t="s">
        <v>12178</v>
      </c>
      <c r="K578" s="47"/>
      <c r="L578" s="47"/>
      <c r="M578" s="47"/>
      <c r="N578" s="156"/>
      <c r="O578" s="156" t="s">
        <v>157</v>
      </c>
      <c r="P578" s="47"/>
      <c r="Q578" s="47"/>
      <c r="R578" s="47"/>
      <c r="S578" s="47" t="s">
        <v>13292</v>
      </c>
      <c r="T578" s="47" t="s">
        <v>13295</v>
      </c>
      <c r="U578" s="47"/>
    </row>
    <row r="579" spans="1:21" x14ac:dyDescent="0.3">
      <c r="A579" s="46">
        <v>583</v>
      </c>
      <c r="B579" s="47" t="s">
        <v>13291</v>
      </c>
      <c r="C579" s="47" t="s">
        <v>13291</v>
      </c>
      <c r="D579" s="47" t="s">
        <v>13291</v>
      </c>
      <c r="E579" s="47" t="s">
        <v>13291</v>
      </c>
      <c r="F579" s="47" t="s">
        <v>13291</v>
      </c>
      <c r="G579" s="47" t="s">
        <v>13291</v>
      </c>
      <c r="H579" s="158">
        <v>1583</v>
      </c>
      <c r="I579" s="156" t="s">
        <v>11199</v>
      </c>
      <c r="J579" s="156" t="s">
        <v>12179</v>
      </c>
      <c r="K579" s="47"/>
      <c r="L579" s="47"/>
      <c r="M579" s="47"/>
      <c r="N579" s="156"/>
      <c r="O579" s="156" t="s">
        <v>157</v>
      </c>
      <c r="P579" s="47"/>
      <c r="Q579" s="47"/>
      <c r="R579" s="47"/>
      <c r="S579" s="47" t="s">
        <v>13292</v>
      </c>
      <c r="T579" s="47" t="s">
        <v>13295</v>
      </c>
      <c r="U579" s="47"/>
    </row>
    <row r="580" spans="1:21" x14ac:dyDescent="0.3">
      <c r="A580" s="46">
        <v>584</v>
      </c>
      <c r="B580" s="47" t="s">
        <v>13291</v>
      </c>
      <c r="C580" s="47" t="s">
        <v>13291</v>
      </c>
      <c r="D580" s="47" t="s">
        <v>13291</v>
      </c>
      <c r="E580" s="47" t="s">
        <v>13291</v>
      </c>
      <c r="F580" s="47" t="s">
        <v>13291</v>
      </c>
      <c r="G580" s="47" t="s">
        <v>13291</v>
      </c>
      <c r="H580" s="158">
        <v>1584</v>
      </c>
      <c r="I580" s="156" t="s">
        <v>11200</v>
      </c>
      <c r="J580" s="156" t="s">
        <v>12180</v>
      </c>
      <c r="K580" s="47"/>
      <c r="L580" s="47"/>
      <c r="M580" s="47"/>
      <c r="N580" s="156"/>
      <c r="O580" s="156" t="s">
        <v>157</v>
      </c>
      <c r="P580" s="47"/>
      <c r="Q580" s="47"/>
      <c r="R580" s="47"/>
      <c r="S580" s="47" t="s">
        <v>13292</v>
      </c>
      <c r="T580" s="47" t="s">
        <v>13295</v>
      </c>
      <c r="U580" s="47"/>
    </row>
    <row r="581" spans="1:21" x14ac:dyDescent="0.3">
      <c r="A581" s="46">
        <v>585</v>
      </c>
      <c r="B581" s="47" t="s">
        <v>13291</v>
      </c>
      <c r="C581" s="47" t="s">
        <v>13291</v>
      </c>
      <c r="D581" s="47" t="s">
        <v>13291</v>
      </c>
      <c r="E581" s="47" t="s">
        <v>13291</v>
      </c>
      <c r="F581" s="47" t="s">
        <v>13291</v>
      </c>
      <c r="G581" s="47" t="s">
        <v>13291</v>
      </c>
      <c r="H581" s="158">
        <v>1585</v>
      </c>
      <c r="I581" s="156" t="s">
        <v>11201</v>
      </c>
      <c r="J581" s="156" t="s">
        <v>12181</v>
      </c>
      <c r="K581" s="47"/>
      <c r="L581" s="47"/>
      <c r="M581" s="47"/>
      <c r="N581" s="156"/>
      <c r="O581" s="156" t="s">
        <v>157</v>
      </c>
      <c r="P581" s="47"/>
      <c r="Q581" s="47"/>
      <c r="R581" s="47"/>
      <c r="S581" s="47" t="s">
        <v>13292</v>
      </c>
      <c r="T581" s="47" t="s">
        <v>13295</v>
      </c>
      <c r="U581" s="47"/>
    </row>
    <row r="582" spans="1:21" x14ac:dyDescent="0.3">
      <c r="A582" s="46">
        <v>586</v>
      </c>
      <c r="B582" s="47" t="s">
        <v>13291</v>
      </c>
      <c r="C582" s="47" t="s">
        <v>13291</v>
      </c>
      <c r="D582" s="47" t="s">
        <v>13291</v>
      </c>
      <c r="E582" s="47" t="s">
        <v>13291</v>
      </c>
      <c r="F582" s="47" t="s">
        <v>13291</v>
      </c>
      <c r="G582" s="47" t="s">
        <v>13291</v>
      </c>
      <c r="H582" s="158">
        <v>1586</v>
      </c>
      <c r="I582" s="156" t="s">
        <v>11202</v>
      </c>
      <c r="J582" s="156" t="s">
        <v>12182</v>
      </c>
      <c r="K582" s="47"/>
      <c r="L582" s="47"/>
      <c r="M582" s="47"/>
      <c r="N582" s="156"/>
      <c r="O582" s="156" t="s">
        <v>157</v>
      </c>
      <c r="P582" s="47"/>
      <c r="Q582" s="47"/>
      <c r="R582" s="47"/>
      <c r="S582" s="47" t="s">
        <v>13292</v>
      </c>
      <c r="T582" s="47" t="s">
        <v>13295</v>
      </c>
      <c r="U582" s="47"/>
    </row>
    <row r="583" spans="1:21" x14ac:dyDescent="0.3">
      <c r="A583" s="46">
        <v>587</v>
      </c>
      <c r="B583" s="47" t="s">
        <v>13291</v>
      </c>
      <c r="C583" s="47" t="s">
        <v>13291</v>
      </c>
      <c r="D583" s="47" t="s">
        <v>13291</v>
      </c>
      <c r="E583" s="47" t="s">
        <v>13291</v>
      </c>
      <c r="F583" s="47" t="s">
        <v>13291</v>
      </c>
      <c r="G583" s="47" t="s">
        <v>13291</v>
      </c>
      <c r="H583" s="158">
        <v>1587</v>
      </c>
      <c r="I583" s="156" t="s">
        <v>11203</v>
      </c>
      <c r="J583" s="156" t="s">
        <v>12183</v>
      </c>
      <c r="K583" s="47"/>
      <c r="L583" s="47"/>
      <c r="M583" s="47"/>
      <c r="N583" s="156"/>
      <c r="O583" s="156" t="s">
        <v>157</v>
      </c>
      <c r="P583" s="47"/>
      <c r="Q583" s="47"/>
      <c r="R583" s="47"/>
      <c r="S583" s="47" t="s">
        <v>13292</v>
      </c>
      <c r="T583" s="47" t="s">
        <v>13295</v>
      </c>
      <c r="U583" s="47"/>
    </row>
    <row r="584" spans="1:21" x14ac:dyDescent="0.3">
      <c r="A584" s="46">
        <v>588</v>
      </c>
      <c r="B584" s="47" t="s">
        <v>13291</v>
      </c>
      <c r="C584" s="47" t="s">
        <v>13291</v>
      </c>
      <c r="D584" s="47" t="s">
        <v>13291</v>
      </c>
      <c r="E584" s="47" t="s">
        <v>13291</v>
      </c>
      <c r="F584" s="47" t="s">
        <v>13291</v>
      </c>
      <c r="G584" s="47" t="s">
        <v>13291</v>
      </c>
      <c r="H584" s="158">
        <v>1588</v>
      </c>
      <c r="I584" s="156" t="s">
        <v>11204</v>
      </c>
      <c r="J584" s="156" t="s">
        <v>12184</v>
      </c>
      <c r="K584" s="47"/>
      <c r="L584" s="47"/>
      <c r="M584" s="47"/>
      <c r="N584" s="156"/>
      <c r="O584" s="156" t="s">
        <v>157</v>
      </c>
      <c r="P584" s="47"/>
      <c r="Q584" s="47"/>
      <c r="R584" s="47"/>
      <c r="S584" s="47" t="s">
        <v>13292</v>
      </c>
      <c r="T584" s="47" t="s">
        <v>13295</v>
      </c>
      <c r="U584" s="47"/>
    </row>
    <row r="585" spans="1:21" x14ac:dyDescent="0.3">
      <c r="A585" s="46">
        <v>589</v>
      </c>
      <c r="B585" s="47" t="s">
        <v>13291</v>
      </c>
      <c r="C585" s="47" t="s">
        <v>13291</v>
      </c>
      <c r="D585" s="47" t="s">
        <v>13291</v>
      </c>
      <c r="E585" s="47" t="s">
        <v>13291</v>
      </c>
      <c r="F585" s="47" t="s">
        <v>13291</v>
      </c>
      <c r="G585" s="47" t="s">
        <v>13291</v>
      </c>
      <c r="H585" s="158">
        <v>1589</v>
      </c>
      <c r="I585" s="156" t="s">
        <v>11205</v>
      </c>
      <c r="J585" s="156" t="s">
        <v>12185</v>
      </c>
      <c r="K585" s="47"/>
      <c r="L585" s="47"/>
      <c r="M585" s="47"/>
      <c r="N585" s="156"/>
      <c r="O585" s="156" t="s">
        <v>157</v>
      </c>
      <c r="P585" s="47"/>
      <c r="Q585" s="47"/>
      <c r="R585" s="47"/>
      <c r="S585" s="47" t="s">
        <v>13292</v>
      </c>
      <c r="T585" s="47" t="s">
        <v>13295</v>
      </c>
      <c r="U585" s="47"/>
    </row>
    <row r="586" spans="1:21" x14ac:dyDescent="0.3">
      <c r="A586" s="46">
        <v>590</v>
      </c>
      <c r="B586" s="47" t="s">
        <v>13291</v>
      </c>
      <c r="C586" s="47" t="s">
        <v>13291</v>
      </c>
      <c r="D586" s="47" t="s">
        <v>13291</v>
      </c>
      <c r="E586" s="47" t="s">
        <v>13291</v>
      </c>
      <c r="F586" s="47" t="s">
        <v>13291</v>
      </c>
      <c r="G586" s="47" t="s">
        <v>13291</v>
      </c>
      <c r="H586" s="158">
        <v>1590</v>
      </c>
      <c r="I586" s="156" t="s">
        <v>11206</v>
      </c>
      <c r="J586" s="156" t="s">
        <v>12186</v>
      </c>
      <c r="K586" s="47"/>
      <c r="L586" s="47"/>
      <c r="M586" s="47"/>
      <c r="N586" s="156"/>
      <c r="O586" s="156" t="s">
        <v>157</v>
      </c>
      <c r="P586" s="47"/>
      <c r="Q586" s="47"/>
      <c r="R586" s="47"/>
      <c r="S586" s="47" t="s">
        <v>13292</v>
      </c>
      <c r="T586" s="47" t="s">
        <v>13295</v>
      </c>
      <c r="U586" s="47"/>
    </row>
    <row r="587" spans="1:21" x14ac:dyDescent="0.3">
      <c r="A587" s="46">
        <v>591</v>
      </c>
      <c r="B587" s="47" t="s">
        <v>13291</v>
      </c>
      <c r="C587" s="47" t="s">
        <v>13291</v>
      </c>
      <c r="D587" s="47" t="s">
        <v>13291</v>
      </c>
      <c r="E587" s="47" t="s">
        <v>13291</v>
      </c>
      <c r="F587" s="47" t="s">
        <v>13291</v>
      </c>
      <c r="G587" s="47" t="s">
        <v>13291</v>
      </c>
      <c r="H587" s="158">
        <v>1591</v>
      </c>
      <c r="I587" s="156" t="s">
        <v>11207</v>
      </c>
      <c r="J587" s="156" t="s">
        <v>12187</v>
      </c>
      <c r="K587" s="47"/>
      <c r="L587" s="47"/>
      <c r="M587" s="47"/>
      <c r="N587" s="156"/>
      <c r="O587" s="156" t="s">
        <v>157</v>
      </c>
      <c r="P587" s="47"/>
      <c r="Q587" s="47"/>
      <c r="R587" s="47"/>
      <c r="S587" s="47" t="s">
        <v>13292</v>
      </c>
      <c r="T587" s="47" t="s">
        <v>13295</v>
      </c>
      <c r="U587" s="47"/>
    </row>
    <row r="588" spans="1:21" x14ac:dyDescent="0.3">
      <c r="A588" s="46">
        <v>592</v>
      </c>
      <c r="B588" s="47" t="s">
        <v>13291</v>
      </c>
      <c r="C588" s="47" t="s">
        <v>13291</v>
      </c>
      <c r="D588" s="47" t="s">
        <v>13291</v>
      </c>
      <c r="E588" s="47" t="s">
        <v>13291</v>
      </c>
      <c r="F588" s="47" t="s">
        <v>13291</v>
      </c>
      <c r="G588" s="47" t="s">
        <v>13291</v>
      </c>
      <c r="H588" s="158">
        <v>1592</v>
      </c>
      <c r="I588" s="156" t="s">
        <v>11208</v>
      </c>
      <c r="J588" s="156" t="s">
        <v>12188</v>
      </c>
      <c r="K588" s="47"/>
      <c r="L588" s="47"/>
      <c r="M588" s="47"/>
      <c r="N588" s="156"/>
      <c r="O588" s="156" t="s">
        <v>157</v>
      </c>
      <c r="P588" s="47"/>
      <c r="Q588" s="47"/>
      <c r="R588" s="47"/>
      <c r="S588" s="47" t="s">
        <v>13292</v>
      </c>
      <c r="T588" s="47" t="s">
        <v>13295</v>
      </c>
      <c r="U588" s="47"/>
    </row>
    <row r="589" spans="1:21" x14ac:dyDescent="0.3">
      <c r="A589" s="46">
        <v>593</v>
      </c>
      <c r="B589" s="47" t="s">
        <v>13291</v>
      </c>
      <c r="C589" s="47" t="s">
        <v>13291</v>
      </c>
      <c r="D589" s="47" t="s">
        <v>13291</v>
      </c>
      <c r="E589" s="47" t="s">
        <v>13291</v>
      </c>
      <c r="F589" s="47" t="s">
        <v>13291</v>
      </c>
      <c r="G589" s="47" t="s">
        <v>13291</v>
      </c>
      <c r="H589" s="158">
        <v>1593</v>
      </c>
      <c r="I589" s="156" t="s">
        <v>11209</v>
      </c>
      <c r="J589" s="156" t="s">
        <v>12189</v>
      </c>
      <c r="K589" s="47"/>
      <c r="L589" s="47"/>
      <c r="M589" s="47"/>
      <c r="N589" s="156"/>
      <c r="O589" s="156" t="s">
        <v>157</v>
      </c>
      <c r="P589" s="47"/>
      <c r="Q589" s="47"/>
      <c r="R589" s="47"/>
      <c r="S589" s="47" t="s">
        <v>13292</v>
      </c>
      <c r="T589" s="47" t="s">
        <v>13295</v>
      </c>
      <c r="U589" s="47"/>
    </row>
    <row r="590" spans="1:21" x14ac:dyDescent="0.3">
      <c r="A590" s="46">
        <v>594</v>
      </c>
      <c r="B590" s="47" t="s">
        <v>13291</v>
      </c>
      <c r="C590" s="47" t="s">
        <v>13291</v>
      </c>
      <c r="D590" s="47" t="s">
        <v>13291</v>
      </c>
      <c r="E590" s="47" t="s">
        <v>13291</v>
      </c>
      <c r="F590" s="47" t="s">
        <v>13291</v>
      </c>
      <c r="G590" s="47" t="s">
        <v>13291</v>
      </c>
      <c r="H590" s="158">
        <v>1594</v>
      </c>
      <c r="I590" s="156" t="s">
        <v>11210</v>
      </c>
      <c r="J590" s="156" t="s">
        <v>12190</v>
      </c>
      <c r="K590" s="47"/>
      <c r="L590" s="47"/>
      <c r="M590" s="47"/>
      <c r="N590" s="156"/>
      <c r="O590" s="156" t="s">
        <v>157</v>
      </c>
      <c r="P590" s="47"/>
      <c r="Q590" s="47"/>
      <c r="R590" s="47"/>
      <c r="S590" s="47" t="s">
        <v>13292</v>
      </c>
      <c r="T590" s="47" t="s">
        <v>13295</v>
      </c>
      <c r="U590" s="47"/>
    </row>
    <row r="591" spans="1:21" x14ac:dyDescent="0.3">
      <c r="A591" s="46">
        <v>595</v>
      </c>
      <c r="B591" s="47" t="s">
        <v>13291</v>
      </c>
      <c r="C591" s="47" t="s">
        <v>13291</v>
      </c>
      <c r="D591" s="47" t="s">
        <v>13291</v>
      </c>
      <c r="E591" s="47" t="s">
        <v>13291</v>
      </c>
      <c r="F591" s="47" t="s">
        <v>13291</v>
      </c>
      <c r="G591" s="47" t="s">
        <v>13291</v>
      </c>
      <c r="H591" s="158">
        <v>1595</v>
      </c>
      <c r="I591" s="156" t="s">
        <v>11211</v>
      </c>
      <c r="J591" s="156" t="s">
        <v>12191</v>
      </c>
      <c r="K591" s="47"/>
      <c r="L591" s="47"/>
      <c r="M591" s="47"/>
      <c r="N591" s="156"/>
      <c r="O591" s="156" t="s">
        <v>157</v>
      </c>
      <c r="P591" s="47"/>
      <c r="Q591" s="47"/>
      <c r="R591" s="47"/>
      <c r="S591" s="47" t="s">
        <v>13292</v>
      </c>
      <c r="T591" s="47" t="s">
        <v>13295</v>
      </c>
      <c r="U591" s="47"/>
    </row>
    <row r="592" spans="1:21" x14ac:dyDescent="0.3">
      <c r="A592" s="46">
        <v>596</v>
      </c>
      <c r="B592" s="47" t="s">
        <v>13291</v>
      </c>
      <c r="C592" s="47" t="s">
        <v>13291</v>
      </c>
      <c r="D592" s="47" t="s">
        <v>13291</v>
      </c>
      <c r="E592" s="47" t="s">
        <v>13291</v>
      </c>
      <c r="F592" s="47" t="s">
        <v>13291</v>
      </c>
      <c r="G592" s="47" t="s">
        <v>13291</v>
      </c>
      <c r="H592" s="158">
        <v>1596</v>
      </c>
      <c r="I592" s="156" t="s">
        <v>11212</v>
      </c>
      <c r="J592" s="156" t="s">
        <v>12192</v>
      </c>
      <c r="K592" s="47"/>
      <c r="L592" s="47"/>
      <c r="M592" s="47"/>
      <c r="N592" s="156"/>
      <c r="O592" s="156" t="s">
        <v>157</v>
      </c>
      <c r="P592" s="47"/>
      <c r="Q592" s="47"/>
      <c r="R592" s="47"/>
      <c r="S592" s="47" t="s">
        <v>13292</v>
      </c>
      <c r="T592" s="47" t="s">
        <v>13295</v>
      </c>
      <c r="U592" s="47"/>
    </row>
    <row r="593" spans="1:21" x14ac:dyDescent="0.3">
      <c r="A593" s="46">
        <v>597</v>
      </c>
      <c r="B593" s="47" t="s">
        <v>13291</v>
      </c>
      <c r="C593" s="47" t="s">
        <v>13291</v>
      </c>
      <c r="D593" s="47" t="s">
        <v>13291</v>
      </c>
      <c r="E593" s="47" t="s">
        <v>13291</v>
      </c>
      <c r="F593" s="47" t="s">
        <v>13291</v>
      </c>
      <c r="G593" s="47" t="s">
        <v>13291</v>
      </c>
      <c r="H593" s="158">
        <v>1597</v>
      </c>
      <c r="I593" s="156" t="s">
        <v>11213</v>
      </c>
      <c r="J593" s="156" t="s">
        <v>12193</v>
      </c>
      <c r="K593" s="47"/>
      <c r="L593" s="47"/>
      <c r="M593" s="47"/>
      <c r="N593" s="156"/>
      <c r="O593" s="156" t="s">
        <v>157</v>
      </c>
      <c r="P593" s="47"/>
      <c r="Q593" s="47"/>
      <c r="R593" s="47"/>
      <c r="S593" s="47" t="s">
        <v>13292</v>
      </c>
      <c r="T593" s="47" t="s">
        <v>13295</v>
      </c>
      <c r="U593" s="47"/>
    </row>
    <row r="594" spans="1:21" x14ac:dyDescent="0.3">
      <c r="A594" s="46">
        <v>598</v>
      </c>
      <c r="B594" s="47" t="s">
        <v>13291</v>
      </c>
      <c r="C594" s="47" t="s">
        <v>13291</v>
      </c>
      <c r="D594" s="47" t="s">
        <v>13291</v>
      </c>
      <c r="E594" s="47" t="s">
        <v>13291</v>
      </c>
      <c r="F594" s="47" t="s">
        <v>13291</v>
      </c>
      <c r="G594" s="47" t="s">
        <v>13291</v>
      </c>
      <c r="H594" s="158">
        <v>1598</v>
      </c>
      <c r="I594" s="156" t="s">
        <v>11214</v>
      </c>
      <c r="J594" s="156" t="s">
        <v>12194</v>
      </c>
      <c r="K594" s="47"/>
      <c r="L594" s="47"/>
      <c r="M594" s="47"/>
      <c r="N594" s="156"/>
      <c r="O594" s="156" t="s">
        <v>157</v>
      </c>
      <c r="P594" s="47"/>
      <c r="Q594" s="47"/>
      <c r="R594" s="47"/>
      <c r="S594" s="47" t="s">
        <v>13292</v>
      </c>
      <c r="T594" s="47" t="s">
        <v>13295</v>
      </c>
      <c r="U594" s="47"/>
    </row>
    <row r="595" spans="1:21" x14ac:dyDescent="0.3">
      <c r="A595" s="46">
        <v>599</v>
      </c>
      <c r="B595" s="47" t="s">
        <v>13291</v>
      </c>
      <c r="C595" s="47" t="s">
        <v>13291</v>
      </c>
      <c r="D595" s="47" t="s">
        <v>13291</v>
      </c>
      <c r="E595" s="47" t="s">
        <v>13291</v>
      </c>
      <c r="F595" s="47" t="s">
        <v>13291</v>
      </c>
      <c r="G595" s="47" t="s">
        <v>13291</v>
      </c>
      <c r="H595" s="158">
        <v>1599</v>
      </c>
      <c r="I595" s="156" t="s">
        <v>11215</v>
      </c>
      <c r="J595" s="156" t="s">
        <v>12195</v>
      </c>
      <c r="K595" s="47"/>
      <c r="L595" s="47"/>
      <c r="M595" s="47"/>
      <c r="N595" s="156"/>
      <c r="O595" s="156" t="s">
        <v>157</v>
      </c>
      <c r="P595" s="47"/>
      <c r="Q595" s="47"/>
      <c r="R595" s="47"/>
      <c r="S595" s="47" t="s">
        <v>13292</v>
      </c>
      <c r="T595" s="47" t="s">
        <v>13295</v>
      </c>
      <c r="U595" s="47"/>
    </row>
    <row r="596" spans="1:21" x14ac:dyDescent="0.3">
      <c r="A596" s="46">
        <v>600</v>
      </c>
      <c r="B596" s="47" t="s">
        <v>13291</v>
      </c>
      <c r="C596" s="47" t="s">
        <v>13291</v>
      </c>
      <c r="D596" s="47" t="s">
        <v>13291</v>
      </c>
      <c r="E596" s="47" t="s">
        <v>13291</v>
      </c>
      <c r="F596" s="47" t="s">
        <v>13291</v>
      </c>
      <c r="G596" s="47" t="s">
        <v>13291</v>
      </c>
      <c r="H596" s="158">
        <v>1600</v>
      </c>
      <c r="I596" s="156" t="s">
        <v>11216</v>
      </c>
      <c r="J596" s="156" t="s">
        <v>12196</v>
      </c>
      <c r="K596" s="47"/>
      <c r="L596" s="47"/>
      <c r="M596" s="47"/>
      <c r="N596" s="156"/>
      <c r="O596" s="156" t="s">
        <v>157</v>
      </c>
      <c r="P596" s="47"/>
      <c r="Q596" s="47"/>
      <c r="R596" s="47"/>
      <c r="S596" s="47" t="s">
        <v>13292</v>
      </c>
      <c r="T596" s="47" t="s">
        <v>13295</v>
      </c>
      <c r="U596" s="47"/>
    </row>
    <row r="597" spans="1:21" x14ac:dyDescent="0.3">
      <c r="A597" s="46">
        <v>601</v>
      </c>
      <c r="B597" s="47" t="s">
        <v>13291</v>
      </c>
      <c r="C597" s="47" t="s">
        <v>13291</v>
      </c>
      <c r="D597" s="47" t="s">
        <v>13291</v>
      </c>
      <c r="E597" s="47" t="s">
        <v>13291</v>
      </c>
      <c r="F597" s="47" t="s">
        <v>13291</v>
      </c>
      <c r="G597" s="47" t="s">
        <v>13291</v>
      </c>
      <c r="H597" s="158">
        <v>1601</v>
      </c>
      <c r="I597" s="156" t="s">
        <v>11217</v>
      </c>
      <c r="J597" s="156" t="s">
        <v>12197</v>
      </c>
      <c r="K597" s="47"/>
      <c r="L597" s="47"/>
      <c r="M597" s="47"/>
      <c r="N597" s="156"/>
      <c r="O597" s="156" t="s">
        <v>157</v>
      </c>
      <c r="P597" s="47"/>
      <c r="Q597" s="47"/>
      <c r="R597" s="47"/>
      <c r="S597" s="47" t="s">
        <v>13292</v>
      </c>
      <c r="T597" s="47" t="s">
        <v>13295</v>
      </c>
      <c r="U597" s="47"/>
    </row>
    <row r="598" spans="1:21" x14ac:dyDescent="0.3">
      <c r="A598" s="46">
        <v>602</v>
      </c>
      <c r="B598" s="47" t="s">
        <v>13291</v>
      </c>
      <c r="C598" s="47" t="s">
        <v>13291</v>
      </c>
      <c r="D598" s="47" t="s">
        <v>13291</v>
      </c>
      <c r="E598" s="47" t="s">
        <v>13291</v>
      </c>
      <c r="F598" s="47" t="s">
        <v>13291</v>
      </c>
      <c r="G598" s="47" t="s">
        <v>13291</v>
      </c>
      <c r="H598" s="158">
        <v>1602</v>
      </c>
      <c r="I598" s="156" t="s">
        <v>5644</v>
      </c>
      <c r="J598" s="156" t="s">
        <v>12198</v>
      </c>
      <c r="K598" s="47"/>
      <c r="L598" s="47"/>
      <c r="M598" s="47"/>
      <c r="N598" s="156"/>
      <c r="O598" s="156" t="s">
        <v>157</v>
      </c>
      <c r="P598" s="47"/>
      <c r="Q598" s="47"/>
      <c r="R598" s="47"/>
      <c r="S598" s="47" t="s">
        <v>13292</v>
      </c>
      <c r="T598" s="47" t="s">
        <v>13295</v>
      </c>
      <c r="U598" s="47"/>
    </row>
    <row r="599" spans="1:21" x14ac:dyDescent="0.3">
      <c r="A599" s="46">
        <v>603</v>
      </c>
      <c r="B599" s="47" t="s">
        <v>13291</v>
      </c>
      <c r="C599" s="47" t="s">
        <v>13291</v>
      </c>
      <c r="D599" s="47" t="s">
        <v>13291</v>
      </c>
      <c r="E599" s="47" t="s">
        <v>13291</v>
      </c>
      <c r="F599" s="47" t="s">
        <v>13291</v>
      </c>
      <c r="G599" s="47" t="s">
        <v>13291</v>
      </c>
      <c r="H599" s="158">
        <v>1603</v>
      </c>
      <c r="I599" s="156" t="s">
        <v>5645</v>
      </c>
      <c r="J599" s="156" t="s">
        <v>12199</v>
      </c>
      <c r="K599" s="47"/>
      <c r="L599" s="47"/>
      <c r="M599" s="47"/>
      <c r="N599" s="156"/>
      <c r="O599" s="156" t="s">
        <v>157</v>
      </c>
      <c r="P599" s="47"/>
      <c r="Q599" s="47"/>
      <c r="R599" s="47"/>
      <c r="S599" s="47" t="s">
        <v>13292</v>
      </c>
      <c r="T599" s="47" t="s">
        <v>13295</v>
      </c>
      <c r="U599" s="47"/>
    </row>
    <row r="600" spans="1:21" x14ac:dyDescent="0.3">
      <c r="A600" s="46">
        <v>604</v>
      </c>
      <c r="B600" s="47" t="s">
        <v>13291</v>
      </c>
      <c r="C600" s="47" t="s">
        <v>13291</v>
      </c>
      <c r="D600" s="47" t="s">
        <v>13291</v>
      </c>
      <c r="E600" s="47" t="s">
        <v>13291</v>
      </c>
      <c r="F600" s="47" t="s">
        <v>13291</v>
      </c>
      <c r="G600" s="47" t="s">
        <v>13291</v>
      </c>
      <c r="H600" s="158">
        <v>1604</v>
      </c>
      <c r="I600" s="156" t="s">
        <v>11218</v>
      </c>
      <c r="J600" s="156" t="s">
        <v>12200</v>
      </c>
      <c r="K600" s="47"/>
      <c r="L600" s="47"/>
      <c r="M600" s="47"/>
      <c r="N600" s="156"/>
      <c r="O600" s="156" t="s">
        <v>157</v>
      </c>
      <c r="P600" s="47"/>
      <c r="Q600" s="47"/>
      <c r="R600" s="47"/>
      <c r="S600" s="47" t="s">
        <v>13292</v>
      </c>
      <c r="T600" s="47" t="s">
        <v>13295</v>
      </c>
      <c r="U600" s="47"/>
    </row>
    <row r="601" spans="1:21" x14ac:dyDescent="0.3">
      <c r="A601" s="46">
        <v>605</v>
      </c>
      <c r="B601" s="47" t="s">
        <v>13291</v>
      </c>
      <c r="C601" s="47" t="s">
        <v>13291</v>
      </c>
      <c r="D601" s="47" t="s">
        <v>13291</v>
      </c>
      <c r="E601" s="47" t="s">
        <v>13291</v>
      </c>
      <c r="F601" s="47" t="s">
        <v>13291</v>
      </c>
      <c r="G601" s="47" t="s">
        <v>13291</v>
      </c>
      <c r="H601" s="158">
        <v>1605</v>
      </c>
      <c r="I601" s="156" t="s">
        <v>11219</v>
      </c>
      <c r="J601" s="156" t="s">
        <v>12201</v>
      </c>
      <c r="K601" s="47"/>
      <c r="L601" s="47"/>
      <c r="M601" s="47"/>
      <c r="N601" s="156"/>
      <c r="O601" s="156" t="s">
        <v>157</v>
      </c>
      <c r="P601" s="47"/>
      <c r="Q601" s="47"/>
      <c r="R601" s="47"/>
      <c r="S601" s="47" t="s">
        <v>13292</v>
      </c>
      <c r="T601" s="47" t="s">
        <v>13295</v>
      </c>
      <c r="U601" s="47"/>
    </row>
    <row r="602" spans="1:21" x14ac:dyDescent="0.3">
      <c r="A602" s="46">
        <v>606</v>
      </c>
      <c r="B602" s="47" t="s">
        <v>13291</v>
      </c>
      <c r="C602" s="47" t="s">
        <v>13291</v>
      </c>
      <c r="D602" s="47" t="s">
        <v>13291</v>
      </c>
      <c r="E602" s="47" t="s">
        <v>13291</v>
      </c>
      <c r="F602" s="47" t="s">
        <v>13291</v>
      </c>
      <c r="G602" s="47" t="s">
        <v>13291</v>
      </c>
      <c r="H602" s="158">
        <v>1606</v>
      </c>
      <c r="I602" s="156" t="s">
        <v>11220</v>
      </c>
      <c r="J602" s="156" t="s">
        <v>12202</v>
      </c>
      <c r="K602" s="47"/>
      <c r="L602" s="47"/>
      <c r="M602" s="47"/>
      <c r="N602" s="156"/>
      <c r="O602" s="156" t="s">
        <v>157</v>
      </c>
      <c r="P602" s="47"/>
      <c r="Q602" s="47"/>
      <c r="R602" s="47"/>
      <c r="S602" s="47" t="s">
        <v>13292</v>
      </c>
      <c r="T602" s="47" t="s">
        <v>13295</v>
      </c>
      <c r="U602" s="47"/>
    </row>
    <row r="603" spans="1:21" x14ac:dyDescent="0.3">
      <c r="A603" s="46">
        <v>607</v>
      </c>
      <c r="B603" s="47" t="s">
        <v>13291</v>
      </c>
      <c r="C603" s="47" t="s">
        <v>13291</v>
      </c>
      <c r="D603" s="47" t="s">
        <v>13291</v>
      </c>
      <c r="E603" s="47" t="s">
        <v>13291</v>
      </c>
      <c r="F603" s="47" t="s">
        <v>13291</v>
      </c>
      <c r="G603" s="47" t="s">
        <v>13291</v>
      </c>
      <c r="H603" s="158">
        <v>1607</v>
      </c>
      <c r="I603" s="156" t="s">
        <v>11221</v>
      </c>
      <c r="J603" s="156" t="s">
        <v>12203</v>
      </c>
      <c r="K603" s="47"/>
      <c r="L603" s="47"/>
      <c r="M603" s="47"/>
      <c r="N603" s="156"/>
      <c r="O603" s="156" t="s">
        <v>157</v>
      </c>
      <c r="P603" s="47"/>
      <c r="Q603" s="47"/>
      <c r="R603" s="47"/>
      <c r="S603" s="47" t="s">
        <v>13292</v>
      </c>
      <c r="T603" s="47" t="s">
        <v>13295</v>
      </c>
      <c r="U603" s="47"/>
    </row>
    <row r="604" spans="1:21" x14ac:dyDescent="0.3">
      <c r="A604" s="46">
        <v>608</v>
      </c>
      <c r="B604" s="47" t="s">
        <v>13291</v>
      </c>
      <c r="C604" s="47" t="s">
        <v>13291</v>
      </c>
      <c r="D604" s="47" t="s">
        <v>13291</v>
      </c>
      <c r="E604" s="47" t="s">
        <v>13291</v>
      </c>
      <c r="F604" s="47" t="s">
        <v>13291</v>
      </c>
      <c r="G604" s="47" t="s">
        <v>13291</v>
      </c>
      <c r="H604" s="158">
        <v>1608</v>
      </c>
      <c r="I604" s="156" t="s">
        <v>5646</v>
      </c>
      <c r="J604" s="156" t="s">
        <v>12204</v>
      </c>
      <c r="K604" s="47"/>
      <c r="L604" s="47"/>
      <c r="M604" s="47"/>
      <c r="N604" s="156"/>
      <c r="O604" s="156" t="s">
        <v>157</v>
      </c>
      <c r="P604" s="47"/>
      <c r="Q604" s="47"/>
      <c r="R604" s="47"/>
      <c r="S604" s="47" t="s">
        <v>13292</v>
      </c>
      <c r="T604" s="47" t="s">
        <v>13295</v>
      </c>
      <c r="U604" s="47"/>
    </row>
    <row r="605" spans="1:21" x14ac:dyDescent="0.3">
      <c r="A605" s="46">
        <v>609</v>
      </c>
      <c r="B605" s="47" t="s">
        <v>13291</v>
      </c>
      <c r="C605" s="47" t="s">
        <v>13291</v>
      </c>
      <c r="D605" s="47" t="s">
        <v>13291</v>
      </c>
      <c r="E605" s="47" t="s">
        <v>13291</v>
      </c>
      <c r="F605" s="47" t="s">
        <v>13291</v>
      </c>
      <c r="G605" s="47" t="s">
        <v>13291</v>
      </c>
      <c r="H605" s="158">
        <v>1609</v>
      </c>
      <c r="I605" s="156" t="s">
        <v>11222</v>
      </c>
      <c r="J605" s="156" t="s">
        <v>12205</v>
      </c>
      <c r="K605" s="47"/>
      <c r="L605" s="47"/>
      <c r="M605" s="47"/>
      <c r="N605" s="156"/>
      <c r="O605" s="156" t="s">
        <v>157</v>
      </c>
      <c r="P605" s="47"/>
      <c r="Q605" s="47"/>
      <c r="R605" s="47"/>
      <c r="S605" s="47" t="s">
        <v>13292</v>
      </c>
      <c r="T605" s="47" t="s">
        <v>13295</v>
      </c>
      <c r="U605" s="47"/>
    </row>
    <row r="606" spans="1:21" x14ac:dyDescent="0.3">
      <c r="A606" s="46">
        <v>610</v>
      </c>
      <c r="B606" s="47" t="s">
        <v>13291</v>
      </c>
      <c r="C606" s="47" t="s">
        <v>13291</v>
      </c>
      <c r="D606" s="47" t="s">
        <v>13291</v>
      </c>
      <c r="E606" s="47" t="s">
        <v>13291</v>
      </c>
      <c r="F606" s="47" t="s">
        <v>13291</v>
      </c>
      <c r="G606" s="47" t="s">
        <v>13291</v>
      </c>
      <c r="H606" s="158">
        <v>1610</v>
      </c>
      <c r="I606" s="156" t="s">
        <v>5647</v>
      </c>
      <c r="J606" s="156" t="s">
        <v>12206</v>
      </c>
      <c r="K606" s="47"/>
      <c r="L606" s="47"/>
      <c r="M606" s="47"/>
      <c r="N606" s="156"/>
      <c r="O606" s="156" t="s">
        <v>157</v>
      </c>
      <c r="P606" s="47"/>
      <c r="Q606" s="47"/>
      <c r="R606" s="47"/>
      <c r="S606" s="47" t="s">
        <v>13292</v>
      </c>
      <c r="T606" s="47" t="s">
        <v>13295</v>
      </c>
      <c r="U606" s="47"/>
    </row>
    <row r="607" spans="1:21" x14ac:dyDescent="0.3">
      <c r="A607" s="46">
        <v>611</v>
      </c>
      <c r="B607" s="47" t="s">
        <v>13291</v>
      </c>
      <c r="C607" s="47" t="s">
        <v>13291</v>
      </c>
      <c r="D607" s="47" t="s">
        <v>13291</v>
      </c>
      <c r="E607" s="47" t="s">
        <v>13291</v>
      </c>
      <c r="F607" s="47" t="s">
        <v>13291</v>
      </c>
      <c r="G607" s="47" t="s">
        <v>13291</v>
      </c>
      <c r="H607" s="158">
        <v>1611</v>
      </c>
      <c r="I607" s="156" t="s">
        <v>5648</v>
      </c>
      <c r="J607" s="156" t="s">
        <v>12207</v>
      </c>
      <c r="K607" s="47"/>
      <c r="L607" s="47"/>
      <c r="M607" s="47"/>
      <c r="N607" s="156"/>
      <c r="O607" s="156" t="s">
        <v>157</v>
      </c>
      <c r="P607" s="47"/>
      <c r="Q607" s="47"/>
      <c r="R607" s="47"/>
      <c r="S607" s="47" t="s">
        <v>13292</v>
      </c>
      <c r="T607" s="47" t="s">
        <v>13295</v>
      </c>
      <c r="U607" s="47"/>
    </row>
    <row r="608" spans="1:21" x14ac:dyDescent="0.3">
      <c r="A608" s="46">
        <v>612</v>
      </c>
      <c r="B608" s="47" t="s">
        <v>13291</v>
      </c>
      <c r="C608" s="47" t="s">
        <v>13291</v>
      </c>
      <c r="D608" s="47" t="s">
        <v>13291</v>
      </c>
      <c r="E608" s="47" t="s">
        <v>13291</v>
      </c>
      <c r="F608" s="47" t="s">
        <v>13291</v>
      </c>
      <c r="G608" s="47" t="s">
        <v>13291</v>
      </c>
      <c r="H608" s="158">
        <v>1612</v>
      </c>
      <c r="I608" s="156" t="s">
        <v>11223</v>
      </c>
      <c r="J608" s="156" t="s">
        <v>12208</v>
      </c>
      <c r="K608" s="47"/>
      <c r="L608" s="47"/>
      <c r="M608" s="47"/>
      <c r="N608" s="156"/>
      <c r="O608" s="156" t="s">
        <v>157</v>
      </c>
      <c r="P608" s="47"/>
      <c r="Q608" s="47"/>
      <c r="R608" s="47"/>
      <c r="S608" s="47" t="s">
        <v>13292</v>
      </c>
      <c r="T608" s="47" t="s">
        <v>13295</v>
      </c>
      <c r="U608" s="47"/>
    </row>
    <row r="609" spans="1:21" x14ac:dyDescent="0.3">
      <c r="A609" s="46">
        <v>613</v>
      </c>
      <c r="B609" s="47" t="s">
        <v>13291</v>
      </c>
      <c r="C609" s="47" t="s">
        <v>13291</v>
      </c>
      <c r="D609" s="47" t="s">
        <v>13291</v>
      </c>
      <c r="E609" s="47" t="s">
        <v>13291</v>
      </c>
      <c r="F609" s="47" t="s">
        <v>13291</v>
      </c>
      <c r="G609" s="47" t="s">
        <v>13291</v>
      </c>
      <c r="H609" s="158">
        <v>1613</v>
      </c>
      <c r="I609" s="156" t="s">
        <v>11224</v>
      </c>
      <c r="J609" s="156" t="s">
        <v>12209</v>
      </c>
      <c r="K609" s="47"/>
      <c r="L609" s="47"/>
      <c r="M609" s="47"/>
      <c r="N609" s="156"/>
      <c r="O609" s="156" t="s">
        <v>157</v>
      </c>
      <c r="P609" s="47"/>
      <c r="Q609" s="47"/>
      <c r="R609" s="47"/>
      <c r="S609" s="47" t="s">
        <v>13292</v>
      </c>
      <c r="T609" s="47" t="s">
        <v>13295</v>
      </c>
      <c r="U609" s="47"/>
    </row>
    <row r="610" spans="1:21" x14ac:dyDescent="0.3">
      <c r="A610" s="46">
        <v>614</v>
      </c>
      <c r="B610" s="47" t="s">
        <v>13291</v>
      </c>
      <c r="C610" s="47" t="s">
        <v>13291</v>
      </c>
      <c r="D610" s="47" t="s">
        <v>13291</v>
      </c>
      <c r="E610" s="47" t="s">
        <v>13291</v>
      </c>
      <c r="F610" s="47" t="s">
        <v>13291</v>
      </c>
      <c r="G610" s="47" t="s">
        <v>13291</v>
      </c>
      <c r="H610" s="158">
        <v>1614</v>
      </c>
      <c r="I610" s="156" t="s">
        <v>11225</v>
      </c>
      <c r="J610" s="156" t="s">
        <v>12210</v>
      </c>
      <c r="K610" s="47"/>
      <c r="L610" s="47"/>
      <c r="M610" s="47"/>
      <c r="N610" s="156"/>
      <c r="O610" s="156" t="s">
        <v>157</v>
      </c>
      <c r="P610" s="47"/>
      <c r="Q610" s="47"/>
      <c r="R610" s="47"/>
      <c r="S610" s="47" t="s">
        <v>13292</v>
      </c>
      <c r="T610" s="47" t="s">
        <v>13295</v>
      </c>
      <c r="U610" s="47"/>
    </row>
    <row r="611" spans="1:21" x14ac:dyDescent="0.3">
      <c r="A611" s="46">
        <v>615</v>
      </c>
      <c r="B611" s="47" t="s">
        <v>13291</v>
      </c>
      <c r="C611" s="47" t="s">
        <v>13291</v>
      </c>
      <c r="D611" s="47" t="s">
        <v>13291</v>
      </c>
      <c r="E611" s="47" t="s">
        <v>13291</v>
      </c>
      <c r="F611" s="47" t="s">
        <v>13291</v>
      </c>
      <c r="G611" s="47" t="s">
        <v>13291</v>
      </c>
      <c r="H611" s="158">
        <v>1615</v>
      </c>
      <c r="I611" s="156" t="s">
        <v>11226</v>
      </c>
      <c r="J611" s="156" t="s">
        <v>12211</v>
      </c>
      <c r="K611" s="47"/>
      <c r="L611" s="47"/>
      <c r="M611" s="47"/>
      <c r="N611" s="156"/>
      <c r="O611" s="156" t="s">
        <v>157</v>
      </c>
      <c r="P611" s="47"/>
      <c r="Q611" s="47"/>
      <c r="R611" s="47"/>
      <c r="S611" s="47" t="s">
        <v>13292</v>
      </c>
      <c r="T611" s="47" t="s">
        <v>13295</v>
      </c>
      <c r="U611" s="47"/>
    </row>
    <row r="612" spans="1:21" x14ac:dyDescent="0.3">
      <c r="A612" s="46">
        <v>616</v>
      </c>
      <c r="B612" s="47" t="s">
        <v>13291</v>
      </c>
      <c r="C612" s="47" t="s">
        <v>13291</v>
      </c>
      <c r="D612" s="47" t="s">
        <v>13291</v>
      </c>
      <c r="E612" s="47" t="s">
        <v>13291</v>
      </c>
      <c r="F612" s="47" t="s">
        <v>13291</v>
      </c>
      <c r="G612" s="47" t="s">
        <v>13291</v>
      </c>
      <c r="H612" s="158">
        <v>1616</v>
      </c>
      <c r="I612" s="156" t="s">
        <v>11227</v>
      </c>
      <c r="J612" s="156" t="s">
        <v>12212</v>
      </c>
      <c r="K612" s="47"/>
      <c r="L612" s="47"/>
      <c r="M612" s="47"/>
      <c r="N612" s="156"/>
      <c r="O612" s="156" t="s">
        <v>157</v>
      </c>
      <c r="P612" s="47"/>
      <c r="Q612" s="47"/>
      <c r="R612" s="47"/>
      <c r="S612" s="47" t="s">
        <v>13292</v>
      </c>
      <c r="T612" s="47" t="s">
        <v>13295</v>
      </c>
      <c r="U612" s="47"/>
    </row>
    <row r="613" spans="1:21" x14ac:dyDescent="0.3">
      <c r="A613" s="46">
        <v>617</v>
      </c>
      <c r="B613" s="47" t="s">
        <v>13291</v>
      </c>
      <c r="C613" s="47" t="s">
        <v>13291</v>
      </c>
      <c r="D613" s="47" t="s">
        <v>13291</v>
      </c>
      <c r="E613" s="47" t="s">
        <v>13291</v>
      </c>
      <c r="F613" s="47" t="s">
        <v>13291</v>
      </c>
      <c r="G613" s="47" t="s">
        <v>13291</v>
      </c>
      <c r="H613" s="158">
        <v>1617</v>
      </c>
      <c r="I613" s="156" t="s">
        <v>11228</v>
      </c>
      <c r="J613" s="156" t="s">
        <v>12213</v>
      </c>
      <c r="K613" s="47"/>
      <c r="L613" s="47"/>
      <c r="M613" s="47"/>
      <c r="N613" s="156"/>
      <c r="O613" s="156" t="s">
        <v>157</v>
      </c>
      <c r="P613" s="47"/>
      <c r="Q613" s="47"/>
      <c r="R613" s="47"/>
      <c r="S613" s="47" t="s">
        <v>13292</v>
      </c>
      <c r="T613" s="47" t="s">
        <v>13295</v>
      </c>
      <c r="U613" s="47"/>
    </row>
    <row r="614" spans="1:21" x14ac:dyDescent="0.3">
      <c r="A614" s="46">
        <v>618</v>
      </c>
      <c r="B614" s="47" t="s">
        <v>13291</v>
      </c>
      <c r="C614" s="47" t="s">
        <v>13291</v>
      </c>
      <c r="D614" s="47" t="s">
        <v>13291</v>
      </c>
      <c r="E614" s="47" t="s">
        <v>13291</v>
      </c>
      <c r="F614" s="47" t="s">
        <v>13291</v>
      </c>
      <c r="G614" s="47" t="s">
        <v>13291</v>
      </c>
      <c r="H614" s="158">
        <v>1618</v>
      </c>
      <c r="I614" s="156" t="s">
        <v>11229</v>
      </c>
      <c r="J614" s="156" t="s">
        <v>12214</v>
      </c>
      <c r="K614" s="47"/>
      <c r="L614" s="47"/>
      <c r="M614" s="47"/>
      <c r="N614" s="156"/>
      <c r="O614" s="156" t="s">
        <v>157</v>
      </c>
      <c r="P614" s="47"/>
      <c r="Q614" s="47"/>
      <c r="R614" s="47"/>
      <c r="S614" s="47" t="s">
        <v>13292</v>
      </c>
      <c r="T614" s="47" t="s">
        <v>13295</v>
      </c>
      <c r="U614" s="47"/>
    </row>
    <row r="615" spans="1:21" x14ac:dyDescent="0.3">
      <c r="A615" s="46">
        <v>619</v>
      </c>
      <c r="B615" s="47" t="s">
        <v>13291</v>
      </c>
      <c r="C615" s="47" t="s">
        <v>13291</v>
      </c>
      <c r="D615" s="47" t="s">
        <v>13291</v>
      </c>
      <c r="E615" s="47" t="s">
        <v>13291</v>
      </c>
      <c r="F615" s="47" t="s">
        <v>13291</v>
      </c>
      <c r="G615" s="47" t="s">
        <v>13291</v>
      </c>
      <c r="H615" s="158">
        <v>1619</v>
      </c>
      <c r="I615" s="156" t="s">
        <v>11230</v>
      </c>
      <c r="J615" s="156" t="s">
        <v>12215</v>
      </c>
      <c r="K615" s="47"/>
      <c r="L615" s="47"/>
      <c r="M615" s="47"/>
      <c r="N615" s="156"/>
      <c r="O615" s="156" t="s">
        <v>157</v>
      </c>
      <c r="P615" s="47"/>
      <c r="Q615" s="47"/>
      <c r="R615" s="47"/>
      <c r="S615" s="47" t="s">
        <v>13292</v>
      </c>
      <c r="T615" s="47" t="s">
        <v>13295</v>
      </c>
      <c r="U615" s="47"/>
    </row>
    <row r="616" spans="1:21" x14ac:dyDescent="0.3">
      <c r="A616" s="46">
        <v>620</v>
      </c>
      <c r="B616" s="47" t="s">
        <v>13291</v>
      </c>
      <c r="C616" s="47" t="s">
        <v>13291</v>
      </c>
      <c r="D616" s="47" t="s">
        <v>13291</v>
      </c>
      <c r="E616" s="47" t="s">
        <v>13291</v>
      </c>
      <c r="F616" s="47" t="s">
        <v>13291</v>
      </c>
      <c r="G616" s="47" t="s">
        <v>13291</v>
      </c>
      <c r="H616" s="158">
        <v>1620</v>
      </c>
      <c r="I616" s="156" t="s">
        <v>11231</v>
      </c>
      <c r="J616" s="156" t="s">
        <v>12216</v>
      </c>
      <c r="K616" s="47"/>
      <c r="L616" s="47"/>
      <c r="M616" s="47"/>
      <c r="N616" s="156"/>
      <c r="O616" s="156" t="s">
        <v>157</v>
      </c>
      <c r="P616" s="47"/>
      <c r="Q616" s="47"/>
      <c r="R616" s="47"/>
      <c r="S616" s="47" t="s">
        <v>13292</v>
      </c>
      <c r="T616" s="47" t="s">
        <v>13295</v>
      </c>
      <c r="U616" s="47"/>
    </row>
    <row r="617" spans="1:21" x14ac:dyDescent="0.3">
      <c r="A617" s="46">
        <v>621</v>
      </c>
      <c r="B617" s="47" t="s">
        <v>13291</v>
      </c>
      <c r="C617" s="47" t="s">
        <v>13291</v>
      </c>
      <c r="D617" s="47" t="s">
        <v>13291</v>
      </c>
      <c r="E617" s="47" t="s">
        <v>13291</v>
      </c>
      <c r="F617" s="47" t="s">
        <v>13291</v>
      </c>
      <c r="G617" s="47" t="s">
        <v>13291</v>
      </c>
      <c r="H617" s="158">
        <v>1621</v>
      </c>
      <c r="I617" s="156" t="s">
        <v>5649</v>
      </c>
      <c r="J617" s="156" t="s">
        <v>12217</v>
      </c>
      <c r="K617" s="47"/>
      <c r="L617" s="47"/>
      <c r="M617" s="47"/>
      <c r="N617" s="156"/>
      <c r="O617" s="156" t="s">
        <v>157</v>
      </c>
      <c r="P617" s="47"/>
      <c r="Q617" s="47"/>
      <c r="R617" s="47"/>
      <c r="S617" s="47" t="s">
        <v>13292</v>
      </c>
      <c r="T617" s="47" t="s">
        <v>13295</v>
      </c>
      <c r="U617" s="47"/>
    </row>
    <row r="618" spans="1:21" x14ac:dyDescent="0.3">
      <c r="A618" s="46">
        <v>622</v>
      </c>
      <c r="B618" s="47" t="s">
        <v>13291</v>
      </c>
      <c r="C618" s="47" t="s">
        <v>13291</v>
      </c>
      <c r="D618" s="47" t="s">
        <v>13291</v>
      </c>
      <c r="E618" s="47" t="s">
        <v>13291</v>
      </c>
      <c r="F618" s="47" t="s">
        <v>13291</v>
      </c>
      <c r="G618" s="47" t="s">
        <v>13291</v>
      </c>
      <c r="H618" s="158">
        <v>1622</v>
      </c>
      <c r="I618" s="156" t="s">
        <v>11232</v>
      </c>
      <c r="J618" s="156" t="s">
        <v>12218</v>
      </c>
      <c r="K618" s="47"/>
      <c r="L618" s="47"/>
      <c r="M618" s="47"/>
      <c r="N618" s="156"/>
      <c r="O618" s="156" t="s">
        <v>157</v>
      </c>
      <c r="P618" s="47"/>
      <c r="Q618" s="47"/>
      <c r="R618" s="47"/>
      <c r="S618" s="47" t="s">
        <v>13292</v>
      </c>
      <c r="T618" s="47" t="s">
        <v>13295</v>
      </c>
      <c r="U618" s="47"/>
    </row>
    <row r="619" spans="1:21" x14ac:dyDescent="0.3">
      <c r="A619" s="46">
        <v>623</v>
      </c>
      <c r="B619" s="47" t="s">
        <v>13291</v>
      </c>
      <c r="C619" s="47" t="s">
        <v>13291</v>
      </c>
      <c r="D619" s="47" t="s">
        <v>13291</v>
      </c>
      <c r="E619" s="47" t="s">
        <v>13291</v>
      </c>
      <c r="F619" s="47" t="s">
        <v>13291</v>
      </c>
      <c r="G619" s="47" t="s">
        <v>13291</v>
      </c>
      <c r="H619" s="158">
        <v>1623</v>
      </c>
      <c r="I619" s="156" t="s">
        <v>11233</v>
      </c>
      <c r="J619" s="156" t="s">
        <v>12219</v>
      </c>
      <c r="K619" s="47"/>
      <c r="L619" s="47"/>
      <c r="M619" s="47"/>
      <c r="N619" s="156"/>
      <c r="O619" s="156" t="s">
        <v>157</v>
      </c>
      <c r="P619" s="47"/>
      <c r="Q619" s="47"/>
      <c r="R619" s="47"/>
      <c r="S619" s="47" t="s">
        <v>13292</v>
      </c>
      <c r="T619" s="47" t="s">
        <v>13295</v>
      </c>
      <c r="U619" s="47"/>
    </row>
    <row r="620" spans="1:21" x14ac:dyDescent="0.3">
      <c r="A620" s="46">
        <v>624</v>
      </c>
      <c r="B620" s="47" t="s">
        <v>13291</v>
      </c>
      <c r="C620" s="47" t="s">
        <v>13291</v>
      </c>
      <c r="D620" s="47" t="s">
        <v>13291</v>
      </c>
      <c r="E620" s="47" t="s">
        <v>13291</v>
      </c>
      <c r="F620" s="47" t="s">
        <v>13291</v>
      </c>
      <c r="G620" s="47" t="s">
        <v>13291</v>
      </c>
      <c r="H620" s="158">
        <v>1624</v>
      </c>
      <c r="I620" s="156" t="s">
        <v>11234</v>
      </c>
      <c r="J620" s="156" t="s">
        <v>12220</v>
      </c>
      <c r="K620" s="47"/>
      <c r="L620" s="47"/>
      <c r="M620" s="47"/>
      <c r="N620" s="156"/>
      <c r="O620" s="156" t="s">
        <v>157</v>
      </c>
      <c r="P620" s="47"/>
      <c r="Q620" s="47"/>
      <c r="R620" s="47"/>
      <c r="S620" s="47" t="s">
        <v>13292</v>
      </c>
      <c r="T620" s="47" t="s">
        <v>13295</v>
      </c>
      <c r="U620" s="47"/>
    </row>
    <row r="621" spans="1:21" x14ac:dyDescent="0.3">
      <c r="A621" s="46">
        <v>625</v>
      </c>
      <c r="B621" s="47" t="s">
        <v>13291</v>
      </c>
      <c r="C621" s="47" t="s">
        <v>13291</v>
      </c>
      <c r="D621" s="47" t="s">
        <v>13291</v>
      </c>
      <c r="E621" s="47" t="s">
        <v>13291</v>
      </c>
      <c r="F621" s="47" t="s">
        <v>13291</v>
      </c>
      <c r="G621" s="47" t="s">
        <v>13291</v>
      </c>
      <c r="H621" s="158">
        <v>1625</v>
      </c>
      <c r="I621" s="156" t="s">
        <v>11235</v>
      </c>
      <c r="J621" s="156" t="s">
        <v>12221</v>
      </c>
      <c r="K621" s="47"/>
      <c r="L621" s="47"/>
      <c r="M621" s="47"/>
      <c r="N621" s="156"/>
      <c r="O621" s="156" t="s">
        <v>157</v>
      </c>
      <c r="P621" s="47"/>
      <c r="Q621" s="47"/>
      <c r="R621" s="47"/>
      <c r="S621" s="47" t="s">
        <v>13292</v>
      </c>
      <c r="T621" s="47" t="s">
        <v>13295</v>
      </c>
      <c r="U621" s="47"/>
    </row>
    <row r="622" spans="1:21" x14ac:dyDescent="0.3">
      <c r="A622" s="46">
        <v>626</v>
      </c>
      <c r="B622" s="47" t="s">
        <v>13291</v>
      </c>
      <c r="C622" s="47" t="s">
        <v>13291</v>
      </c>
      <c r="D622" s="47" t="s">
        <v>13291</v>
      </c>
      <c r="E622" s="47" t="s">
        <v>13291</v>
      </c>
      <c r="F622" s="47" t="s">
        <v>13291</v>
      </c>
      <c r="G622" s="47" t="s">
        <v>13291</v>
      </c>
      <c r="H622" s="158">
        <v>1626</v>
      </c>
      <c r="I622" s="156" t="s">
        <v>11236</v>
      </c>
      <c r="J622" s="156" t="s">
        <v>12222</v>
      </c>
      <c r="K622" s="47"/>
      <c r="L622" s="47"/>
      <c r="M622" s="47"/>
      <c r="N622" s="156"/>
      <c r="O622" s="156" t="s">
        <v>157</v>
      </c>
      <c r="P622" s="47"/>
      <c r="Q622" s="47"/>
      <c r="R622" s="47"/>
      <c r="S622" s="47" t="s">
        <v>13292</v>
      </c>
      <c r="T622" s="47" t="s">
        <v>13295</v>
      </c>
      <c r="U622" s="47"/>
    </row>
    <row r="623" spans="1:21" x14ac:dyDescent="0.3">
      <c r="A623" s="46">
        <v>627</v>
      </c>
      <c r="B623" s="47" t="s">
        <v>13291</v>
      </c>
      <c r="C623" s="47" t="s">
        <v>13291</v>
      </c>
      <c r="D623" s="47" t="s">
        <v>13291</v>
      </c>
      <c r="E623" s="47" t="s">
        <v>13291</v>
      </c>
      <c r="F623" s="47" t="s">
        <v>13291</v>
      </c>
      <c r="G623" s="47" t="s">
        <v>13291</v>
      </c>
      <c r="H623" s="158">
        <v>1627</v>
      </c>
      <c r="I623" s="156" t="s">
        <v>11237</v>
      </c>
      <c r="J623" s="156" t="s">
        <v>12223</v>
      </c>
      <c r="K623" s="47"/>
      <c r="L623" s="47"/>
      <c r="M623" s="47"/>
      <c r="N623" s="156"/>
      <c r="O623" s="156" t="s">
        <v>157</v>
      </c>
      <c r="P623" s="47"/>
      <c r="Q623" s="47"/>
      <c r="R623" s="47"/>
      <c r="S623" s="47" t="s">
        <v>13292</v>
      </c>
      <c r="T623" s="47" t="s">
        <v>13295</v>
      </c>
      <c r="U623" s="47"/>
    </row>
    <row r="624" spans="1:21" x14ac:dyDescent="0.3">
      <c r="A624" s="46">
        <v>628</v>
      </c>
      <c r="B624" s="47" t="s">
        <v>13291</v>
      </c>
      <c r="C624" s="47" t="s">
        <v>13291</v>
      </c>
      <c r="D624" s="47" t="s">
        <v>13291</v>
      </c>
      <c r="E624" s="47" t="s">
        <v>13291</v>
      </c>
      <c r="F624" s="47" t="s">
        <v>13291</v>
      </c>
      <c r="G624" s="47" t="s">
        <v>13291</v>
      </c>
      <c r="H624" s="158">
        <v>1628</v>
      </c>
      <c r="I624" s="156" t="s">
        <v>11238</v>
      </c>
      <c r="J624" s="156" t="s">
        <v>12224</v>
      </c>
      <c r="K624" s="47"/>
      <c r="L624" s="47"/>
      <c r="M624" s="47"/>
      <c r="N624" s="156"/>
      <c r="O624" s="156" t="s">
        <v>157</v>
      </c>
      <c r="P624" s="47"/>
      <c r="Q624" s="47"/>
      <c r="R624" s="47"/>
      <c r="S624" s="47" t="s">
        <v>13292</v>
      </c>
      <c r="T624" s="47" t="s">
        <v>13295</v>
      </c>
      <c r="U624" s="47"/>
    </row>
    <row r="625" spans="1:21" x14ac:dyDescent="0.3">
      <c r="A625" s="46">
        <v>629</v>
      </c>
      <c r="B625" s="47" t="s">
        <v>13291</v>
      </c>
      <c r="C625" s="47" t="s">
        <v>13291</v>
      </c>
      <c r="D625" s="47" t="s">
        <v>13291</v>
      </c>
      <c r="E625" s="47" t="s">
        <v>13291</v>
      </c>
      <c r="F625" s="47" t="s">
        <v>13291</v>
      </c>
      <c r="G625" s="47" t="s">
        <v>13291</v>
      </c>
      <c r="H625" s="158">
        <v>1629</v>
      </c>
      <c r="I625" s="156" t="s">
        <v>11239</v>
      </c>
      <c r="J625" s="156" t="s">
        <v>12225</v>
      </c>
      <c r="K625" s="47"/>
      <c r="L625" s="47"/>
      <c r="M625" s="47"/>
      <c r="N625" s="156"/>
      <c r="O625" s="156" t="s">
        <v>157</v>
      </c>
      <c r="P625" s="47"/>
      <c r="Q625" s="47"/>
      <c r="R625" s="47"/>
      <c r="S625" s="47" t="s">
        <v>13292</v>
      </c>
      <c r="T625" s="47" t="s">
        <v>13295</v>
      </c>
      <c r="U625" s="47"/>
    </row>
    <row r="626" spans="1:21" x14ac:dyDescent="0.3">
      <c r="A626" s="46">
        <v>630</v>
      </c>
      <c r="B626" s="47" t="s">
        <v>13291</v>
      </c>
      <c r="C626" s="47" t="s">
        <v>13291</v>
      </c>
      <c r="D626" s="47" t="s">
        <v>13291</v>
      </c>
      <c r="E626" s="47" t="s">
        <v>13291</v>
      </c>
      <c r="F626" s="47" t="s">
        <v>13291</v>
      </c>
      <c r="G626" s="47" t="s">
        <v>13291</v>
      </c>
      <c r="H626" s="158">
        <v>1630</v>
      </c>
      <c r="I626" s="156" t="s">
        <v>11240</v>
      </c>
      <c r="J626" s="156" t="s">
        <v>12226</v>
      </c>
      <c r="K626" s="47"/>
      <c r="L626" s="47"/>
      <c r="M626" s="47"/>
      <c r="N626" s="156"/>
      <c r="O626" s="156" t="s">
        <v>157</v>
      </c>
      <c r="P626" s="47"/>
      <c r="Q626" s="47"/>
      <c r="R626" s="47"/>
      <c r="S626" s="47" t="s">
        <v>13292</v>
      </c>
      <c r="T626" s="47" t="s">
        <v>13295</v>
      </c>
      <c r="U626" s="47"/>
    </row>
    <row r="627" spans="1:21" x14ac:dyDescent="0.3">
      <c r="A627" s="46">
        <v>631</v>
      </c>
      <c r="B627" s="47" t="s">
        <v>13291</v>
      </c>
      <c r="C627" s="47" t="s">
        <v>13291</v>
      </c>
      <c r="D627" s="47" t="s">
        <v>13291</v>
      </c>
      <c r="E627" s="47" t="s">
        <v>13291</v>
      </c>
      <c r="F627" s="47" t="s">
        <v>13291</v>
      </c>
      <c r="G627" s="47" t="s">
        <v>13291</v>
      </c>
      <c r="H627" s="158">
        <v>1631</v>
      </c>
      <c r="I627" s="156" t="s">
        <v>11241</v>
      </c>
      <c r="J627" s="156" t="s">
        <v>12227</v>
      </c>
      <c r="K627" s="47"/>
      <c r="L627" s="47"/>
      <c r="M627" s="47"/>
      <c r="N627" s="156"/>
      <c r="O627" s="156" t="s">
        <v>157</v>
      </c>
      <c r="P627" s="47"/>
      <c r="Q627" s="47"/>
      <c r="R627" s="47"/>
      <c r="S627" s="47" t="s">
        <v>13292</v>
      </c>
      <c r="T627" s="47" t="s">
        <v>13295</v>
      </c>
      <c r="U627" s="47"/>
    </row>
    <row r="628" spans="1:21" x14ac:dyDescent="0.3">
      <c r="A628" s="46">
        <v>632</v>
      </c>
      <c r="B628" s="47" t="s">
        <v>13291</v>
      </c>
      <c r="C628" s="47" t="s">
        <v>13291</v>
      </c>
      <c r="D628" s="47" t="s">
        <v>13291</v>
      </c>
      <c r="E628" s="47" t="s">
        <v>13291</v>
      </c>
      <c r="F628" s="47" t="s">
        <v>13291</v>
      </c>
      <c r="G628" s="47" t="s">
        <v>13291</v>
      </c>
      <c r="H628" s="158">
        <v>1632</v>
      </c>
      <c r="I628" s="156" t="s">
        <v>11242</v>
      </c>
      <c r="J628" s="156" t="s">
        <v>12228</v>
      </c>
      <c r="K628" s="47"/>
      <c r="L628" s="47"/>
      <c r="M628" s="47"/>
      <c r="N628" s="156"/>
      <c r="O628" s="156" t="s">
        <v>157</v>
      </c>
      <c r="P628" s="47"/>
      <c r="Q628" s="47"/>
      <c r="R628" s="47"/>
      <c r="S628" s="47" t="s">
        <v>13292</v>
      </c>
      <c r="T628" s="47" t="s">
        <v>13295</v>
      </c>
      <c r="U628" s="47"/>
    </row>
    <row r="629" spans="1:21" x14ac:dyDescent="0.3">
      <c r="A629" s="46">
        <v>633</v>
      </c>
      <c r="B629" s="47" t="s">
        <v>13291</v>
      </c>
      <c r="C629" s="47" t="s">
        <v>13291</v>
      </c>
      <c r="D629" s="47" t="s">
        <v>13291</v>
      </c>
      <c r="E629" s="47" t="s">
        <v>13291</v>
      </c>
      <c r="F629" s="47" t="s">
        <v>13291</v>
      </c>
      <c r="G629" s="47" t="s">
        <v>13291</v>
      </c>
      <c r="H629" s="158">
        <v>1633</v>
      </c>
      <c r="I629" s="156" t="s">
        <v>11243</v>
      </c>
      <c r="J629" s="156" t="s">
        <v>12229</v>
      </c>
      <c r="K629" s="47"/>
      <c r="L629" s="47"/>
      <c r="M629" s="47"/>
      <c r="N629" s="156"/>
      <c r="O629" s="156" t="s">
        <v>157</v>
      </c>
      <c r="P629" s="47"/>
      <c r="Q629" s="47"/>
      <c r="R629" s="47"/>
      <c r="S629" s="47" t="s">
        <v>13292</v>
      </c>
      <c r="T629" s="47" t="s">
        <v>13295</v>
      </c>
      <c r="U629" s="47"/>
    </row>
    <row r="630" spans="1:21" x14ac:dyDescent="0.3">
      <c r="A630" s="46">
        <v>634</v>
      </c>
      <c r="B630" s="47" t="s">
        <v>13291</v>
      </c>
      <c r="C630" s="47" t="s">
        <v>13291</v>
      </c>
      <c r="D630" s="47" t="s">
        <v>13291</v>
      </c>
      <c r="E630" s="47" t="s">
        <v>13291</v>
      </c>
      <c r="F630" s="47" t="s">
        <v>13291</v>
      </c>
      <c r="G630" s="47" t="s">
        <v>13291</v>
      </c>
      <c r="H630" s="158">
        <v>1634</v>
      </c>
      <c r="I630" s="156" t="s">
        <v>11244</v>
      </c>
      <c r="J630" s="156" t="s">
        <v>12230</v>
      </c>
      <c r="K630" s="47"/>
      <c r="L630" s="47"/>
      <c r="M630" s="47"/>
      <c r="N630" s="156"/>
      <c r="O630" s="156" t="s">
        <v>157</v>
      </c>
      <c r="P630" s="47"/>
      <c r="Q630" s="47"/>
      <c r="R630" s="47"/>
      <c r="S630" s="47" t="s">
        <v>13292</v>
      </c>
      <c r="T630" s="47" t="s">
        <v>13295</v>
      </c>
      <c r="U630" s="47"/>
    </row>
    <row r="631" spans="1:21" x14ac:dyDescent="0.3">
      <c r="A631" s="46">
        <v>635</v>
      </c>
      <c r="B631" s="47" t="s">
        <v>13291</v>
      </c>
      <c r="C631" s="47" t="s">
        <v>13291</v>
      </c>
      <c r="D631" s="47" t="s">
        <v>13291</v>
      </c>
      <c r="E631" s="47" t="s">
        <v>13291</v>
      </c>
      <c r="F631" s="47" t="s">
        <v>13291</v>
      </c>
      <c r="G631" s="47" t="s">
        <v>13291</v>
      </c>
      <c r="H631" s="158">
        <v>1635</v>
      </c>
      <c r="I631" s="156" t="s">
        <v>11245</v>
      </c>
      <c r="J631" s="156" t="s">
        <v>12231</v>
      </c>
      <c r="K631" s="47"/>
      <c r="L631" s="47"/>
      <c r="M631" s="47"/>
      <c r="N631" s="156"/>
      <c r="O631" s="156" t="s">
        <v>157</v>
      </c>
      <c r="P631" s="47"/>
      <c r="Q631" s="47"/>
      <c r="R631" s="47"/>
      <c r="S631" s="47" t="s">
        <v>13292</v>
      </c>
      <c r="T631" s="47" t="s">
        <v>13295</v>
      </c>
      <c r="U631" s="47"/>
    </row>
    <row r="632" spans="1:21" x14ac:dyDescent="0.3">
      <c r="A632" s="46">
        <v>636</v>
      </c>
      <c r="B632" s="47" t="s">
        <v>13291</v>
      </c>
      <c r="C632" s="47" t="s">
        <v>13291</v>
      </c>
      <c r="D632" s="47" t="s">
        <v>13291</v>
      </c>
      <c r="E632" s="47" t="s">
        <v>13291</v>
      </c>
      <c r="F632" s="47" t="s">
        <v>13291</v>
      </c>
      <c r="G632" s="47" t="s">
        <v>13291</v>
      </c>
      <c r="H632" s="158">
        <v>1636</v>
      </c>
      <c r="I632" s="156" t="s">
        <v>11246</v>
      </c>
      <c r="J632" s="156" t="s">
        <v>12232</v>
      </c>
      <c r="K632" s="47"/>
      <c r="L632" s="47"/>
      <c r="M632" s="47"/>
      <c r="N632" s="156"/>
      <c r="O632" s="156" t="s">
        <v>157</v>
      </c>
      <c r="P632" s="47"/>
      <c r="Q632" s="47"/>
      <c r="R632" s="47"/>
      <c r="S632" s="47" t="s">
        <v>13292</v>
      </c>
      <c r="T632" s="47" t="s">
        <v>13295</v>
      </c>
      <c r="U632" s="47"/>
    </row>
    <row r="633" spans="1:21" x14ac:dyDescent="0.3">
      <c r="A633" s="46">
        <v>637</v>
      </c>
      <c r="B633" s="47" t="s">
        <v>13291</v>
      </c>
      <c r="C633" s="47" t="s">
        <v>13291</v>
      </c>
      <c r="D633" s="47" t="s">
        <v>13291</v>
      </c>
      <c r="E633" s="47" t="s">
        <v>13291</v>
      </c>
      <c r="F633" s="47" t="s">
        <v>13291</v>
      </c>
      <c r="G633" s="47" t="s">
        <v>13291</v>
      </c>
      <c r="H633" s="158">
        <v>1637</v>
      </c>
      <c r="I633" s="156" t="s">
        <v>11247</v>
      </c>
      <c r="J633" s="156" t="s">
        <v>12233</v>
      </c>
      <c r="K633" s="47"/>
      <c r="L633" s="47"/>
      <c r="M633" s="47"/>
      <c r="N633" s="156"/>
      <c r="O633" s="156" t="s">
        <v>157</v>
      </c>
      <c r="P633" s="47"/>
      <c r="Q633" s="47"/>
      <c r="R633" s="47"/>
      <c r="S633" s="47" t="s">
        <v>13292</v>
      </c>
      <c r="T633" s="47" t="s">
        <v>13295</v>
      </c>
      <c r="U633" s="47"/>
    </row>
    <row r="634" spans="1:21" x14ac:dyDescent="0.3">
      <c r="A634" s="46">
        <v>638</v>
      </c>
      <c r="B634" s="47" t="s">
        <v>13291</v>
      </c>
      <c r="C634" s="47" t="s">
        <v>13291</v>
      </c>
      <c r="D634" s="47" t="s">
        <v>13291</v>
      </c>
      <c r="E634" s="47" t="s">
        <v>13291</v>
      </c>
      <c r="F634" s="47" t="s">
        <v>13291</v>
      </c>
      <c r="G634" s="47" t="s">
        <v>13291</v>
      </c>
      <c r="H634" s="158">
        <v>1638</v>
      </c>
      <c r="I634" s="156" t="s">
        <v>5650</v>
      </c>
      <c r="J634" s="156" t="s">
        <v>12234</v>
      </c>
      <c r="K634" s="47"/>
      <c r="L634" s="47"/>
      <c r="M634" s="47"/>
      <c r="N634" s="156"/>
      <c r="O634" s="156" t="s">
        <v>157</v>
      </c>
      <c r="P634" s="47"/>
      <c r="Q634" s="47"/>
      <c r="R634" s="47"/>
      <c r="S634" s="47" t="s">
        <v>13292</v>
      </c>
      <c r="T634" s="47" t="s">
        <v>13295</v>
      </c>
      <c r="U634" s="47"/>
    </row>
    <row r="635" spans="1:21" x14ac:dyDescent="0.3">
      <c r="A635" s="46">
        <v>639</v>
      </c>
      <c r="B635" s="47" t="s">
        <v>13291</v>
      </c>
      <c r="C635" s="47" t="s">
        <v>13291</v>
      </c>
      <c r="D635" s="47" t="s">
        <v>13291</v>
      </c>
      <c r="E635" s="47" t="s">
        <v>13291</v>
      </c>
      <c r="F635" s="47" t="s">
        <v>13291</v>
      </c>
      <c r="G635" s="47" t="s">
        <v>13291</v>
      </c>
      <c r="H635" s="158">
        <v>1639</v>
      </c>
      <c r="I635" s="156" t="s">
        <v>11248</v>
      </c>
      <c r="J635" s="156" t="s">
        <v>12235</v>
      </c>
      <c r="K635" s="47"/>
      <c r="L635" s="47"/>
      <c r="M635" s="47"/>
      <c r="N635" s="156"/>
      <c r="O635" s="156" t="s">
        <v>157</v>
      </c>
      <c r="P635" s="47"/>
      <c r="Q635" s="47"/>
      <c r="R635" s="47"/>
      <c r="S635" s="47" t="s">
        <v>13292</v>
      </c>
      <c r="T635" s="47" t="s">
        <v>13295</v>
      </c>
      <c r="U635" s="47"/>
    </row>
    <row r="636" spans="1:21" x14ac:dyDescent="0.3">
      <c r="A636" s="46">
        <v>640</v>
      </c>
      <c r="B636" s="47" t="s">
        <v>13291</v>
      </c>
      <c r="C636" s="47" t="s">
        <v>13291</v>
      </c>
      <c r="D636" s="47" t="s">
        <v>13291</v>
      </c>
      <c r="E636" s="47" t="s">
        <v>13291</v>
      </c>
      <c r="F636" s="47" t="s">
        <v>13291</v>
      </c>
      <c r="G636" s="47" t="s">
        <v>13291</v>
      </c>
      <c r="H636" s="158">
        <v>1640</v>
      </c>
      <c r="I636" s="156" t="s">
        <v>11249</v>
      </c>
      <c r="J636" s="156" t="s">
        <v>12236</v>
      </c>
      <c r="K636" s="47"/>
      <c r="L636" s="47"/>
      <c r="M636" s="47"/>
      <c r="N636" s="156"/>
      <c r="O636" s="156" t="s">
        <v>157</v>
      </c>
      <c r="P636" s="47"/>
      <c r="Q636" s="47"/>
      <c r="R636" s="47"/>
      <c r="S636" s="47" t="s">
        <v>13292</v>
      </c>
      <c r="T636" s="47" t="s">
        <v>13295</v>
      </c>
      <c r="U636" s="47"/>
    </row>
    <row r="637" spans="1:21" x14ac:dyDescent="0.3">
      <c r="A637" s="46">
        <v>641</v>
      </c>
      <c r="B637" s="47" t="s">
        <v>13291</v>
      </c>
      <c r="C637" s="47" t="s">
        <v>13291</v>
      </c>
      <c r="D637" s="47" t="s">
        <v>13291</v>
      </c>
      <c r="E637" s="47" t="s">
        <v>13291</v>
      </c>
      <c r="F637" s="47" t="s">
        <v>13291</v>
      </c>
      <c r="G637" s="47" t="s">
        <v>13291</v>
      </c>
      <c r="H637" s="158">
        <v>1641</v>
      </c>
      <c r="I637" s="156" t="s">
        <v>11060</v>
      </c>
      <c r="J637" s="156" t="s">
        <v>11877</v>
      </c>
      <c r="K637" s="47"/>
      <c r="L637" s="47"/>
      <c r="M637" s="47"/>
      <c r="N637" s="156"/>
      <c r="O637" s="156" t="s">
        <v>157</v>
      </c>
      <c r="P637" s="47"/>
      <c r="Q637" s="47"/>
      <c r="R637" s="47"/>
      <c r="S637" s="47" t="s">
        <v>13292</v>
      </c>
      <c r="T637" s="47" t="s">
        <v>13295</v>
      </c>
      <c r="U637" s="47"/>
    </row>
    <row r="638" spans="1:21" x14ac:dyDescent="0.3">
      <c r="A638" s="46">
        <v>642</v>
      </c>
      <c r="B638" s="47" t="s">
        <v>13291</v>
      </c>
      <c r="C638" s="47" t="s">
        <v>13291</v>
      </c>
      <c r="D638" s="47" t="s">
        <v>13291</v>
      </c>
      <c r="E638" s="47" t="s">
        <v>13291</v>
      </c>
      <c r="F638" s="47" t="s">
        <v>13291</v>
      </c>
      <c r="G638" s="47" t="s">
        <v>13291</v>
      </c>
      <c r="H638" s="158">
        <v>1642</v>
      </c>
      <c r="I638" s="156" t="s">
        <v>11112</v>
      </c>
      <c r="J638" s="156" t="s">
        <v>11997</v>
      </c>
      <c r="K638" s="47"/>
      <c r="L638" s="47"/>
      <c r="M638" s="47"/>
      <c r="N638" s="156"/>
      <c r="O638" s="156" t="s">
        <v>157</v>
      </c>
      <c r="P638" s="47"/>
      <c r="Q638" s="47"/>
      <c r="R638" s="47"/>
      <c r="S638" s="47" t="s">
        <v>13292</v>
      </c>
      <c r="T638" s="47" t="s">
        <v>13295</v>
      </c>
      <c r="U638" s="47"/>
    </row>
    <row r="639" spans="1:21" x14ac:dyDescent="0.3">
      <c r="A639" s="46">
        <v>643</v>
      </c>
      <c r="B639" s="47" t="s">
        <v>13291</v>
      </c>
      <c r="C639" s="47" t="s">
        <v>13291</v>
      </c>
      <c r="D639" s="47" t="s">
        <v>13291</v>
      </c>
      <c r="E639" s="47" t="s">
        <v>13291</v>
      </c>
      <c r="F639" s="47" t="s">
        <v>13291</v>
      </c>
      <c r="G639" s="47" t="s">
        <v>13291</v>
      </c>
      <c r="H639" s="158">
        <v>1643</v>
      </c>
      <c r="I639" s="156" t="s">
        <v>10925</v>
      </c>
      <c r="J639" s="156" t="s">
        <v>11520</v>
      </c>
      <c r="K639" s="47"/>
      <c r="L639" s="47"/>
      <c r="M639" s="47"/>
      <c r="N639" s="156"/>
      <c r="O639" s="156" t="s">
        <v>157</v>
      </c>
      <c r="P639" s="47"/>
      <c r="Q639" s="47"/>
      <c r="R639" s="47"/>
      <c r="S639" s="47" t="s">
        <v>13292</v>
      </c>
      <c r="T639" s="47" t="s">
        <v>13295</v>
      </c>
      <c r="U639" s="47"/>
    </row>
    <row r="640" spans="1:21" x14ac:dyDescent="0.3">
      <c r="A640" s="46">
        <v>644</v>
      </c>
      <c r="B640" s="47" t="s">
        <v>13291</v>
      </c>
      <c r="C640" s="47" t="s">
        <v>13291</v>
      </c>
      <c r="D640" s="47" t="s">
        <v>13291</v>
      </c>
      <c r="E640" s="47" t="s">
        <v>13291</v>
      </c>
      <c r="F640" s="47" t="s">
        <v>13291</v>
      </c>
      <c r="G640" s="47" t="s">
        <v>13291</v>
      </c>
      <c r="H640" s="158">
        <v>1644</v>
      </c>
      <c r="I640" s="156" t="s">
        <v>11061</v>
      </c>
      <c r="J640" s="156" t="s">
        <v>11878</v>
      </c>
      <c r="K640" s="47"/>
      <c r="L640" s="47"/>
      <c r="M640" s="47"/>
      <c r="N640" s="156"/>
      <c r="O640" s="156" t="s">
        <v>157</v>
      </c>
      <c r="P640" s="47"/>
      <c r="Q640" s="47"/>
      <c r="R640" s="47"/>
      <c r="S640" s="47" t="s">
        <v>13292</v>
      </c>
      <c r="T640" s="47" t="s">
        <v>13295</v>
      </c>
      <c r="U640" s="47"/>
    </row>
    <row r="641" spans="1:21" x14ac:dyDescent="0.3">
      <c r="A641" s="46">
        <v>645</v>
      </c>
      <c r="B641" s="47" t="s">
        <v>13291</v>
      </c>
      <c r="C641" s="47" t="s">
        <v>13291</v>
      </c>
      <c r="D641" s="47" t="s">
        <v>13291</v>
      </c>
      <c r="E641" s="47" t="s">
        <v>13291</v>
      </c>
      <c r="F641" s="47" t="s">
        <v>13291</v>
      </c>
      <c r="G641" s="47" t="s">
        <v>13291</v>
      </c>
      <c r="H641" s="158">
        <v>1645</v>
      </c>
      <c r="I641" s="156" t="s">
        <v>11062</v>
      </c>
      <c r="J641" s="156" t="s">
        <v>11879</v>
      </c>
      <c r="K641" s="47"/>
      <c r="L641" s="47"/>
      <c r="M641" s="47"/>
      <c r="N641" s="156"/>
      <c r="O641" s="156" t="s">
        <v>157</v>
      </c>
      <c r="P641" s="47"/>
      <c r="Q641" s="47"/>
      <c r="R641" s="47"/>
      <c r="S641" s="47" t="s">
        <v>13292</v>
      </c>
      <c r="T641" s="47" t="s">
        <v>13295</v>
      </c>
      <c r="U641" s="47"/>
    </row>
    <row r="642" spans="1:21" x14ac:dyDescent="0.3">
      <c r="A642" s="46">
        <v>646</v>
      </c>
      <c r="B642" s="47" t="s">
        <v>13291</v>
      </c>
      <c r="C642" s="47" t="s">
        <v>13291</v>
      </c>
      <c r="D642" s="47" t="s">
        <v>13291</v>
      </c>
      <c r="E642" s="47" t="s">
        <v>13291</v>
      </c>
      <c r="F642" s="47" t="s">
        <v>13291</v>
      </c>
      <c r="G642" s="47" t="s">
        <v>13291</v>
      </c>
      <c r="H642" s="158">
        <v>1646</v>
      </c>
      <c r="I642" s="156" t="s">
        <v>5651</v>
      </c>
      <c r="J642" s="156" t="s">
        <v>11880</v>
      </c>
      <c r="K642" s="47"/>
      <c r="L642" s="47"/>
      <c r="M642" s="47"/>
      <c r="N642" s="156"/>
      <c r="O642" s="156" t="s">
        <v>157</v>
      </c>
      <c r="P642" s="47"/>
      <c r="Q642" s="47"/>
      <c r="R642" s="47"/>
      <c r="S642" s="47" t="s">
        <v>13292</v>
      </c>
      <c r="T642" s="47" t="s">
        <v>13295</v>
      </c>
      <c r="U642" s="47"/>
    </row>
    <row r="643" spans="1:21" x14ac:dyDescent="0.3">
      <c r="A643" s="46">
        <v>647</v>
      </c>
      <c r="B643" s="47" t="s">
        <v>13291</v>
      </c>
      <c r="C643" s="47" t="s">
        <v>13291</v>
      </c>
      <c r="D643" s="47" t="s">
        <v>13291</v>
      </c>
      <c r="E643" s="47" t="s">
        <v>13291</v>
      </c>
      <c r="F643" s="47" t="s">
        <v>13291</v>
      </c>
      <c r="G643" s="47" t="s">
        <v>13291</v>
      </c>
      <c r="H643" s="158">
        <v>1647</v>
      </c>
      <c r="I643" s="156" t="s">
        <v>5652</v>
      </c>
      <c r="J643" s="156" t="s">
        <v>11881</v>
      </c>
      <c r="K643" s="47"/>
      <c r="L643" s="47"/>
      <c r="M643" s="47"/>
      <c r="N643" s="156"/>
      <c r="O643" s="156" t="s">
        <v>157</v>
      </c>
      <c r="P643" s="47"/>
      <c r="Q643" s="47"/>
      <c r="R643" s="47"/>
      <c r="S643" s="47" t="s">
        <v>13292</v>
      </c>
      <c r="T643" s="47" t="s">
        <v>13295</v>
      </c>
      <c r="U643" s="47"/>
    </row>
    <row r="644" spans="1:21" x14ac:dyDescent="0.3">
      <c r="A644" s="46">
        <v>648</v>
      </c>
      <c r="B644" s="47" t="s">
        <v>13291</v>
      </c>
      <c r="C644" s="47" t="s">
        <v>13291</v>
      </c>
      <c r="D644" s="47" t="s">
        <v>13291</v>
      </c>
      <c r="E644" s="47" t="s">
        <v>13291</v>
      </c>
      <c r="F644" s="47" t="s">
        <v>13291</v>
      </c>
      <c r="G644" s="47" t="s">
        <v>13291</v>
      </c>
      <c r="H644" s="158">
        <v>1648</v>
      </c>
      <c r="I644" s="156" t="s">
        <v>5653</v>
      </c>
      <c r="J644" s="156" t="s">
        <v>11649</v>
      </c>
      <c r="K644" s="47"/>
      <c r="L644" s="47"/>
      <c r="M644" s="47"/>
      <c r="N644" s="156"/>
      <c r="O644" s="156" t="s">
        <v>157</v>
      </c>
      <c r="P644" s="47"/>
      <c r="Q644" s="47"/>
      <c r="R644" s="47"/>
      <c r="S644" s="47" t="s">
        <v>13292</v>
      </c>
      <c r="T644" s="47" t="s">
        <v>13295</v>
      </c>
      <c r="U644" s="47"/>
    </row>
    <row r="645" spans="1:21" x14ac:dyDescent="0.3">
      <c r="A645" s="46">
        <v>649</v>
      </c>
      <c r="B645" s="47" t="s">
        <v>13291</v>
      </c>
      <c r="C645" s="47" t="s">
        <v>13291</v>
      </c>
      <c r="D645" s="47" t="s">
        <v>13291</v>
      </c>
      <c r="E645" s="47" t="s">
        <v>13291</v>
      </c>
      <c r="F645" s="47" t="s">
        <v>13291</v>
      </c>
      <c r="G645" s="47" t="s">
        <v>13291</v>
      </c>
      <c r="H645" s="158">
        <v>1649</v>
      </c>
      <c r="I645" s="156" t="s">
        <v>5654</v>
      </c>
      <c r="J645" s="156" t="s">
        <v>11882</v>
      </c>
      <c r="K645" s="47"/>
      <c r="L645" s="47"/>
      <c r="M645" s="47"/>
      <c r="N645" s="156"/>
      <c r="O645" s="156" t="s">
        <v>157</v>
      </c>
      <c r="P645" s="47"/>
      <c r="Q645" s="47"/>
      <c r="R645" s="47"/>
      <c r="S645" s="47" t="s">
        <v>13292</v>
      </c>
      <c r="T645" s="47" t="s">
        <v>13295</v>
      </c>
      <c r="U645" s="47"/>
    </row>
    <row r="646" spans="1:21" x14ac:dyDescent="0.3">
      <c r="A646" s="46">
        <v>650</v>
      </c>
      <c r="B646" s="47" t="s">
        <v>13291</v>
      </c>
      <c r="C646" s="47" t="s">
        <v>13291</v>
      </c>
      <c r="D646" s="47" t="s">
        <v>13291</v>
      </c>
      <c r="E646" s="47" t="s">
        <v>13291</v>
      </c>
      <c r="F646" s="47" t="s">
        <v>13291</v>
      </c>
      <c r="G646" s="47" t="s">
        <v>13291</v>
      </c>
      <c r="H646" s="158">
        <v>1650</v>
      </c>
      <c r="I646" s="156" t="s">
        <v>11113</v>
      </c>
      <c r="J646" s="156" t="s">
        <v>11998</v>
      </c>
      <c r="K646" s="47"/>
      <c r="L646" s="47"/>
      <c r="M646" s="47"/>
      <c r="N646" s="156"/>
      <c r="O646" s="156" t="s">
        <v>157</v>
      </c>
      <c r="P646" s="47"/>
      <c r="Q646" s="47"/>
      <c r="R646" s="47"/>
      <c r="S646" s="47" t="s">
        <v>13292</v>
      </c>
      <c r="T646" s="47" t="s">
        <v>13295</v>
      </c>
      <c r="U646" s="47"/>
    </row>
    <row r="647" spans="1:21" x14ac:dyDescent="0.3">
      <c r="A647" s="46">
        <v>651</v>
      </c>
      <c r="B647" s="47" t="s">
        <v>13291</v>
      </c>
      <c r="C647" s="47" t="s">
        <v>13291</v>
      </c>
      <c r="D647" s="47" t="s">
        <v>13291</v>
      </c>
      <c r="E647" s="47" t="s">
        <v>13291</v>
      </c>
      <c r="F647" s="47" t="s">
        <v>13291</v>
      </c>
      <c r="G647" s="47" t="s">
        <v>13291</v>
      </c>
      <c r="H647" s="158">
        <v>1651</v>
      </c>
      <c r="I647" s="156" t="s">
        <v>5655</v>
      </c>
      <c r="J647" s="156" t="s">
        <v>11970</v>
      </c>
      <c r="K647" s="47"/>
      <c r="L647" s="47"/>
      <c r="M647" s="47"/>
      <c r="N647" s="156"/>
      <c r="O647" s="156" t="s">
        <v>157</v>
      </c>
      <c r="P647" s="47"/>
      <c r="Q647" s="47"/>
      <c r="R647" s="47"/>
      <c r="S647" s="47" t="s">
        <v>13292</v>
      </c>
      <c r="T647" s="47" t="s">
        <v>13295</v>
      </c>
      <c r="U647" s="47"/>
    </row>
    <row r="648" spans="1:21" x14ac:dyDescent="0.3">
      <c r="A648" s="46">
        <v>652</v>
      </c>
      <c r="B648" s="47" t="s">
        <v>13291</v>
      </c>
      <c r="C648" s="47" t="s">
        <v>13291</v>
      </c>
      <c r="D648" s="47" t="s">
        <v>13291</v>
      </c>
      <c r="E648" s="47" t="s">
        <v>13291</v>
      </c>
      <c r="F648" s="47" t="s">
        <v>13291</v>
      </c>
      <c r="G648" s="47" t="s">
        <v>13291</v>
      </c>
      <c r="H648" s="158">
        <v>1652</v>
      </c>
      <c r="I648" s="156" t="s">
        <v>5656</v>
      </c>
      <c r="J648" s="156" t="s">
        <v>11487</v>
      </c>
      <c r="K648" s="47"/>
      <c r="L648" s="47"/>
      <c r="M648" s="47"/>
      <c r="N648" s="156"/>
      <c r="O648" s="156" t="s">
        <v>157</v>
      </c>
      <c r="P648" s="47"/>
      <c r="Q648" s="47"/>
      <c r="R648" s="47"/>
      <c r="S648" s="47" t="s">
        <v>13292</v>
      </c>
      <c r="T648" s="47" t="s">
        <v>13295</v>
      </c>
      <c r="U648" s="47"/>
    </row>
    <row r="649" spans="1:21" x14ac:dyDescent="0.3">
      <c r="A649" s="46">
        <v>653</v>
      </c>
      <c r="B649" s="47" t="s">
        <v>13291</v>
      </c>
      <c r="C649" s="47" t="s">
        <v>13291</v>
      </c>
      <c r="D649" s="47" t="s">
        <v>13291</v>
      </c>
      <c r="E649" s="47" t="s">
        <v>13291</v>
      </c>
      <c r="F649" s="47" t="s">
        <v>13291</v>
      </c>
      <c r="G649" s="47" t="s">
        <v>13291</v>
      </c>
      <c r="H649" s="158">
        <v>1653</v>
      </c>
      <c r="I649" s="156" t="s">
        <v>10926</v>
      </c>
      <c r="J649" s="156" t="s">
        <v>11521</v>
      </c>
      <c r="K649" s="47"/>
      <c r="L649" s="47"/>
      <c r="M649" s="47"/>
      <c r="N649" s="156"/>
      <c r="O649" s="156" t="s">
        <v>157</v>
      </c>
      <c r="P649" s="47"/>
      <c r="Q649" s="47"/>
      <c r="R649" s="47"/>
      <c r="S649" s="47" t="s">
        <v>13292</v>
      </c>
      <c r="T649" s="47" t="s">
        <v>13295</v>
      </c>
      <c r="U649" s="47"/>
    </row>
    <row r="650" spans="1:21" x14ac:dyDescent="0.3">
      <c r="A650" s="46">
        <v>654</v>
      </c>
      <c r="B650" s="47" t="s">
        <v>13291</v>
      </c>
      <c r="C650" s="47" t="s">
        <v>13291</v>
      </c>
      <c r="D650" s="47" t="s">
        <v>13291</v>
      </c>
      <c r="E650" s="47" t="s">
        <v>13291</v>
      </c>
      <c r="F650" s="47" t="s">
        <v>13291</v>
      </c>
      <c r="G650" s="47" t="s">
        <v>13291</v>
      </c>
      <c r="H650" s="158">
        <v>1654</v>
      </c>
      <c r="I650" s="156" t="s">
        <v>11114</v>
      </c>
      <c r="J650" s="156" t="s">
        <v>11999</v>
      </c>
      <c r="K650" s="47"/>
      <c r="L650" s="47"/>
      <c r="M650" s="47"/>
      <c r="N650" s="156"/>
      <c r="O650" s="156" t="s">
        <v>157</v>
      </c>
      <c r="P650" s="47"/>
      <c r="Q650" s="47"/>
      <c r="R650" s="47"/>
      <c r="S650" s="47" t="s">
        <v>13292</v>
      </c>
      <c r="T650" s="47" t="s">
        <v>13295</v>
      </c>
      <c r="U650" s="47"/>
    </row>
    <row r="651" spans="1:21" x14ac:dyDescent="0.3">
      <c r="A651" s="46">
        <v>655</v>
      </c>
      <c r="B651" s="47" t="s">
        <v>13291</v>
      </c>
      <c r="C651" s="47" t="s">
        <v>13291</v>
      </c>
      <c r="D651" s="47" t="s">
        <v>13291</v>
      </c>
      <c r="E651" s="47" t="s">
        <v>13291</v>
      </c>
      <c r="F651" s="47" t="s">
        <v>13291</v>
      </c>
      <c r="G651" s="47" t="s">
        <v>13291</v>
      </c>
      <c r="H651" s="158">
        <v>1655</v>
      </c>
      <c r="I651" s="156" t="s">
        <v>11063</v>
      </c>
      <c r="J651" s="156" t="s">
        <v>11883</v>
      </c>
      <c r="K651" s="47"/>
      <c r="L651" s="47"/>
      <c r="M651" s="47"/>
      <c r="N651" s="156"/>
      <c r="O651" s="156" t="s">
        <v>157</v>
      </c>
      <c r="P651" s="47"/>
      <c r="Q651" s="47"/>
      <c r="R651" s="47"/>
      <c r="S651" s="47" t="s">
        <v>13292</v>
      </c>
      <c r="T651" s="47" t="s">
        <v>13295</v>
      </c>
      <c r="U651" s="47"/>
    </row>
    <row r="652" spans="1:21" x14ac:dyDescent="0.3">
      <c r="A652" s="46">
        <v>656</v>
      </c>
      <c r="B652" s="47" t="s">
        <v>13291</v>
      </c>
      <c r="C652" s="47" t="s">
        <v>13291</v>
      </c>
      <c r="D652" s="47" t="s">
        <v>13291</v>
      </c>
      <c r="E652" s="47" t="s">
        <v>13291</v>
      </c>
      <c r="F652" s="47" t="s">
        <v>13291</v>
      </c>
      <c r="G652" s="47" t="s">
        <v>13291</v>
      </c>
      <c r="H652" s="158">
        <v>1656</v>
      </c>
      <c r="I652" s="156" t="s">
        <v>10949</v>
      </c>
      <c r="J652" s="156" t="s">
        <v>11625</v>
      </c>
      <c r="K652" s="47"/>
      <c r="L652" s="47"/>
      <c r="M652" s="47"/>
      <c r="N652" s="156"/>
      <c r="O652" s="156" t="s">
        <v>157</v>
      </c>
      <c r="P652" s="47"/>
      <c r="Q652" s="47"/>
      <c r="R652" s="47"/>
      <c r="S652" s="47" t="s">
        <v>13292</v>
      </c>
      <c r="T652" s="47" t="s">
        <v>13295</v>
      </c>
      <c r="U652" s="47"/>
    </row>
    <row r="653" spans="1:21" x14ac:dyDescent="0.3">
      <c r="A653" s="46">
        <v>657</v>
      </c>
      <c r="B653" s="47" t="s">
        <v>13291</v>
      </c>
      <c r="C653" s="47" t="s">
        <v>13291</v>
      </c>
      <c r="D653" s="47" t="s">
        <v>13291</v>
      </c>
      <c r="E653" s="47" t="s">
        <v>13291</v>
      </c>
      <c r="F653" s="47" t="s">
        <v>13291</v>
      </c>
      <c r="G653" s="47" t="s">
        <v>13291</v>
      </c>
      <c r="H653" s="158">
        <v>1657</v>
      </c>
      <c r="I653" s="156" t="s">
        <v>11064</v>
      </c>
      <c r="J653" s="156" t="s">
        <v>11884</v>
      </c>
      <c r="K653" s="47"/>
      <c r="L653" s="47"/>
      <c r="M653" s="47"/>
      <c r="N653" s="156"/>
      <c r="O653" s="156" t="s">
        <v>157</v>
      </c>
      <c r="P653" s="47"/>
      <c r="Q653" s="47"/>
      <c r="R653" s="47"/>
      <c r="S653" s="47" t="s">
        <v>13292</v>
      </c>
      <c r="T653" s="47" t="s">
        <v>13295</v>
      </c>
      <c r="U653" s="47"/>
    </row>
    <row r="654" spans="1:21" x14ac:dyDescent="0.3">
      <c r="A654" s="46">
        <v>658</v>
      </c>
      <c r="B654" s="47" t="s">
        <v>13291</v>
      </c>
      <c r="C654" s="47" t="s">
        <v>13291</v>
      </c>
      <c r="D654" s="47" t="s">
        <v>13291</v>
      </c>
      <c r="E654" s="47" t="s">
        <v>13291</v>
      </c>
      <c r="F654" s="47" t="s">
        <v>13291</v>
      </c>
      <c r="G654" s="47" t="s">
        <v>13291</v>
      </c>
      <c r="H654" s="158">
        <v>1658</v>
      </c>
      <c r="I654" s="156" t="s">
        <v>5657</v>
      </c>
      <c r="J654" s="156" t="s">
        <v>11885</v>
      </c>
      <c r="K654" s="47"/>
      <c r="L654" s="47"/>
      <c r="M654" s="47"/>
      <c r="N654" s="156"/>
      <c r="O654" s="156" t="s">
        <v>157</v>
      </c>
      <c r="P654" s="47"/>
      <c r="Q654" s="47"/>
      <c r="R654" s="47"/>
      <c r="S654" s="47" t="s">
        <v>13292</v>
      </c>
      <c r="T654" s="47" t="s">
        <v>13295</v>
      </c>
      <c r="U654" s="47"/>
    </row>
    <row r="655" spans="1:21" x14ac:dyDescent="0.3">
      <c r="A655" s="46">
        <v>659</v>
      </c>
      <c r="B655" s="47" t="s">
        <v>13291</v>
      </c>
      <c r="C655" s="47" t="s">
        <v>13291</v>
      </c>
      <c r="D655" s="47" t="s">
        <v>13291</v>
      </c>
      <c r="E655" s="47" t="s">
        <v>13291</v>
      </c>
      <c r="F655" s="47" t="s">
        <v>13291</v>
      </c>
      <c r="G655" s="47" t="s">
        <v>13291</v>
      </c>
      <c r="H655" s="158">
        <v>1659</v>
      </c>
      <c r="I655" s="156" t="s">
        <v>5658</v>
      </c>
      <c r="J655" s="156" t="s">
        <v>11886</v>
      </c>
      <c r="K655" s="47"/>
      <c r="L655" s="47"/>
      <c r="M655" s="47"/>
      <c r="N655" s="156"/>
      <c r="O655" s="156" t="s">
        <v>157</v>
      </c>
      <c r="P655" s="47"/>
      <c r="Q655" s="47"/>
      <c r="R655" s="47"/>
      <c r="S655" s="47" t="s">
        <v>13292</v>
      </c>
      <c r="T655" s="47" t="s">
        <v>13295</v>
      </c>
      <c r="U655" s="47"/>
    </row>
    <row r="656" spans="1:21" x14ac:dyDescent="0.3">
      <c r="A656" s="46">
        <v>660</v>
      </c>
      <c r="B656" s="47" t="s">
        <v>13291</v>
      </c>
      <c r="C656" s="47" t="s">
        <v>13291</v>
      </c>
      <c r="D656" s="47" t="s">
        <v>13291</v>
      </c>
      <c r="E656" s="47" t="s">
        <v>13291</v>
      </c>
      <c r="F656" s="47" t="s">
        <v>13291</v>
      </c>
      <c r="G656" s="47" t="s">
        <v>13291</v>
      </c>
      <c r="H656" s="158">
        <v>1660</v>
      </c>
      <c r="I656" s="156" t="s">
        <v>5659</v>
      </c>
      <c r="J656" s="156" t="s">
        <v>11887</v>
      </c>
      <c r="K656" s="47"/>
      <c r="L656" s="47"/>
      <c r="M656" s="47"/>
      <c r="N656" s="156"/>
      <c r="O656" s="156" t="s">
        <v>157</v>
      </c>
      <c r="P656" s="47"/>
      <c r="Q656" s="47"/>
      <c r="R656" s="47"/>
      <c r="S656" s="47" t="s">
        <v>13292</v>
      </c>
      <c r="T656" s="47" t="s">
        <v>13295</v>
      </c>
      <c r="U656" s="47"/>
    </row>
    <row r="657" spans="1:21" x14ac:dyDescent="0.3">
      <c r="A657" s="46">
        <v>661</v>
      </c>
      <c r="B657" s="47" t="s">
        <v>13291</v>
      </c>
      <c r="C657" s="47" t="s">
        <v>13291</v>
      </c>
      <c r="D657" s="47" t="s">
        <v>13291</v>
      </c>
      <c r="E657" s="47" t="s">
        <v>13291</v>
      </c>
      <c r="F657" s="47" t="s">
        <v>13291</v>
      </c>
      <c r="G657" s="47" t="s">
        <v>13291</v>
      </c>
      <c r="H657" s="158">
        <v>1661</v>
      </c>
      <c r="I657" s="156" t="s">
        <v>5660</v>
      </c>
      <c r="J657" s="156" t="s">
        <v>11650</v>
      </c>
      <c r="K657" s="47"/>
      <c r="L657" s="47"/>
      <c r="M657" s="47"/>
      <c r="N657" s="156"/>
      <c r="O657" s="156" t="s">
        <v>157</v>
      </c>
      <c r="P657" s="47"/>
      <c r="Q657" s="47"/>
      <c r="R657" s="47"/>
      <c r="S657" s="47" t="s">
        <v>13292</v>
      </c>
      <c r="T657" s="47" t="s">
        <v>13295</v>
      </c>
      <c r="U657" s="47"/>
    </row>
    <row r="658" spans="1:21" x14ac:dyDescent="0.3">
      <c r="A658" s="46">
        <v>662</v>
      </c>
      <c r="B658" s="47" t="s">
        <v>13291</v>
      </c>
      <c r="C658" s="47" t="s">
        <v>13291</v>
      </c>
      <c r="D658" s="47" t="s">
        <v>13291</v>
      </c>
      <c r="E658" s="47" t="s">
        <v>13291</v>
      </c>
      <c r="F658" s="47" t="s">
        <v>13291</v>
      </c>
      <c r="G658" s="47" t="s">
        <v>13291</v>
      </c>
      <c r="H658" s="158">
        <v>1662</v>
      </c>
      <c r="I658" s="156" t="s">
        <v>5661</v>
      </c>
      <c r="J658" s="156" t="s">
        <v>11888</v>
      </c>
      <c r="K658" s="47"/>
      <c r="L658" s="47"/>
      <c r="M658" s="47"/>
      <c r="N658" s="156"/>
      <c r="O658" s="156" t="s">
        <v>157</v>
      </c>
      <c r="P658" s="47"/>
      <c r="Q658" s="47"/>
      <c r="R658" s="47"/>
      <c r="S658" s="47" t="s">
        <v>13292</v>
      </c>
      <c r="T658" s="47" t="s">
        <v>13295</v>
      </c>
      <c r="U658" s="47"/>
    </row>
    <row r="659" spans="1:21" x14ac:dyDescent="0.3">
      <c r="A659" s="46">
        <v>663</v>
      </c>
      <c r="B659" s="47" t="s">
        <v>13291</v>
      </c>
      <c r="C659" s="47" t="s">
        <v>13291</v>
      </c>
      <c r="D659" s="47" t="s">
        <v>13291</v>
      </c>
      <c r="E659" s="47" t="s">
        <v>13291</v>
      </c>
      <c r="F659" s="47" t="s">
        <v>13291</v>
      </c>
      <c r="G659" s="47" t="s">
        <v>13291</v>
      </c>
      <c r="H659" s="158">
        <v>1663</v>
      </c>
      <c r="I659" s="156" t="s">
        <v>5662</v>
      </c>
      <c r="J659" s="156" t="s">
        <v>11889</v>
      </c>
      <c r="K659" s="47"/>
      <c r="L659" s="47"/>
      <c r="M659" s="47"/>
      <c r="N659" s="156"/>
      <c r="O659" s="156" t="s">
        <v>157</v>
      </c>
      <c r="P659" s="47"/>
      <c r="Q659" s="47"/>
      <c r="R659" s="47"/>
      <c r="S659" s="47" t="s">
        <v>13292</v>
      </c>
      <c r="T659" s="47" t="s">
        <v>13295</v>
      </c>
      <c r="U659" s="47"/>
    </row>
    <row r="660" spans="1:21" x14ac:dyDescent="0.3">
      <c r="A660" s="46">
        <v>664</v>
      </c>
      <c r="B660" s="47" t="s">
        <v>13291</v>
      </c>
      <c r="C660" s="47" t="s">
        <v>13291</v>
      </c>
      <c r="D660" s="47" t="s">
        <v>13291</v>
      </c>
      <c r="E660" s="47" t="s">
        <v>13291</v>
      </c>
      <c r="F660" s="47" t="s">
        <v>13291</v>
      </c>
      <c r="G660" s="47" t="s">
        <v>13291</v>
      </c>
      <c r="H660" s="158">
        <v>1664</v>
      </c>
      <c r="I660" s="156" t="s">
        <v>11065</v>
      </c>
      <c r="J660" s="156" t="s">
        <v>11890</v>
      </c>
      <c r="K660" s="47"/>
      <c r="L660" s="47"/>
      <c r="M660" s="47"/>
      <c r="N660" s="156"/>
      <c r="O660" s="156" t="s">
        <v>157</v>
      </c>
      <c r="P660" s="47"/>
      <c r="Q660" s="47"/>
      <c r="R660" s="47"/>
      <c r="S660" s="47" t="s">
        <v>13292</v>
      </c>
      <c r="T660" s="47" t="s">
        <v>13295</v>
      </c>
      <c r="U660" s="47"/>
    </row>
    <row r="661" spans="1:21" x14ac:dyDescent="0.3">
      <c r="A661" s="46">
        <v>665</v>
      </c>
      <c r="B661" s="47" t="s">
        <v>13291</v>
      </c>
      <c r="C661" s="47" t="s">
        <v>13291</v>
      </c>
      <c r="D661" s="47" t="s">
        <v>13291</v>
      </c>
      <c r="E661" s="47" t="s">
        <v>13291</v>
      </c>
      <c r="F661" s="47" t="s">
        <v>13291</v>
      </c>
      <c r="G661" s="47" t="s">
        <v>13291</v>
      </c>
      <c r="H661" s="158">
        <v>1665</v>
      </c>
      <c r="I661" s="156" t="s">
        <v>11115</v>
      </c>
      <c r="J661" s="156" t="s">
        <v>12000</v>
      </c>
      <c r="K661" s="47"/>
      <c r="L661" s="47"/>
      <c r="M661" s="47"/>
      <c r="N661" s="156"/>
      <c r="O661" s="156" t="s">
        <v>157</v>
      </c>
      <c r="P661" s="47"/>
      <c r="Q661" s="47"/>
      <c r="R661" s="47"/>
      <c r="S661" s="47" t="s">
        <v>13292</v>
      </c>
      <c r="T661" s="47" t="s">
        <v>13295</v>
      </c>
      <c r="U661" s="47"/>
    </row>
    <row r="662" spans="1:21" x14ac:dyDescent="0.3">
      <c r="A662" s="46">
        <v>666</v>
      </c>
      <c r="B662" s="47" t="s">
        <v>13291</v>
      </c>
      <c r="C662" s="47" t="s">
        <v>13291</v>
      </c>
      <c r="D662" s="47" t="s">
        <v>13291</v>
      </c>
      <c r="E662" s="47" t="s">
        <v>13291</v>
      </c>
      <c r="F662" s="47" t="s">
        <v>13291</v>
      </c>
      <c r="G662" s="47" t="s">
        <v>13291</v>
      </c>
      <c r="H662" s="158">
        <v>1666</v>
      </c>
      <c r="I662" s="156" t="s">
        <v>5663</v>
      </c>
      <c r="J662" s="156" t="s">
        <v>11891</v>
      </c>
      <c r="K662" s="47"/>
      <c r="L662" s="47"/>
      <c r="M662" s="47"/>
      <c r="N662" s="156"/>
      <c r="O662" s="156" t="s">
        <v>157</v>
      </c>
      <c r="P662" s="47"/>
      <c r="Q662" s="47"/>
      <c r="R662" s="47"/>
      <c r="S662" s="47" t="s">
        <v>13292</v>
      </c>
      <c r="T662" s="47" t="s">
        <v>13295</v>
      </c>
      <c r="U662" s="47"/>
    </row>
    <row r="663" spans="1:21" x14ac:dyDescent="0.3">
      <c r="A663" s="46">
        <v>667</v>
      </c>
      <c r="B663" s="47" t="s">
        <v>13291</v>
      </c>
      <c r="C663" s="47" t="s">
        <v>13291</v>
      </c>
      <c r="D663" s="47" t="s">
        <v>13291</v>
      </c>
      <c r="E663" s="47" t="s">
        <v>13291</v>
      </c>
      <c r="F663" s="47" t="s">
        <v>13291</v>
      </c>
      <c r="G663" s="47" t="s">
        <v>13291</v>
      </c>
      <c r="H663" s="158">
        <v>1667</v>
      </c>
      <c r="I663" s="156" t="s">
        <v>5664</v>
      </c>
      <c r="J663" s="156" t="s">
        <v>11892</v>
      </c>
      <c r="K663" s="47"/>
      <c r="L663" s="47"/>
      <c r="M663" s="47"/>
      <c r="N663" s="156"/>
      <c r="O663" s="156" t="s">
        <v>157</v>
      </c>
      <c r="P663" s="47"/>
      <c r="Q663" s="47"/>
      <c r="R663" s="47"/>
      <c r="S663" s="47" t="s">
        <v>13292</v>
      </c>
      <c r="T663" s="47" t="s">
        <v>13295</v>
      </c>
      <c r="U663" s="47"/>
    </row>
    <row r="664" spans="1:21" x14ac:dyDescent="0.3">
      <c r="A664" s="46">
        <v>668</v>
      </c>
      <c r="B664" s="47" t="s">
        <v>13291</v>
      </c>
      <c r="C664" s="47" t="s">
        <v>13291</v>
      </c>
      <c r="D664" s="47" t="s">
        <v>13291</v>
      </c>
      <c r="E664" s="47" t="s">
        <v>13291</v>
      </c>
      <c r="F664" s="47" t="s">
        <v>13291</v>
      </c>
      <c r="G664" s="47" t="s">
        <v>13291</v>
      </c>
      <c r="H664" s="158">
        <v>1668</v>
      </c>
      <c r="I664" s="156" t="s">
        <v>5665</v>
      </c>
      <c r="J664" s="156" t="s">
        <v>12237</v>
      </c>
      <c r="K664" s="47"/>
      <c r="L664" s="47"/>
      <c r="M664" s="47"/>
      <c r="N664" s="156"/>
      <c r="O664" s="156" t="s">
        <v>157</v>
      </c>
      <c r="P664" s="47"/>
      <c r="Q664" s="47"/>
      <c r="R664" s="47"/>
      <c r="S664" s="47" t="s">
        <v>13292</v>
      </c>
      <c r="T664" s="47" t="s">
        <v>13295</v>
      </c>
      <c r="U664" s="47"/>
    </row>
    <row r="665" spans="1:21" x14ac:dyDescent="0.3">
      <c r="A665" s="46">
        <v>669</v>
      </c>
      <c r="B665" s="47" t="s">
        <v>13291</v>
      </c>
      <c r="C665" s="47" t="s">
        <v>13291</v>
      </c>
      <c r="D665" s="47" t="s">
        <v>13291</v>
      </c>
      <c r="E665" s="47" t="s">
        <v>13291</v>
      </c>
      <c r="F665" s="47" t="s">
        <v>13291</v>
      </c>
      <c r="G665" s="47" t="s">
        <v>13291</v>
      </c>
      <c r="H665" s="158">
        <v>1669</v>
      </c>
      <c r="I665" s="156" t="s">
        <v>5666</v>
      </c>
      <c r="J665" s="156" t="s">
        <v>11545</v>
      </c>
      <c r="K665" s="47"/>
      <c r="L665" s="47"/>
      <c r="M665" s="47"/>
      <c r="N665" s="156"/>
      <c r="O665" s="156" t="s">
        <v>157</v>
      </c>
      <c r="P665" s="47"/>
      <c r="Q665" s="47"/>
      <c r="R665" s="47"/>
      <c r="S665" s="47" t="s">
        <v>13292</v>
      </c>
      <c r="T665" s="47" t="s">
        <v>13295</v>
      </c>
      <c r="U665" s="47"/>
    </row>
    <row r="666" spans="1:21" x14ac:dyDescent="0.3">
      <c r="A666" s="46">
        <v>670</v>
      </c>
      <c r="B666" s="47" t="s">
        <v>13291</v>
      </c>
      <c r="C666" s="47" t="s">
        <v>13291</v>
      </c>
      <c r="D666" s="47" t="s">
        <v>13291</v>
      </c>
      <c r="E666" s="47" t="s">
        <v>13291</v>
      </c>
      <c r="F666" s="47" t="s">
        <v>13291</v>
      </c>
      <c r="G666" s="47" t="s">
        <v>13291</v>
      </c>
      <c r="H666" s="158">
        <v>1670</v>
      </c>
      <c r="I666" s="156" t="s">
        <v>5667</v>
      </c>
      <c r="J666" s="156" t="s">
        <v>11606</v>
      </c>
      <c r="K666" s="47"/>
      <c r="L666" s="47"/>
      <c r="M666" s="47"/>
      <c r="N666" s="156"/>
      <c r="O666" s="156" t="s">
        <v>157</v>
      </c>
      <c r="P666" s="47"/>
      <c r="Q666" s="47"/>
      <c r="R666" s="47"/>
      <c r="S666" s="47" t="s">
        <v>13292</v>
      </c>
      <c r="T666" s="47" t="s">
        <v>13295</v>
      </c>
      <c r="U666" s="47"/>
    </row>
    <row r="667" spans="1:21" x14ac:dyDescent="0.3">
      <c r="A667" s="46">
        <v>671</v>
      </c>
      <c r="B667" s="47" t="s">
        <v>13291</v>
      </c>
      <c r="C667" s="47" t="s">
        <v>13291</v>
      </c>
      <c r="D667" s="47" t="s">
        <v>13291</v>
      </c>
      <c r="E667" s="47" t="s">
        <v>13291</v>
      </c>
      <c r="F667" s="47" t="s">
        <v>13291</v>
      </c>
      <c r="G667" s="47" t="s">
        <v>13291</v>
      </c>
      <c r="H667" s="158">
        <v>1671</v>
      </c>
      <c r="I667" s="156" t="s">
        <v>5668</v>
      </c>
      <c r="J667" s="156" t="s">
        <v>11546</v>
      </c>
      <c r="K667" s="47"/>
      <c r="L667" s="47"/>
      <c r="M667" s="47"/>
      <c r="N667" s="156"/>
      <c r="O667" s="156" t="s">
        <v>157</v>
      </c>
      <c r="P667" s="47"/>
      <c r="Q667" s="47"/>
      <c r="R667" s="47"/>
      <c r="S667" s="47" t="s">
        <v>13292</v>
      </c>
      <c r="T667" s="47" t="s">
        <v>13295</v>
      </c>
      <c r="U667" s="47"/>
    </row>
    <row r="668" spans="1:21" x14ac:dyDescent="0.3">
      <c r="A668" s="46">
        <v>672</v>
      </c>
      <c r="B668" s="47" t="s">
        <v>13291</v>
      </c>
      <c r="C668" s="47" t="s">
        <v>13291</v>
      </c>
      <c r="D668" s="47" t="s">
        <v>13291</v>
      </c>
      <c r="E668" s="47" t="s">
        <v>13291</v>
      </c>
      <c r="F668" s="47" t="s">
        <v>13291</v>
      </c>
      <c r="G668" s="47" t="s">
        <v>13291</v>
      </c>
      <c r="H668" s="158">
        <v>1672</v>
      </c>
      <c r="I668" s="156" t="s">
        <v>5669</v>
      </c>
      <c r="J668" s="156" t="s">
        <v>11607</v>
      </c>
      <c r="K668" s="47"/>
      <c r="L668" s="47"/>
      <c r="M668" s="47"/>
      <c r="N668" s="156"/>
      <c r="O668" s="156" t="s">
        <v>157</v>
      </c>
      <c r="P668" s="47"/>
      <c r="Q668" s="47"/>
      <c r="R668" s="47"/>
      <c r="S668" s="47" t="s">
        <v>13292</v>
      </c>
      <c r="T668" s="47" t="s">
        <v>13295</v>
      </c>
      <c r="U668" s="47"/>
    </row>
    <row r="669" spans="1:21" x14ac:dyDescent="0.3">
      <c r="A669" s="46">
        <v>673</v>
      </c>
      <c r="B669" s="47" t="s">
        <v>13291</v>
      </c>
      <c r="C669" s="47" t="s">
        <v>13291</v>
      </c>
      <c r="D669" s="47" t="s">
        <v>13291</v>
      </c>
      <c r="E669" s="47" t="s">
        <v>13291</v>
      </c>
      <c r="F669" s="47" t="s">
        <v>13291</v>
      </c>
      <c r="G669" s="47" t="s">
        <v>13291</v>
      </c>
      <c r="H669" s="158">
        <v>1673</v>
      </c>
      <c r="I669" s="156" t="s">
        <v>5670</v>
      </c>
      <c r="J669" s="156" t="s">
        <v>11626</v>
      </c>
      <c r="K669" s="47"/>
      <c r="L669" s="47"/>
      <c r="M669" s="47"/>
      <c r="N669" s="156"/>
      <c r="O669" s="156" t="s">
        <v>157</v>
      </c>
      <c r="P669" s="47"/>
      <c r="Q669" s="47"/>
      <c r="R669" s="47"/>
      <c r="S669" s="47" t="s">
        <v>13292</v>
      </c>
      <c r="T669" s="47" t="s">
        <v>13295</v>
      </c>
      <c r="U669" s="47"/>
    </row>
    <row r="670" spans="1:21" x14ac:dyDescent="0.3">
      <c r="A670" s="46">
        <v>674</v>
      </c>
      <c r="B670" s="47" t="s">
        <v>13291</v>
      </c>
      <c r="C670" s="47" t="s">
        <v>13291</v>
      </c>
      <c r="D670" s="47" t="s">
        <v>13291</v>
      </c>
      <c r="E670" s="47" t="s">
        <v>13291</v>
      </c>
      <c r="F670" s="47" t="s">
        <v>13291</v>
      </c>
      <c r="G670" s="47" t="s">
        <v>13291</v>
      </c>
      <c r="H670" s="158">
        <v>1674</v>
      </c>
      <c r="I670" s="156" t="s">
        <v>5671</v>
      </c>
      <c r="J670" s="156" t="s">
        <v>11488</v>
      </c>
      <c r="K670" s="47"/>
      <c r="L670" s="47"/>
      <c r="M670" s="47"/>
      <c r="N670" s="156"/>
      <c r="O670" s="156" t="s">
        <v>157</v>
      </c>
      <c r="P670" s="47"/>
      <c r="Q670" s="47"/>
      <c r="R670" s="47"/>
      <c r="S670" s="47" t="s">
        <v>13292</v>
      </c>
      <c r="T670" s="47" t="s">
        <v>13295</v>
      </c>
      <c r="U670" s="47"/>
    </row>
    <row r="671" spans="1:21" x14ac:dyDescent="0.3">
      <c r="A671" s="46">
        <v>675</v>
      </c>
      <c r="B671" s="47" t="s">
        <v>13291</v>
      </c>
      <c r="C671" s="47" t="s">
        <v>13291</v>
      </c>
      <c r="D671" s="47" t="s">
        <v>13291</v>
      </c>
      <c r="E671" s="47" t="s">
        <v>13291</v>
      </c>
      <c r="F671" s="47" t="s">
        <v>13291</v>
      </c>
      <c r="G671" s="47" t="s">
        <v>13291</v>
      </c>
      <c r="H671" s="158">
        <v>1675</v>
      </c>
      <c r="I671" s="156" t="s">
        <v>5672</v>
      </c>
      <c r="J671" s="156" t="s">
        <v>11522</v>
      </c>
      <c r="K671" s="47"/>
      <c r="L671" s="47"/>
      <c r="M671" s="47"/>
      <c r="N671" s="156"/>
      <c r="O671" s="156" t="s">
        <v>157</v>
      </c>
      <c r="P671" s="47"/>
      <c r="Q671" s="47"/>
      <c r="R671" s="47"/>
      <c r="S671" s="47" t="s">
        <v>13292</v>
      </c>
      <c r="T671" s="47" t="s">
        <v>13295</v>
      </c>
      <c r="U671" s="47"/>
    </row>
    <row r="672" spans="1:21" x14ac:dyDescent="0.3">
      <c r="A672" s="46">
        <v>676</v>
      </c>
      <c r="B672" s="47" t="s">
        <v>13291</v>
      </c>
      <c r="C672" s="47" t="s">
        <v>13291</v>
      </c>
      <c r="D672" s="47" t="s">
        <v>13291</v>
      </c>
      <c r="E672" s="47" t="s">
        <v>13291</v>
      </c>
      <c r="F672" s="47" t="s">
        <v>13291</v>
      </c>
      <c r="G672" s="47" t="s">
        <v>13291</v>
      </c>
      <c r="H672" s="158">
        <v>1676</v>
      </c>
      <c r="I672" s="156" t="s">
        <v>5673</v>
      </c>
      <c r="J672" s="156" t="s">
        <v>12030</v>
      </c>
      <c r="K672" s="47"/>
      <c r="L672" s="47"/>
      <c r="M672" s="47"/>
      <c r="N672" s="156"/>
      <c r="O672" s="156" t="s">
        <v>157</v>
      </c>
      <c r="P672" s="47"/>
      <c r="Q672" s="47"/>
      <c r="R672" s="47"/>
      <c r="S672" s="47" t="s">
        <v>13292</v>
      </c>
      <c r="T672" s="47" t="s">
        <v>13295</v>
      </c>
      <c r="U672" s="47"/>
    </row>
    <row r="673" spans="1:21" x14ac:dyDescent="0.3">
      <c r="A673" s="46">
        <v>677</v>
      </c>
      <c r="B673" s="47" t="s">
        <v>13291</v>
      </c>
      <c r="C673" s="47" t="s">
        <v>13291</v>
      </c>
      <c r="D673" s="47" t="s">
        <v>13291</v>
      </c>
      <c r="E673" s="47" t="s">
        <v>13291</v>
      </c>
      <c r="F673" s="47" t="s">
        <v>13291</v>
      </c>
      <c r="G673" s="47" t="s">
        <v>13291</v>
      </c>
      <c r="H673" s="158">
        <v>1677</v>
      </c>
      <c r="I673" s="156" t="s">
        <v>5674</v>
      </c>
      <c r="J673" s="156" t="s">
        <v>11893</v>
      </c>
      <c r="K673" s="47"/>
      <c r="L673" s="47"/>
      <c r="M673" s="47"/>
      <c r="N673" s="156"/>
      <c r="O673" s="156" t="s">
        <v>157</v>
      </c>
      <c r="P673" s="47"/>
      <c r="Q673" s="47"/>
      <c r="R673" s="47"/>
      <c r="S673" s="47" t="s">
        <v>13292</v>
      </c>
      <c r="T673" s="47" t="s">
        <v>13295</v>
      </c>
      <c r="U673" s="47"/>
    </row>
    <row r="674" spans="1:21" x14ac:dyDescent="0.3">
      <c r="A674" s="46">
        <v>678</v>
      </c>
      <c r="B674" s="47" t="s">
        <v>13291</v>
      </c>
      <c r="C674" s="47" t="s">
        <v>13291</v>
      </c>
      <c r="D674" s="47" t="s">
        <v>13291</v>
      </c>
      <c r="E674" s="47" t="s">
        <v>13291</v>
      </c>
      <c r="F674" s="47" t="s">
        <v>13291</v>
      </c>
      <c r="G674" s="47" t="s">
        <v>13291</v>
      </c>
      <c r="H674" s="158">
        <v>1678</v>
      </c>
      <c r="I674" s="156" t="s">
        <v>5675</v>
      </c>
      <c r="J674" s="156" t="s">
        <v>11651</v>
      </c>
      <c r="K674" s="47"/>
      <c r="L674" s="47"/>
      <c r="M674" s="47"/>
      <c r="N674" s="156"/>
      <c r="O674" s="156" t="s">
        <v>157</v>
      </c>
      <c r="P674" s="47"/>
      <c r="Q674" s="47"/>
      <c r="R674" s="47"/>
      <c r="S674" s="47" t="s">
        <v>13292</v>
      </c>
      <c r="T674" s="47" t="s">
        <v>13295</v>
      </c>
      <c r="U674" s="47"/>
    </row>
    <row r="675" spans="1:21" x14ac:dyDescent="0.3">
      <c r="A675" s="46">
        <v>679</v>
      </c>
      <c r="B675" s="47" t="s">
        <v>13291</v>
      </c>
      <c r="C675" s="47" t="s">
        <v>13291</v>
      </c>
      <c r="D675" s="47" t="s">
        <v>13291</v>
      </c>
      <c r="E675" s="47" t="s">
        <v>13291</v>
      </c>
      <c r="F675" s="47" t="s">
        <v>13291</v>
      </c>
      <c r="G675" s="47" t="s">
        <v>13291</v>
      </c>
      <c r="H675" s="158">
        <v>1679</v>
      </c>
      <c r="I675" s="156" t="s">
        <v>11066</v>
      </c>
      <c r="J675" s="156" t="s">
        <v>11894</v>
      </c>
      <c r="K675" s="47"/>
      <c r="L675" s="47"/>
      <c r="M675" s="47"/>
      <c r="N675" s="156"/>
      <c r="O675" s="156" t="s">
        <v>157</v>
      </c>
      <c r="P675" s="47"/>
      <c r="Q675" s="47"/>
      <c r="R675" s="47"/>
      <c r="S675" s="47" t="s">
        <v>13292</v>
      </c>
      <c r="T675" s="47" t="s">
        <v>13295</v>
      </c>
      <c r="U675" s="47"/>
    </row>
    <row r="676" spans="1:21" x14ac:dyDescent="0.3">
      <c r="A676" s="46">
        <v>680</v>
      </c>
      <c r="B676" s="47" t="s">
        <v>13291</v>
      </c>
      <c r="C676" s="47" t="s">
        <v>13291</v>
      </c>
      <c r="D676" s="47" t="s">
        <v>13291</v>
      </c>
      <c r="E676" s="47" t="s">
        <v>13291</v>
      </c>
      <c r="F676" s="47" t="s">
        <v>13291</v>
      </c>
      <c r="G676" s="47" t="s">
        <v>13291</v>
      </c>
      <c r="H676" s="158">
        <v>1680</v>
      </c>
      <c r="I676" s="156" t="s">
        <v>5676</v>
      </c>
      <c r="J676" s="156" t="s">
        <v>12123</v>
      </c>
      <c r="K676" s="47"/>
      <c r="L676" s="47"/>
      <c r="M676" s="47"/>
      <c r="N676" s="156"/>
      <c r="O676" s="156" t="s">
        <v>157</v>
      </c>
      <c r="P676" s="47"/>
      <c r="Q676" s="47"/>
      <c r="R676" s="47"/>
      <c r="S676" s="47" t="s">
        <v>13292</v>
      </c>
      <c r="T676" s="47" t="s">
        <v>13295</v>
      </c>
      <c r="U676" s="47"/>
    </row>
    <row r="677" spans="1:21" x14ac:dyDescent="0.3">
      <c r="A677" s="46">
        <v>681</v>
      </c>
      <c r="B677" s="47" t="s">
        <v>13291</v>
      </c>
      <c r="C677" s="47" t="s">
        <v>13291</v>
      </c>
      <c r="D677" s="47" t="s">
        <v>13291</v>
      </c>
      <c r="E677" s="47" t="s">
        <v>13291</v>
      </c>
      <c r="F677" s="47" t="s">
        <v>13291</v>
      </c>
      <c r="G677" s="47" t="s">
        <v>13291</v>
      </c>
      <c r="H677" s="158">
        <v>1681</v>
      </c>
      <c r="I677" s="156" t="s">
        <v>11116</v>
      </c>
      <c r="J677" s="156" t="s">
        <v>12001</v>
      </c>
      <c r="K677" s="47"/>
      <c r="L677" s="47"/>
      <c r="M677" s="47"/>
      <c r="N677" s="156"/>
      <c r="O677" s="156" t="s">
        <v>157</v>
      </c>
      <c r="P677" s="47"/>
      <c r="Q677" s="47"/>
      <c r="R677" s="47"/>
      <c r="S677" s="47" t="s">
        <v>13292</v>
      </c>
      <c r="T677" s="47" t="s">
        <v>13295</v>
      </c>
      <c r="U677" s="47"/>
    </row>
    <row r="678" spans="1:21" x14ac:dyDescent="0.3">
      <c r="A678" s="46">
        <v>682</v>
      </c>
      <c r="B678" s="47" t="s">
        <v>13291</v>
      </c>
      <c r="C678" s="47" t="s">
        <v>13291</v>
      </c>
      <c r="D678" s="47" t="s">
        <v>13291</v>
      </c>
      <c r="E678" s="47" t="s">
        <v>13291</v>
      </c>
      <c r="F678" s="47" t="s">
        <v>13291</v>
      </c>
      <c r="G678" s="47" t="s">
        <v>13291</v>
      </c>
      <c r="H678" s="158">
        <v>1682</v>
      </c>
      <c r="I678" s="156" t="s">
        <v>10927</v>
      </c>
      <c r="J678" s="156" t="s">
        <v>11523</v>
      </c>
      <c r="K678" s="47"/>
      <c r="L678" s="47"/>
      <c r="M678" s="47"/>
      <c r="N678" s="156"/>
      <c r="O678" s="156" t="s">
        <v>157</v>
      </c>
      <c r="P678" s="47"/>
      <c r="Q678" s="47"/>
      <c r="R678" s="47"/>
      <c r="S678" s="47" t="s">
        <v>13292</v>
      </c>
      <c r="T678" s="47" t="s">
        <v>13295</v>
      </c>
      <c r="U678" s="47"/>
    </row>
    <row r="679" spans="1:21" x14ac:dyDescent="0.3">
      <c r="A679" s="46">
        <v>683</v>
      </c>
      <c r="B679" s="47" t="s">
        <v>13291</v>
      </c>
      <c r="C679" s="47" t="s">
        <v>13291</v>
      </c>
      <c r="D679" s="47" t="s">
        <v>13291</v>
      </c>
      <c r="E679" s="47" t="s">
        <v>13291</v>
      </c>
      <c r="F679" s="47" t="s">
        <v>13291</v>
      </c>
      <c r="G679" s="47" t="s">
        <v>13291</v>
      </c>
      <c r="H679" s="158">
        <v>1683</v>
      </c>
      <c r="I679" s="156" t="s">
        <v>11117</v>
      </c>
      <c r="J679" s="156" t="s">
        <v>12002</v>
      </c>
      <c r="K679" s="47"/>
      <c r="L679" s="47"/>
      <c r="M679" s="47"/>
      <c r="N679" s="156"/>
      <c r="O679" s="156" t="s">
        <v>157</v>
      </c>
      <c r="P679" s="47"/>
      <c r="Q679" s="47"/>
      <c r="R679" s="47"/>
      <c r="S679" s="47" t="s">
        <v>13292</v>
      </c>
      <c r="T679" s="47" t="s">
        <v>13295</v>
      </c>
      <c r="U679" s="47"/>
    </row>
    <row r="680" spans="1:21" x14ac:dyDescent="0.3">
      <c r="A680" s="46">
        <v>684</v>
      </c>
      <c r="B680" s="47" t="s">
        <v>13291</v>
      </c>
      <c r="C680" s="47" t="s">
        <v>13291</v>
      </c>
      <c r="D680" s="47" t="s">
        <v>13291</v>
      </c>
      <c r="E680" s="47" t="s">
        <v>13291</v>
      </c>
      <c r="F680" s="47" t="s">
        <v>13291</v>
      </c>
      <c r="G680" s="47" t="s">
        <v>13291</v>
      </c>
      <c r="H680" s="158">
        <v>1684</v>
      </c>
      <c r="I680" s="156" t="s">
        <v>11118</v>
      </c>
      <c r="J680" s="156" t="s">
        <v>12003</v>
      </c>
      <c r="K680" s="47"/>
      <c r="L680" s="47"/>
      <c r="M680" s="47"/>
      <c r="N680" s="156"/>
      <c r="O680" s="156" t="s">
        <v>157</v>
      </c>
      <c r="P680" s="47"/>
      <c r="Q680" s="47"/>
      <c r="R680" s="47"/>
      <c r="S680" s="47" t="s">
        <v>13292</v>
      </c>
      <c r="T680" s="47" t="s">
        <v>13295</v>
      </c>
      <c r="U680" s="47"/>
    </row>
    <row r="681" spans="1:21" x14ac:dyDescent="0.3">
      <c r="A681" s="46">
        <v>685</v>
      </c>
      <c r="B681" s="47" t="s">
        <v>13291</v>
      </c>
      <c r="C681" s="47" t="s">
        <v>13291</v>
      </c>
      <c r="D681" s="47" t="s">
        <v>13291</v>
      </c>
      <c r="E681" s="47" t="s">
        <v>13291</v>
      </c>
      <c r="F681" s="47" t="s">
        <v>13291</v>
      </c>
      <c r="G681" s="47" t="s">
        <v>13291</v>
      </c>
      <c r="H681" s="158">
        <v>1685</v>
      </c>
      <c r="I681" s="156" t="s">
        <v>5677</v>
      </c>
      <c r="J681" s="156" t="s">
        <v>12031</v>
      </c>
      <c r="K681" s="47"/>
      <c r="L681" s="47"/>
      <c r="M681" s="47"/>
      <c r="N681" s="156"/>
      <c r="O681" s="156" t="s">
        <v>157</v>
      </c>
      <c r="P681" s="47"/>
      <c r="Q681" s="47"/>
      <c r="R681" s="47"/>
      <c r="S681" s="47" t="s">
        <v>13292</v>
      </c>
      <c r="T681" s="47" t="s">
        <v>13295</v>
      </c>
      <c r="U681" s="47"/>
    </row>
    <row r="682" spans="1:21" x14ac:dyDescent="0.3">
      <c r="A682" s="46">
        <v>686</v>
      </c>
      <c r="B682" s="47" t="s">
        <v>13291</v>
      </c>
      <c r="C682" s="47" t="s">
        <v>13291</v>
      </c>
      <c r="D682" s="47" t="s">
        <v>13291</v>
      </c>
      <c r="E682" s="47" t="s">
        <v>13291</v>
      </c>
      <c r="F682" s="47" t="s">
        <v>13291</v>
      </c>
      <c r="G682" s="47" t="s">
        <v>13291</v>
      </c>
      <c r="H682" s="158">
        <v>1686</v>
      </c>
      <c r="I682" s="156" t="s">
        <v>5678</v>
      </c>
      <c r="J682" s="156" t="s">
        <v>12124</v>
      </c>
      <c r="K682" s="47"/>
      <c r="L682" s="47"/>
      <c r="M682" s="47"/>
      <c r="N682" s="156"/>
      <c r="O682" s="156" t="s">
        <v>157</v>
      </c>
      <c r="P682" s="47"/>
      <c r="Q682" s="47"/>
      <c r="R682" s="47"/>
      <c r="S682" s="47" t="s">
        <v>13292</v>
      </c>
      <c r="T682" s="47" t="s">
        <v>13295</v>
      </c>
      <c r="U682" s="47"/>
    </row>
    <row r="683" spans="1:21" x14ac:dyDescent="0.3">
      <c r="A683" s="46">
        <v>687</v>
      </c>
      <c r="B683" s="47" t="s">
        <v>13291</v>
      </c>
      <c r="C683" s="47" t="s">
        <v>13291</v>
      </c>
      <c r="D683" s="47" t="s">
        <v>13291</v>
      </c>
      <c r="E683" s="47" t="s">
        <v>13291</v>
      </c>
      <c r="F683" s="47" t="s">
        <v>13291</v>
      </c>
      <c r="G683" s="47" t="s">
        <v>13291</v>
      </c>
      <c r="H683" s="158">
        <v>1687</v>
      </c>
      <c r="I683" s="156" t="s">
        <v>5679</v>
      </c>
      <c r="J683" s="156" t="s">
        <v>11895</v>
      </c>
      <c r="K683" s="47"/>
      <c r="L683" s="47"/>
      <c r="M683" s="47"/>
      <c r="N683" s="156"/>
      <c r="O683" s="156" t="s">
        <v>157</v>
      </c>
      <c r="P683" s="47"/>
      <c r="Q683" s="47"/>
      <c r="R683" s="47"/>
      <c r="S683" s="47" t="s">
        <v>13292</v>
      </c>
      <c r="T683" s="47" t="s">
        <v>13295</v>
      </c>
      <c r="U683" s="47"/>
    </row>
    <row r="684" spans="1:21" x14ac:dyDescent="0.3">
      <c r="A684" s="46">
        <v>688</v>
      </c>
      <c r="B684" s="47" t="s">
        <v>13291</v>
      </c>
      <c r="C684" s="47" t="s">
        <v>13291</v>
      </c>
      <c r="D684" s="47" t="s">
        <v>13291</v>
      </c>
      <c r="E684" s="47" t="s">
        <v>13291</v>
      </c>
      <c r="F684" s="47" t="s">
        <v>13291</v>
      </c>
      <c r="G684" s="47" t="s">
        <v>13291</v>
      </c>
      <c r="H684" s="158">
        <v>1688</v>
      </c>
      <c r="I684" s="156" t="s">
        <v>5680</v>
      </c>
      <c r="J684" s="156" t="s">
        <v>11896</v>
      </c>
      <c r="K684" s="47"/>
      <c r="L684" s="47"/>
      <c r="M684" s="47"/>
      <c r="N684" s="156"/>
      <c r="O684" s="156" t="s">
        <v>157</v>
      </c>
      <c r="P684" s="47"/>
      <c r="Q684" s="47"/>
      <c r="R684" s="47"/>
      <c r="S684" s="47" t="s">
        <v>13292</v>
      </c>
      <c r="T684" s="47" t="s">
        <v>13295</v>
      </c>
      <c r="U684" s="47"/>
    </row>
    <row r="685" spans="1:21" x14ac:dyDescent="0.3">
      <c r="A685" s="46">
        <v>689</v>
      </c>
      <c r="B685" s="47" t="s">
        <v>13291</v>
      </c>
      <c r="C685" s="47" t="s">
        <v>13291</v>
      </c>
      <c r="D685" s="47" t="s">
        <v>13291</v>
      </c>
      <c r="E685" s="47" t="s">
        <v>13291</v>
      </c>
      <c r="F685" s="47" t="s">
        <v>13291</v>
      </c>
      <c r="G685" s="47" t="s">
        <v>13291</v>
      </c>
      <c r="H685" s="158">
        <v>1689</v>
      </c>
      <c r="I685" s="156" t="s">
        <v>10945</v>
      </c>
      <c r="J685" s="156" t="s">
        <v>11608</v>
      </c>
      <c r="K685" s="47"/>
      <c r="L685" s="47"/>
      <c r="M685" s="47"/>
      <c r="N685" s="156"/>
      <c r="O685" s="156" t="s">
        <v>157</v>
      </c>
      <c r="P685" s="47"/>
      <c r="Q685" s="47"/>
      <c r="R685" s="47"/>
      <c r="S685" s="47" t="s">
        <v>13292</v>
      </c>
      <c r="T685" s="47" t="s">
        <v>13295</v>
      </c>
      <c r="U685" s="47"/>
    </row>
    <row r="686" spans="1:21" x14ac:dyDescent="0.3">
      <c r="A686" s="46">
        <v>690</v>
      </c>
      <c r="B686" s="47" t="s">
        <v>13291</v>
      </c>
      <c r="C686" s="47" t="s">
        <v>13291</v>
      </c>
      <c r="D686" s="47" t="s">
        <v>13291</v>
      </c>
      <c r="E686" s="47" t="s">
        <v>13291</v>
      </c>
      <c r="F686" s="47" t="s">
        <v>13291</v>
      </c>
      <c r="G686" s="47" t="s">
        <v>13291</v>
      </c>
      <c r="H686" s="158">
        <v>1690</v>
      </c>
      <c r="I686" s="156" t="s">
        <v>10946</v>
      </c>
      <c r="J686" s="156" t="s">
        <v>11609</v>
      </c>
      <c r="K686" s="47"/>
      <c r="L686" s="47"/>
      <c r="M686" s="47"/>
      <c r="N686" s="156"/>
      <c r="O686" s="156" t="s">
        <v>157</v>
      </c>
      <c r="P686" s="47"/>
      <c r="Q686" s="47"/>
      <c r="R686" s="47"/>
      <c r="S686" s="47" t="s">
        <v>13292</v>
      </c>
      <c r="T686" s="47" t="s">
        <v>13295</v>
      </c>
      <c r="U686" s="47"/>
    </row>
    <row r="687" spans="1:21" x14ac:dyDescent="0.3">
      <c r="A687" s="46">
        <v>691</v>
      </c>
      <c r="B687" s="47" t="s">
        <v>13291</v>
      </c>
      <c r="C687" s="47" t="s">
        <v>13291</v>
      </c>
      <c r="D687" s="47" t="s">
        <v>13291</v>
      </c>
      <c r="E687" s="47" t="s">
        <v>13291</v>
      </c>
      <c r="F687" s="47" t="s">
        <v>13291</v>
      </c>
      <c r="G687" s="47" t="s">
        <v>13291</v>
      </c>
      <c r="H687" s="158">
        <v>1691</v>
      </c>
      <c r="I687" s="156" t="s">
        <v>5681</v>
      </c>
      <c r="J687" s="156" t="s">
        <v>11897</v>
      </c>
      <c r="K687" s="47"/>
      <c r="L687" s="47"/>
      <c r="M687" s="47"/>
      <c r="N687" s="156"/>
      <c r="O687" s="156" t="s">
        <v>157</v>
      </c>
      <c r="P687" s="47"/>
      <c r="Q687" s="47"/>
      <c r="R687" s="47"/>
      <c r="S687" s="47" t="s">
        <v>13292</v>
      </c>
      <c r="T687" s="47" t="s">
        <v>13295</v>
      </c>
      <c r="U687" s="47"/>
    </row>
    <row r="688" spans="1:21" x14ac:dyDescent="0.3">
      <c r="A688" s="46">
        <v>692</v>
      </c>
      <c r="B688" s="47" t="s">
        <v>13291</v>
      </c>
      <c r="C688" s="47" t="s">
        <v>13291</v>
      </c>
      <c r="D688" s="47" t="s">
        <v>13291</v>
      </c>
      <c r="E688" s="47" t="s">
        <v>13291</v>
      </c>
      <c r="F688" s="47" t="s">
        <v>13291</v>
      </c>
      <c r="G688" s="47" t="s">
        <v>13291</v>
      </c>
      <c r="H688" s="158">
        <v>1692</v>
      </c>
      <c r="I688" s="156" t="s">
        <v>5682</v>
      </c>
      <c r="J688" s="156" t="s">
        <v>11898</v>
      </c>
      <c r="K688" s="47"/>
      <c r="L688" s="47"/>
      <c r="M688" s="47"/>
      <c r="N688" s="156"/>
      <c r="O688" s="156" t="s">
        <v>157</v>
      </c>
      <c r="P688" s="47"/>
      <c r="Q688" s="47"/>
      <c r="R688" s="47"/>
      <c r="S688" s="47" t="s">
        <v>13292</v>
      </c>
      <c r="T688" s="47" t="s">
        <v>13295</v>
      </c>
      <c r="U688" s="47"/>
    </row>
    <row r="689" spans="1:21" x14ac:dyDescent="0.3">
      <c r="A689" s="46">
        <v>693</v>
      </c>
      <c r="B689" s="47" t="s">
        <v>13291</v>
      </c>
      <c r="C689" s="47" t="s">
        <v>13291</v>
      </c>
      <c r="D689" s="47" t="s">
        <v>13291</v>
      </c>
      <c r="E689" s="47" t="s">
        <v>13291</v>
      </c>
      <c r="F689" s="47" t="s">
        <v>13291</v>
      </c>
      <c r="G689" s="47" t="s">
        <v>13291</v>
      </c>
      <c r="H689" s="158">
        <v>1693</v>
      </c>
      <c r="I689" s="156" t="s">
        <v>11119</v>
      </c>
      <c r="J689" s="156" t="s">
        <v>12004</v>
      </c>
      <c r="K689" s="47"/>
      <c r="L689" s="47"/>
      <c r="M689" s="47"/>
      <c r="N689" s="156"/>
      <c r="O689" s="156" t="s">
        <v>157</v>
      </c>
      <c r="P689" s="47"/>
      <c r="Q689" s="47"/>
      <c r="R689" s="47"/>
      <c r="S689" s="47" t="s">
        <v>13292</v>
      </c>
      <c r="T689" s="47" t="s">
        <v>13295</v>
      </c>
      <c r="U689" s="47"/>
    </row>
    <row r="690" spans="1:21" x14ac:dyDescent="0.3">
      <c r="A690" s="46">
        <v>694</v>
      </c>
      <c r="B690" s="47" t="s">
        <v>13291</v>
      </c>
      <c r="C690" s="47" t="s">
        <v>13291</v>
      </c>
      <c r="D690" s="47" t="s">
        <v>13291</v>
      </c>
      <c r="E690" s="47" t="s">
        <v>13291</v>
      </c>
      <c r="F690" s="47" t="s">
        <v>13291</v>
      </c>
      <c r="G690" s="47" t="s">
        <v>13291</v>
      </c>
      <c r="H690" s="158">
        <v>1694</v>
      </c>
      <c r="I690" s="156" t="s">
        <v>11173</v>
      </c>
      <c r="J690" s="156" t="s">
        <v>12125</v>
      </c>
      <c r="K690" s="47"/>
      <c r="L690" s="47"/>
      <c r="M690" s="47"/>
      <c r="N690" s="156"/>
      <c r="O690" s="156" t="s">
        <v>157</v>
      </c>
      <c r="P690" s="47"/>
      <c r="Q690" s="47"/>
      <c r="R690" s="47"/>
      <c r="S690" s="47" t="s">
        <v>13292</v>
      </c>
      <c r="T690" s="47" t="s">
        <v>13295</v>
      </c>
      <c r="U690" s="47"/>
    </row>
    <row r="691" spans="1:21" x14ac:dyDescent="0.3">
      <c r="A691" s="46">
        <v>695</v>
      </c>
      <c r="B691" s="47" t="s">
        <v>13291</v>
      </c>
      <c r="C691" s="47" t="s">
        <v>13291</v>
      </c>
      <c r="D691" s="47" t="s">
        <v>13291</v>
      </c>
      <c r="E691" s="47" t="s">
        <v>13291</v>
      </c>
      <c r="F691" s="47" t="s">
        <v>13291</v>
      </c>
      <c r="G691" s="47" t="s">
        <v>13291</v>
      </c>
      <c r="H691" s="158">
        <v>1695</v>
      </c>
      <c r="I691" s="156" t="s">
        <v>10928</v>
      </c>
      <c r="J691" s="156" t="s">
        <v>11524</v>
      </c>
      <c r="K691" s="47"/>
      <c r="L691" s="47"/>
      <c r="M691" s="47"/>
      <c r="N691" s="156"/>
      <c r="O691" s="156" t="s">
        <v>157</v>
      </c>
      <c r="P691" s="47"/>
      <c r="Q691" s="47"/>
      <c r="R691" s="47"/>
      <c r="S691" s="47" t="s">
        <v>13292</v>
      </c>
      <c r="T691" s="47" t="s">
        <v>13295</v>
      </c>
      <c r="U691" s="47"/>
    </row>
    <row r="692" spans="1:21" x14ac:dyDescent="0.3">
      <c r="A692" s="46">
        <v>696</v>
      </c>
      <c r="B692" s="47" t="s">
        <v>13291</v>
      </c>
      <c r="C692" s="47" t="s">
        <v>13291</v>
      </c>
      <c r="D692" s="47" t="s">
        <v>13291</v>
      </c>
      <c r="E692" s="47" t="s">
        <v>13291</v>
      </c>
      <c r="F692" s="47" t="s">
        <v>13291</v>
      </c>
      <c r="G692" s="47" t="s">
        <v>13291</v>
      </c>
      <c r="H692" s="158">
        <v>1696</v>
      </c>
      <c r="I692" s="156" t="s">
        <v>11120</v>
      </c>
      <c r="J692" s="156" t="s">
        <v>12005</v>
      </c>
      <c r="K692" s="47"/>
      <c r="L692" s="47"/>
      <c r="M692" s="47"/>
      <c r="N692" s="156"/>
      <c r="O692" s="156" t="s">
        <v>157</v>
      </c>
      <c r="P692" s="47"/>
      <c r="Q692" s="47"/>
      <c r="R692" s="47"/>
      <c r="S692" s="47" t="s">
        <v>13292</v>
      </c>
      <c r="T692" s="47" t="s">
        <v>13295</v>
      </c>
      <c r="U692" s="47"/>
    </row>
    <row r="693" spans="1:21" x14ac:dyDescent="0.3">
      <c r="A693" s="46">
        <v>697</v>
      </c>
      <c r="B693" s="47" t="s">
        <v>13291</v>
      </c>
      <c r="C693" s="47" t="s">
        <v>13291</v>
      </c>
      <c r="D693" s="47" t="s">
        <v>13291</v>
      </c>
      <c r="E693" s="47" t="s">
        <v>13291</v>
      </c>
      <c r="F693" s="47" t="s">
        <v>13291</v>
      </c>
      <c r="G693" s="47" t="s">
        <v>13291</v>
      </c>
      <c r="H693" s="158">
        <v>1697</v>
      </c>
      <c r="I693" s="156" t="s">
        <v>5683</v>
      </c>
      <c r="J693" s="156" t="s">
        <v>11610</v>
      </c>
      <c r="K693" s="47"/>
      <c r="L693" s="47"/>
      <c r="M693" s="47"/>
      <c r="N693" s="156"/>
      <c r="O693" s="156" t="s">
        <v>157</v>
      </c>
      <c r="P693" s="47"/>
      <c r="Q693" s="47"/>
      <c r="R693" s="47"/>
      <c r="S693" s="47" t="s">
        <v>13292</v>
      </c>
      <c r="T693" s="47" t="s">
        <v>13295</v>
      </c>
      <c r="U693" s="47"/>
    </row>
    <row r="694" spans="1:21" x14ac:dyDescent="0.3">
      <c r="A694" s="46">
        <v>698</v>
      </c>
      <c r="B694" s="47" t="s">
        <v>13291</v>
      </c>
      <c r="C694" s="47" t="s">
        <v>13291</v>
      </c>
      <c r="D694" s="47" t="s">
        <v>13291</v>
      </c>
      <c r="E694" s="47" t="s">
        <v>13291</v>
      </c>
      <c r="F694" s="47" t="s">
        <v>13291</v>
      </c>
      <c r="G694" s="47" t="s">
        <v>13291</v>
      </c>
      <c r="H694" s="158">
        <v>1698</v>
      </c>
      <c r="I694" s="156" t="s">
        <v>5684</v>
      </c>
      <c r="J694" s="156" t="s">
        <v>11611</v>
      </c>
      <c r="K694" s="47"/>
      <c r="L694" s="47"/>
      <c r="M694" s="47"/>
      <c r="N694" s="156"/>
      <c r="O694" s="156" t="s">
        <v>157</v>
      </c>
      <c r="P694" s="47"/>
      <c r="Q694" s="47"/>
      <c r="R694" s="47"/>
      <c r="S694" s="47" t="s">
        <v>13292</v>
      </c>
      <c r="T694" s="47" t="s">
        <v>13295</v>
      </c>
      <c r="U694" s="47"/>
    </row>
    <row r="695" spans="1:21" x14ac:dyDescent="0.3">
      <c r="A695" s="46">
        <v>699</v>
      </c>
      <c r="B695" s="47" t="s">
        <v>13291</v>
      </c>
      <c r="C695" s="47" t="s">
        <v>13291</v>
      </c>
      <c r="D695" s="47" t="s">
        <v>13291</v>
      </c>
      <c r="E695" s="47" t="s">
        <v>13291</v>
      </c>
      <c r="F695" s="47" t="s">
        <v>13291</v>
      </c>
      <c r="G695" s="47" t="s">
        <v>13291</v>
      </c>
      <c r="H695" s="158">
        <v>1699</v>
      </c>
      <c r="I695" s="156" t="s">
        <v>11121</v>
      </c>
      <c r="J695" s="156" t="s">
        <v>12006</v>
      </c>
      <c r="K695" s="47"/>
      <c r="L695" s="47"/>
      <c r="M695" s="47"/>
      <c r="N695" s="156"/>
      <c r="O695" s="156" t="s">
        <v>157</v>
      </c>
      <c r="P695" s="47"/>
      <c r="Q695" s="47"/>
      <c r="R695" s="47"/>
      <c r="S695" s="47" t="s">
        <v>13292</v>
      </c>
      <c r="T695" s="47" t="s">
        <v>13295</v>
      </c>
      <c r="U695" s="47"/>
    </row>
    <row r="696" spans="1:21" x14ac:dyDescent="0.3">
      <c r="A696" s="46">
        <v>700</v>
      </c>
      <c r="B696" s="47" t="s">
        <v>13291</v>
      </c>
      <c r="C696" s="47" t="s">
        <v>13291</v>
      </c>
      <c r="D696" s="47" t="s">
        <v>13291</v>
      </c>
      <c r="E696" s="47" t="s">
        <v>13291</v>
      </c>
      <c r="F696" s="47" t="s">
        <v>13291</v>
      </c>
      <c r="G696" s="47" t="s">
        <v>13291</v>
      </c>
      <c r="H696" s="158">
        <v>1700</v>
      </c>
      <c r="I696" s="156" t="s">
        <v>11101</v>
      </c>
      <c r="J696" s="156" t="s">
        <v>11971</v>
      </c>
      <c r="K696" s="47"/>
      <c r="L696" s="47"/>
      <c r="M696" s="47"/>
      <c r="N696" s="156"/>
      <c r="O696" s="156" t="s">
        <v>157</v>
      </c>
      <c r="P696" s="47"/>
      <c r="Q696" s="47"/>
      <c r="R696" s="47"/>
      <c r="S696" s="47" t="s">
        <v>13292</v>
      </c>
      <c r="T696" s="47" t="s">
        <v>13295</v>
      </c>
      <c r="U696" s="47"/>
    </row>
    <row r="697" spans="1:21" x14ac:dyDescent="0.3">
      <c r="A697" s="46">
        <v>701</v>
      </c>
      <c r="B697" s="47" t="s">
        <v>13291</v>
      </c>
      <c r="C697" s="47" t="s">
        <v>13291</v>
      </c>
      <c r="D697" s="47" t="s">
        <v>13291</v>
      </c>
      <c r="E697" s="47" t="s">
        <v>13291</v>
      </c>
      <c r="F697" s="47" t="s">
        <v>13291</v>
      </c>
      <c r="G697" s="47" t="s">
        <v>13291</v>
      </c>
      <c r="H697" s="158">
        <v>1701</v>
      </c>
      <c r="I697" s="156" t="s">
        <v>11102</v>
      </c>
      <c r="J697" s="156" t="s">
        <v>11972</v>
      </c>
      <c r="K697" s="47"/>
      <c r="L697" s="47"/>
      <c r="M697" s="47"/>
      <c r="N697" s="156"/>
      <c r="O697" s="156" t="s">
        <v>157</v>
      </c>
      <c r="P697" s="47"/>
      <c r="Q697" s="47"/>
      <c r="R697" s="47"/>
      <c r="S697" s="47" t="s">
        <v>13292</v>
      </c>
      <c r="T697" s="47" t="s">
        <v>13295</v>
      </c>
      <c r="U697" s="47"/>
    </row>
    <row r="698" spans="1:21" x14ac:dyDescent="0.3">
      <c r="A698" s="46">
        <v>702</v>
      </c>
      <c r="B698" s="47" t="s">
        <v>13291</v>
      </c>
      <c r="C698" s="47" t="s">
        <v>13291</v>
      </c>
      <c r="D698" s="47" t="s">
        <v>13291</v>
      </c>
      <c r="E698" s="47" t="s">
        <v>13291</v>
      </c>
      <c r="F698" s="47" t="s">
        <v>13291</v>
      </c>
      <c r="G698" s="47" t="s">
        <v>13291</v>
      </c>
      <c r="H698" s="158">
        <v>1702</v>
      </c>
      <c r="I698" s="156" t="s">
        <v>11250</v>
      </c>
      <c r="J698" s="156" t="s">
        <v>12238</v>
      </c>
      <c r="K698" s="47"/>
      <c r="L698" s="47"/>
      <c r="M698" s="47"/>
      <c r="N698" s="156"/>
      <c r="O698" s="156" t="s">
        <v>157</v>
      </c>
      <c r="P698" s="47"/>
      <c r="Q698" s="47"/>
      <c r="R698" s="47"/>
      <c r="S698" s="47" t="s">
        <v>13292</v>
      </c>
      <c r="T698" s="47" t="s">
        <v>13295</v>
      </c>
      <c r="U698" s="47"/>
    </row>
    <row r="699" spans="1:21" x14ac:dyDescent="0.3">
      <c r="A699" s="46">
        <v>703</v>
      </c>
      <c r="B699" s="47" t="s">
        <v>13291</v>
      </c>
      <c r="C699" s="47" t="s">
        <v>13291</v>
      </c>
      <c r="D699" s="47" t="s">
        <v>13291</v>
      </c>
      <c r="E699" s="47" t="s">
        <v>13291</v>
      </c>
      <c r="F699" s="47" t="s">
        <v>13291</v>
      </c>
      <c r="G699" s="47" t="s">
        <v>13291</v>
      </c>
      <c r="H699" s="158">
        <v>1703</v>
      </c>
      <c r="I699" s="156" t="s">
        <v>11067</v>
      </c>
      <c r="J699" s="156" t="s">
        <v>11899</v>
      </c>
      <c r="K699" s="47"/>
      <c r="L699" s="47"/>
      <c r="M699" s="47"/>
      <c r="N699" s="156"/>
      <c r="O699" s="156" t="s">
        <v>157</v>
      </c>
      <c r="P699" s="47"/>
      <c r="Q699" s="47"/>
      <c r="R699" s="47"/>
      <c r="S699" s="47" t="s">
        <v>13292</v>
      </c>
      <c r="T699" s="47" t="s">
        <v>13295</v>
      </c>
      <c r="U699" s="47"/>
    </row>
    <row r="700" spans="1:21" x14ac:dyDescent="0.3">
      <c r="A700" s="46">
        <v>704</v>
      </c>
      <c r="B700" s="47" t="s">
        <v>13291</v>
      </c>
      <c r="C700" s="47" t="s">
        <v>13291</v>
      </c>
      <c r="D700" s="47" t="s">
        <v>13291</v>
      </c>
      <c r="E700" s="47" t="s">
        <v>13291</v>
      </c>
      <c r="F700" s="47" t="s">
        <v>13291</v>
      </c>
      <c r="G700" s="47" t="s">
        <v>13291</v>
      </c>
      <c r="H700" s="158">
        <v>1704</v>
      </c>
      <c r="I700" s="156" t="s">
        <v>5685</v>
      </c>
      <c r="J700" s="156" t="s">
        <v>11900</v>
      </c>
      <c r="K700" s="47"/>
      <c r="L700" s="47"/>
      <c r="M700" s="47"/>
      <c r="N700" s="156"/>
      <c r="O700" s="156" t="s">
        <v>157</v>
      </c>
      <c r="P700" s="47"/>
      <c r="Q700" s="47"/>
      <c r="R700" s="47"/>
      <c r="S700" s="47" t="s">
        <v>13292</v>
      </c>
      <c r="T700" s="47" t="s">
        <v>13295</v>
      </c>
      <c r="U700" s="47"/>
    </row>
    <row r="701" spans="1:21" x14ac:dyDescent="0.3">
      <c r="A701" s="46">
        <v>705</v>
      </c>
      <c r="B701" s="47" t="s">
        <v>13291</v>
      </c>
      <c r="C701" s="47" t="s">
        <v>13291</v>
      </c>
      <c r="D701" s="47" t="s">
        <v>13291</v>
      </c>
      <c r="E701" s="47" t="s">
        <v>13291</v>
      </c>
      <c r="F701" s="47" t="s">
        <v>13291</v>
      </c>
      <c r="G701" s="47" t="s">
        <v>13291</v>
      </c>
      <c r="H701" s="158">
        <v>1705</v>
      </c>
      <c r="I701" s="156" t="s">
        <v>11251</v>
      </c>
      <c r="J701" s="156" t="s">
        <v>12239</v>
      </c>
      <c r="K701" s="47"/>
      <c r="L701" s="47"/>
      <c r="M701" s="47"/>
      <c r="N701" s="156"/>
      <c r="O701" s="156" t="s">
        <v>157</v>
      </c>
      <c r="P701" s="47"/>
      <c r="Q701" s="47"/>
      <c r="R701" s="47"/>
      <c r="S701" s="47" t="s">
        <v>13292</v>
      </c>
      <c r="T701" s="47" t="s">
        <v>13295</v>
      </c>
      <c r="U701" s="47"/>
    </row>
    <row r="702" spans="1:21" x14ac:dyDescent="0.3">
      <c r="A702" s="46">
        <v>706</v>
      </c>
      <c r="B702" s="47" t="s">
        <v>13291</v>
      </c>
      <c r="C702" s="47" t="s">
        <v>13291</v>
      </c>
      <c r="D702" s="47" t="s">
        <v>13291</v>
      </c>
      <c r="E702" s="47" t="s">
        <v>13291</v>
      </c>
      <c r="F702" s="47" t="s">
        <v>13291</v>
      </c>
      <c r="G702" s="47" t="s">
        <v>13291</v>
      </c>
      <c r="H702" s="158">
        <v>1706</v>
      </c>
      <c r="I702" s="156" t="s">
        <v>5686</v>
      </c>
      <c r="J702" s="156" t="s">
        <v>11901</v>
      </c>
      <c r="K702" s="47"/>
      <c r="L702" s="47"/>
      <c r="M702" s="47"/>
      <c r="N702" s="156"/>
      <c r="O702" s="156" t="s">
        <v>157</v>
      </c>
      <c r="P702" s="47"/>
      <c r="Q702" s="47"/>
      <c r="R702" s="47"/>
      <c r="S702" s="47" t="s">
        <v>13292</v>
      </c>
      <c r="T702" s="47" t="s">
        <v>13295</v>
      </c>
      <c r="U702" s="47"/>
    </row>
    <row r="703" spans="1:21" x14ac:dyDescent="0.3">
      <c r="A703" s="46">
        <v>707</v>
      </c>
      <c r="B703" s="47" t="s">
        <v>13291</v>
      </c>
      <c r="C703" s="47" t="s">
        <v>13291</v>
      </c>
      <c r="D703" s="47" t="s">
        <v>13291</v>
      </c>
      <c r="E703" s="47" t="s">
        <v>13291</v>
      </c>
      <c r="F703" s="47" t="s">
        <v>13291</v>
      </c>
      <c r="G703" s="47" t="s">
        <v>13291</v>
      </c>
      <c r="H703" s="158">
        <v>1707</v>
      </c>
      <c r="I703" s="156" t="s">
        <v>5687</v>
      </c>
      <c r="J703" s="156" t="s">
        <v>11902</v>
      </c>
      <c r="K703" s="47"/>
      <c r="L703" s="47"/>
      <c r="M703" s="47"/>
      <c r="N703" s="156"/>
      <c r="O703" s="156" t="s">
        <v>157</v>
      </c>
      <c r="P703" s="47"/>
      <c r="Q703" s="47"/>
      <c r="R703" s="47"/>
      <c r="S703" s="47" t="s">
        <v>13292</v>
      </c>
      <c r="T703" s="47" t="s">
        <v>13295</v>
      </c>
      <c r="U703" s="47"/>
    </row>
    <row r="704" spans="1:21" x14ac:dyDescent="0.3">
      <c r="A704" s="46">
        <v>708</v>
      </c>
      <c r="B704" s="47" t="s">
        <v>13291</v>
      </c>
      <c r="C704" s="47" t="s">
        <v>13291</v>
      </c>
      <c r="D704" s="47" t="s">
        <v>13291</v>
      </c>
      <c r="E704" s="47" t="s">
        <v>13291</v>
      </c>
      <c r="F704" s="47" t="s">
        <v>13291</v>
      </c>
      <c r="G704" s="47" t="s">
        <v>13291</v>
      </c>
      <c r="H704" s="158">
        <v>1708</v>
      </c>
      <c r="I704" s="156" t="s">
        <v>5688</v>
      </c>
      <c r="J704" s="156" t="s">
        <v>11903</v>
      </c>
      <c r="K704" s="47"/>
      <c r="L704" s="47"/>
      <c r="M704" s="47"/>
      <c r="N704" s="156"/>
      <c r="O704" s="156" t="s">
        <v>157</v>
      </c>
      <c r="P704" s="47"/>
      <c r="Q704" s="47"/>
      <c r="R704" s="47"/>
      <c r="S704" s="47" t="s">
        <v>13292</v>
      </c>
      <c r="T704" s="47" t="s">
        <v>13295</v>
      </c>
      <c r="U704" s="47"/>
    </row>
    <row r="705" spans="1:21" x14ac:dyDescent="0.3">
      <c r="A705" s="46">
        <v>709</v>
      </c>
      <c r="B705" s="47" t="s">
        <v>13291</v>
      </c>
      <c r="C705" s="47" t="s">
        <v>13291</v>
      </c>
      <c r="D705" s="47" t="s">
        <v>13291</v>
      </c>
      <c r="E705" s="47" t="s">
        <v>13291</v>
      </c>
      <c r="F705" s="47" t="s">
        <v>13291</v>
      </c>
      <c r="G705" s="47" t="s">
        <v>13291</v>
      </c>
      <c r="H705" s="158">
        <v>1709</v>
      </c>
      <c r="I705" s="156" t="s">
        <v>5689</v>
      </c>
      <c r="J705" s="156" t="s">
        <v>11904</v>
      </c>
      <c r="K705" s="47"/>
      <c r="L705" s="47"/>
      <c r="M705" s="47"/>
      <c r="N705" s="156"/>
      <c r="O705" s="156" t="s">
        <v>157</v>
      </c>
      <c r="P705" s="47"/>
      <c r="Q705" s="47"/>
      <c r="R705" s="47"/>
      <c r="S705" s="47" t="s">
        <v>13292</v>
      </c>
      <c r="T705" s="47" t="s">
        <v>13295</v>
      </c>
      <c r="U705" s="47"/>
    </row>
    <row r="706" spans="1:21" x14ac:dyDescent="0.3">
      <c r="A706" s="46">
        <v>710</v>
      </c>
      <c r="B706" s="47" t="s">
        <v>13291</v>
      </c>
      <c r="C706" s="47" t="s">
        <v>13291</v>
      </c>
      <c r="D706" s="47" t="s">
        <v>13291</v>
      </c>
      <c r="E706" s="47" t="s">
        <v>13291</v>
      </c>
      <c r="F706" s="47" t="s">
        <v>13291</v>
      </c>
      <c r="G706" s="47" t="s">
        <v>13291</v>
      </c>
      <c r="H706" s="158">
        <v>1710</v>
      </c>
      <c r="I706" s="156" t="s">
        <v>5690</v>
      </c>
      <c r="J706" s="156" t="s">
        <v>11905</v>
      </c>
      <c r="K706" s="47"/>
      <c r="L706" s="47"/>
      <c r="M706" s="47"/>
      <c r="N706" s="156"/>
      <c r="O706" s="156" t="s">
        <v>157</v>
      </c>
      <c r="P706" s="47"/>
      <c r="Q706" s="47"/>
      <c r="R706" s="47"/>
      <c r="S706" s="47" t="s">
        <v>13292</v>
      </c>
      <c r="T706" s="47" t="s">
        <v>13295</v>
      </c>
      <c r="U706" s="47"/>
    </row>
    <row r="707" spans="1:21" x14ac:dyDescent="0.3">
      <c r="A707" s="46">
        <v>711</v>
      </c>
      <c r="B707" s="47" t="s">
        <v>13291</v>
      </c>
      <c r="C707" s="47" t="s">
        <v>13291</v>
      </c>
      <c r="D707" s="47" t="s">
        <v>13291</v>
      </c>
      <c r="E707" s="47" t="s">
        <v>13291</v>
      </c>
      <c r="F707" s="47" t="s">
        <v>13291</v>
      </c>
      <c r="G707" s="47" t="s">
        <v>13291</v>
      </c>
      <c r="H707" s="158">
        <v>1711</v>
      </c>
      <c r="I707" s="156" t="s">
        <v>11068</v>
      </c>
      <c r="J707" s="156" t="s">
        <v>11906</v>
      </c>
      <c r="K707" s="47"/>
      <c r="L707" s="47"/>
      <c r="M707" s="47"/>
      <c r="N707" s="156"/>
      <c r="O707" s="156" t="s">
        <v>157</v>
      </c>
      <c r="P707" s="47"/>
      <c r="Q707" s="47"/>
      <c r="R707" s="47"/>
      <c r="S707" s="47" t="s">
        <v>13292</v>
      </c>
      <c r="T707" s="47" t="s">
        <v>13295</v>
      </c>
      <c r="U707" s="47"/>
    </row>
    <row r="708" spans="1:21" x14ac:dyDescent="0.3">
      <c r="A708" s="46">
        <v>712</v>
      </c>
      <c r="B708" s="47" t="s">
        <v>13291</v>
      </c>
      <c r="C708" s="47" t="s">
        <v>13291</v>
      </c>
      <c r="D708" s="47" t="s">
        <v>13291</v>
      </c>
      <c r="E708" s="47" t="s">
        <v>13291</v>
      </c>
      <c r="F708" s="47" t="s">
        <v>13291</v>
      </c>
      <c r="G708" s="47" t="s">
        <v>13291</v>
      </c>
      <c r="H708" s="158">
        <v>1712</v>
      </c>
      <c r="I708" s="156" t="s">
        <v>11069</v>
      </c>
      <c r="J708" s="156" t="s">
        <v>11907</v>
      </c>
      <c r="K708" s="47"/>
      <c r="L708" s="47"/>
      <c r="M708" s="47"/>
      <c r="N708" s="156"/>
      <c r="O708" s="156" t="s">
        <v>157</v>
      </c>
      <c r="P708" s="47"/>
      <c r="Q708" s="47"/>
      <c r="R708" s="47"/>
      <c r="S708" s="47" t="s">
        <v>13292</v>
      </c>
      <c r="T708" s="47" t="s">
        <v>13295</v>
      </c>
      <c r="U708" s="47"/>
    </row>
    <row r="709" spans="1:21" x14ac:dyDescent="0.3">
      <c r="A709" s="46">
        <v>713</v>
      </c>
      <c r="B709" s="47" t="s">
        <v>13291</v>
      </c>
      <c r="C709" s="47" t="s">
        <v>13291</v>
      </c>
      <c r="D709" s="47" t="s">
        <v>13291</v>
      </c>
      <c r="E709" s="47" t="s">
        <v>13291</v>
      </c>
      <c r="F709" s="47" t="s">
        <v>13291</v>
      </c>
      <c r="G709" s="47" t="s">
        <v>13291</v>
      </c>
      <c r="H709" s="158">
        <v>1713</v>
      </c>
      <c r="I709" s="156" t="s">
        <v>5691</v>
      </c>
      <c r="J709" s="156" t="s">
        <v>11525</v>
      </c>
      <c r="K709" s="47"/>
      <c r="L709" s="47"/>
      <c r="M709" s="47"/>
      <c r="N709" s="156"/>
      <c r="O709" s="156" t="s">
        <v>157</v>
      </c>
      <c r="P709" s="47"/>
      <c r="Q709" s="47"/>
      <c r="R709" s="47"/>
      <c r="S709" s="47" t="s">
        <v>13292</v>
      </c>
      <c r="T709" s="47" t="s">
        <v>13295</v>
      </c>
      <c r="U709" s="47"/>
    </row>
    <row r="710" spans="1:21" x14ac:dyDescent="0.3">
      <c r="A710" s="46">
        <v>714</v>
      </c>
      <c r="B710" s="47" t="s">
        <v>13291</v>
      </c>
      <c r="C710" s="47" t="s">
        <v>13291</v>
      </c>
      <c r="D710" s="47" t="s">
        <v>13291</v>
      </c>
      <c r="E710" s="47" t="s">
        <v>13291</v>
      </c>
      <c r="F710" s="47" t="s">
        <v>13291</v>
      </c>
      <c r="G710" s="47" t="s">
        <v>13291</v>
      </c>
      <c r="H710" s="158">
        <v>1714</v>
      </c>
      <c r="I710" s="156" t="s">
        <v>10929</v>
      </c>
      <c r="J710" s="156" t="s">
        <v>11526</v>
      </c>
      <c r="K710" s="47"/>
      <c r="L710" s="47"/>
      <c r="M710" s="47"/>
      <c r="N710" s="156"/>
      <c r="O710" s="156" t="s">
        <v>157</v>
      </c>
      <c r="P710" s="47"/>
      <c r="Q710" s="47"/>
      <c r="R710" s="47"/>
      <c r="S710" s="47" t="s">
        <v>13292</v>
      </c>
      <c r="T710" s="47" t="s">
        <v>13295</v>
      </c>
      <c r="U710" s="47"/>
    </row>
    <row r="711" spans="1:21" x14ac:dyDescent="0.3">
      <c r="A711" s="46">
        <v>715</v>
      </c>
      <c r="B711" s="47" t="s">
        <v>13291</v>
      </c>
      <c r="C711" s="47" t="s">
        <v>13291</v>
      </c>
      <c r="D711" s="47" t="s">
        <v>13291</v>
      </c>
      <c r="E711" s="47" t="s">
        <v>13291</v>
      </c>
      <c r="F711" s="47" t="s">
        <v>13291</v>
      </c>
      <c r="G711" s="47" t="s">
        <v>13291</v>
      </c>
      <c r="H711" s="158">
        <v>1715</v>
      </c>
      <c r="I711" s="156" t="s">
        <v>11122</v>
      </c>
      <c r="J711" s="156" t="s">
        <v>12007</v>
      </c>
      <c r="K711" s="47"/>
      <c r="L711" s="47"/>
      <c r="M711" s="47"/>
      <c r="N711" s="156"/>
      <c r="O711" s="156" t="s">
        <v>157</v>
      </c>
      <c r="P711" s="47"/>
      <c r="Q711" s="47"/>
      <c r="R711" s="47"/>
      <c r="S711" s="47" t="s">
        <v>13292</v>
      </c>
      <c r="T711" s="47" t="s">
        <v>13295</v>
      </c>
      <c r="U711" s="47"/>
    </row>
    <row r="712" spans="1:21" x14ac:dyDescent="0.3">
      <c r="A712" s="46">
        <v>716</v>
      </c>
      <c r="B712" s="47" t="s">
        <v>13291</v>
      </c>
      <c r="C712" s="47" t="s">
        <v>13291</v>
      </c>
      <c r="D712" s="47" t="s">
        <v>13291</v>
      </c>
      <c r="E712" s="47" t="s">
        <v>13291</v>
      </c>
      <c r="F712" s="47" t="s">
        <v>13291</v>
      </c>
      <c r="G712" s="47" t="s">
        <v>13291</v>
      </c>
      <c r="H712" s="158">
        <v>1716</v>
      </c>
      <c r="I712" s="156" t="s">
        <v>10947</v>
      </c>
      <c r="J712" s="156" t="s">
        <v>11612</v>
      </c>
      <c r="K712" s="47"/>
      <c r="L712" s="47"/>
      <c r="M712" s="47"/>
      <c r="N712" s="156"/>
      <c r="O712" s="156" t="s">
        <v>157</v>
      </c>
      <c r="P712" s="47"/>
      <c r="Q712" s="47"/>
      <c r="R712" s="47"/>
      <c r="S712" s="47" t="s">
        <v>13292</v>
      </c>
      <c r="T712" s="47" t="s">
        <v>13295</v>
      </c>
      <c r="U712" s="47"/>
    </row>
    <row r="713" spans="1:21" x14ac:dyDescent="0.3">
      <c r="A713" s="46">
        <v>717</v>
      </c>
      <c r="B713" s="47" t="s">
        <v>13291</v>
      </c>
      <c r="C713" s="47" t="s">
        <v>13291</v>
      </c>
      <c r="D713" s="47" t="s">
        <v>13291</v>
      </c>
      <c r="E713" s="47" t="s">
        <v>13291</v>
      </c>
      <c r="F713" s="47" t="s">
        <v>13291</v>
      </c>
      <c r="G713" s="47" t="s">
        <v>13291</v>
      </c>
      <c r="H713" s="158">
        <v>1717</v>
      </c>
      <c r="I713" s="156" t="s">
        <v>11123</v>
      </c>
      <c r="J713" s="156" t="s">
        <v>12008</v>
      </c>
      <c r="K713" s="47"/>
      <c r="L713" s="47"/>
      <c r="M713" s="47"/>
      <c r="N713" s="156"/>
      <c r="O713" s="156" t="s">
        <v>157</v>
      </c>
      <c r="P713" s="47"/>
      <c r="Q713" s="47"/>
      <c r="R713" s="47"/>
      <c r="S713" s="47" t="s">
        <v>13292</v>
      </c>
      <c r="T713" s="47" t="s">
        <v>13295</v>
      </c>
      <c r="U713" s="47"/>
    </row>
    <row r="714" spans="1:21" x14ac:dyDescent="0.3">
      <c r="A714" s="46">
        <v>718</v>
      </c>
      <c r="B714" s="47" t="s">
        <v>13291</v>
      </c>
      <c r="C714" s="47" t="s">
        <v>13291</v>
      </c>
      <c r="D714" s="47" t="s">
        <v>13291</v>
      </c>
      <c r="E714" s="47" t="s">
        <v>13291</v>
      </c>
      <c r="F714" s="47" t="s">
        <v>13291</v>
      </c>
      <c r="G714" s="47" t="s">
        <v>13291</v>
      </c>
      <c r="H714" s="158">
        <v>1718</v>
      </c>
      <c r="I714" s="156" t="s">
        <v>11124</v>
      </c>
      <c r="J714" s="156" t="s">
        <v>12009</v>
      </c>
      <c r="K714" s="47"/>
      <c r="L714" s="47"/>
      <c r="M714" s="47"/>
      <c r="N714" s="156"/>
      <c r="O714" s="156" t="s">
        <v>157</v>
      </c>
      <c r="P714" s="47"/>
      <c r="Q714" s="47"/>
      <c r="R714" s="47"/>
      <c r="S714" s="47" t="s">
        <v>13292</v>
      </c>
      <c r="T714" s="47" t="s">
        <v>13295</v>
      </c>
      <c r="U714" s="47"/>
    </row>
    <row r="715" spans="1:21" x14ac:dyDescent="0.3">
      <c r="A715" s="46">
        <v>719</v>
      </c>
      <c r="B715" s="47" t="s">
        <v>13291</v>
      </c>
      <c r="C715" s="47" t="s">
        <v>13291</v>
      </c>
      <c r="D715" s="47" t="s">
        <v>13291</v>
      </c>
      <c r="E715" s="47" t="s">
        <v>13291</v>
      </c>
      <c r="F715" s="47" t="s">
        <v>13291</v>
      </c>
      <c r="G715" s="47" t="s">
        <v>13291</v>
      </c>
      <c r="H715" s="158">
        <v>1719</v>
      </c>
      <c r="I715" s="156" t="s">
        <v>5692</v>
      </c>
      <c r="J715" s="156" t="s">
        <v>11489</v>
      </c>
      <c r="K715" s="47"/>
      <c r="L715" s="47"/>
      <c r="M715" s="47"/>
      <c r="N715" s="156"/>
      <c r="O715" s="156" t="s">
        <v>157</v>
      </c>
      <c r="P715" s="47"/>
      <c r="Q715" s="47"/>
      <c r="R715" s="47"/>
      <c r="S715" s="47" t="s">
        <v>13292</v>
      </c>
      <c r="T715" s="47" t="s">
        <v>13295</v>
      </c>
      <c r="U715" s="47"/>
    </row>
    <row r="716" spans="1:21" x14ac:dyDescent="0.3">
      <c r="A716" s="46">
        <v>720</v>
      </c>
      <c r="B716" s="47" t="s">
        <v>13291</v>
      </c>
      <c r="C716" s="47" t="s">
        <v>13291</v>
      </c>
      <c r="D716" s="47" t="s">
        <v>13291</v>
      </c>
      <c r="E716" s="47" t="s">
        <v>13291</v>
      </c>
      <c r="F716" s="47" t="s">
        <v>13291</v>
      </c>
      <c r="G716" s="47" t="s">
        <v>13291</v>
      </c>
      <c r="H716" s="158">
        <v>1720</v>
      </c>
      <c r="I716" s="156" t="s">
        <v>10948</v>
      </c>
      <c r="J716" s="156" t="s">
        <v>11613</v>
      </c>
      <c r="K716" s="47"/>
      <c r="L716" s="47"/>
      <c r="M716" s="47"/>
      <c r="N716" s="156"/>
      <c r="O716" s="156" t="s">
        <v>157</v>
      </c>
      <c r="P716" s="47"/>
      <c r="Q716" s="47"/>
      <c r="R716" s="47"/>
      <c r="S716" s="47" t="s">
        <v>13292</v>
      </c>
      <c r="T716" s="47" t="s">
        <v>13295</v>
      </c>
      <c r="U716" s="47"/>
    </row>
    <row r="717" spans="1:21" x14ac:dyDescent="0.3">
      <c r="A717" s="46">
        <v>721</v>
      </c>
      <c r="B717" s="47" t="s">
        <v>13291</v>
      </c>
      <c r="C717" s="47" t="s">
        <v>13291</v>
      </c>
      <c r="D717" s="47" t="s">
        <v>13291</v>
      </c>
      <c r="E717" s="47" t="s">
        <v>13291</v>
      </c>
      <c r="F717" s="47" t="s">
        <v>13291</v>
      </c>
      <c r="G717" s="47" t="s">
        <v>13291</v>
      </c>
      <c r="H717" s="158">
        <v>1721</v>
      </c>
      <c r="I717" s="156" t="s">
        <v>5693</v>
      </c>
      <c r="J717" s="156" t="s">
        <v>12240</v>
      </c>
      <c r="K717" s="47"/>
      <c r="L717" s="47"/>
      <c r="M717" s="47"/>
      <c r="N717" s="156"/>
      <c r="O717" s="156" t="s">
        <v>157</v>
      </c>
      <c r="P717" s="47"/>
      <c r="Q717" s="47"/>
      <c r="R717" s="47"/>
      <c r="S717" s="47" t="s">
        <v>13292</v>
      </c>
      <c r="T717" s="47" t="s">
        <v>13295</v>
      </c>
      <c r="U717" s="47"/>
    </row>
    <row r="718" spans="1:21" x14ac:dyDescent="0.3">
      <c r="A718" s="46">
        <v>722</v>
      </c>
      <c r="B718" s="47" t="s">
        <v>13291</v>
      </c>
      <c r="C718" s="47" t="s">
        <v>13291</v>
      </c>
      <c r="D718" s="47" t="s">
        <v>13291</v>
      </c>
      <c r="E718" s="47" t="s">
        <v>13291</v>
      </c>
      <c r="F718" s="47" t="s">
        <v>13291</v>
      </c>
      <c r="G718" s="47" t="s">
        <v>13291</v>
      </c>
      <c r="H718" s="158">
        <v>1722</v>
      </c>
      <c r="I718" s="156" t="s">
        <v>5694</v>
      </c>
      <c r="J718" s="156" t="s">
        <v>11908</v>
      </c>
      <c r="K718" s="47"/>
      <c r="L718" s="47"/>
      <c r="M718" s="47"/>
      <c r="N718" s="156"/>
      <c r="O718" s="156" t="s">
        <v>157</v>
      </c>
      <c r="P718" s="47"/>
      <c r="Q718" s="47"/>
      <c r="R718" s="47"/>
      <c r="S718" s="47" t="s">
        <v>13292</v>
      </c>
      <c r="T718" s="47" t="s">
        <v>13295</v>
      </c>
      <c r="U718" s="47"/>
    </row>
    <row r="719" spans="1:21" x14ac:dyDescent="0.3">
      <c r="A719" s="46">
        <v>723</v>
      </c>
      <c r="B719" s="47" t="s">
        <v>13291</v>
      </c>
      <c r="C719" s="47" t="s">
        <v>13291</v>
      </c>
      <c r="D719" s="47" t="s">
        <v>13291</v>
      </c>
      <c r="E719" s="47" t="s">
        <v>13291</v>
      </c>
      <c r="F719" s="47" t="s">
        <v>13291</v>
      </c>
      <c r="G719" s="47" t="s">
        <v>13291</v>
      </c>
      <c r="H719" s="158">
        <v>1723</v>
      </c>
      <c r="I719" s="156" t="s">
        <v>11070</v>
      </c>
      <c r="J719" s="156" t="s">
        <v>11909</v>
      </c>
      <c r="K719" s="47"/>
      <c r="L719" s="47"/>
      <c r="M719" s="47"/>
      <c r="N719" s="156"/>
      <c r="O719" s="156" t="s">
        <v>157</v>
      </c>
      <c r="P719" s="47"/>
      <c r="Q719" s="47"/>
      <c r="R719" s="47"/>
      <c r="S719" s="47" t="s">
        <v>13292</v>
      </c>
      <c r="T719" s="47" t="s">
        <v>13295</v>
      </c>
      <c r="U719" s="47"/>
    </row>
    <row r="720" spans="1:21" x14ac:dyDescent="0.3">
      <c r="A720" s="46">
        <v>724</v>
      </c>
      <c r="B720" s="47" t="s">
        <v>13291</v>
      </c>
      <c r="C720" s="47" t="s">
        <v>13291</v>
      </c>
      <c r="D720" s="47" t="s">
        <v>13291</v>
      </c>
      <c r="E720" s="47" t="s">
        <v>13291</v>
      </c>
      <c r="F720" s="47" t="s">
        <v>13291</v>
      </c>
      <c r="G720" s="47" t="s">
        <v>13291</v>
      </c>
      <c r="H720" s="158">
        <v>1724</v>
      </c>
      <c r="I720" s="156" t="s">
        <v>11071</v>
      </c>
      <c r="J720" s="156" t="s">
        <v>11910</v>
      </c>
      <c r="K720" s="47"/>
      <c r="L720" s="47"/>
      <c r="M720" s="47"/>
      <c r="N720" s="156"/>
      <c r="O720" s="156" t="s">
        <v>157</v>
      </c>
      <c r="P720" s="47"/>
      <c r="Q720" s="47"/>
      <c r="R720" s="47"/>
      <c r="S720" s="47" t="s">
        <v>13292</v>
      </c>
      <c r="T720" s="47" t="s">
        <v>13295</v>
      </c>
      <c r="U720" s="47"/>
    </row>
    <row r="721" spans="1:21" x14ac:dyDescent="0.3">
      <c r="A721" s="46">
        <v>725</v>
      </c>
      <c r="B721" s="47" t="s">
        <v>13291</v>
      </c>
      <c r="C721" s="47" t="s">
        <v>13291</v>
      </c>
      <c r="D721" s="47" t="s">
        <v>13291</v>
      </c>
      <c r="E721" s="47" t="s">
        <v>13291</v>
      </c>
      <c r="F721" s="47" t="s">
        <v>13291</v>
      </c>
      <c r="G721" s="47" t="s">
        <v>13291</v>
      </c>
      <c r="H721" s="158">
        <v>1725</v>
      </c>
      <c r="I721" s="156" t="s">
        <v>11072</v>
      </c>
      <c r="J721" s="156" t="s">
        <v>11911</v>
      </c>
      <c r="K721" s="47"/>
      <c r="L721" s="47"/>
      <c r="M721" s="47"/>
      <c r="N721" s="156"/>
      <c r="O721" s="156" t="s">
        <v>157</v>
      </c>
      <c r="P721" s="47"/>
      <c r="Q721" s="47"/>
      <c r="R721" s="47"/>
      <c r="S721" s="47" t="s">
        <v>13292</v>
      </c>
      <c r="T721" s="47" t="s">
        <v>13295</v>
      </c>
      <c r="U721" s="47"/>
    </row>
    <row r="722" spans="1:21" x14ac:dyDescent="0.3">
      <c r="A722" s="46">
        <v>726</v>
      </c>
      <c r="B722" s="47" t="s">
        <v>13291</v>
      </c>
      <c r="C722" s="47" t="s">
        <v>13291</v>
      </c>
      <c r="D722" s="47" t="s">
        <v>13291</v>
      </c>
      <c r="E722" s="47" t="s">
        <v>13291</v>
      </c>
      <c r="F722" s="47" t="s">
        <v>13291</v>
      </c>
      <c r="G722" s="47" t="s">
        <v>13291</v>
      </c>
      <c r="H722" s="158">
        <v>1726</v>
      </c>
      <c r="I722" s="156" t="s">
        <v>11125</v>
      </c>
      <c r="J722" s="156" t="s">
        <v>12010</v>
      </c>
      <c r="K722" s="47"/>
      <c r="L722" s="47"/>
      <c r="M722" s="47"/>
      <c r="N722" s="156"/>
      <c r="O722" s="156" t="s">
        <v>157</v>
      </c>
      <c r="P722" s="47"/>
      <c r="Q722" s="47"/>
      <c r="R722" s="47"/>
      <c r="S722" s="47" t="s">
        <v>13292</v>
      </c>
      <c r="T722" s="47" t="s">
        <v>13295</v>
      </c>
      <c r="U722" s="47"/>
    </row>
    <row r="723" spans="1:21" x14ac:dyDescent="0.3">
      <c r="A723" s="46">
        <v>727</v>
      </c>
      <c r="B723" s="47" t="s">
        <v>13291</v>
      </c>
      <c r="C723" s="47" t="s">
        <v>13291</v>
      </c>
      <c r="D723" s="47" t="s">
        <v>13291</v>
      </c>
      <c r="E723" s="47" t="s">
        <v>13291</v>
      </c>
      <c r="F723" s="47" t="s">
        <v>13291</v>
      </c>
      <c r="G723" s="47" t="s">
        <v>13291</v>
      </c>
      <c r="H723" s="158">
        <v>1727</v>
      </c>
      <c r="I723" s="156" t="s">
        <v>11252</v>
      </c>
      <c r="J723" s="156" t="s">
        <v>12241</v>
      </c>
      <c r="K723" s="47"/>
      <c r="L723" s="47"/>
      <c r="M723" s="47"/>
      <c r="N723" s="156"/>
      <c r="O723" s="156" t="s">
        <v>157</v>
      </c>
      <c r="P723" s="47"/>
      <c r="Q723" s="47"/>
      <c r="R723" s="47"/>
      <c r="S723" s="47" t="s">
        <v>13292</v>
      </c>
      <c r="T723" s="47" t="s">
        <v>13295</v>
      </c>
      <c r="U723" s="47"/>
    </row>
    <row r="724" spans="1:21" x14ac:dyDescent="0.3">
      <c r="A724" s="46">
        <v>728</v>
      </c>
      <c r="B724" s="47" t="s">
        <v>13291</v>
      </c>
      <c r="C724" s="47" t="s">
        <v>13291</v>
      </c>
      <c r="D724" s="47" t="s">
        <v>13291</v>
      </c>
      <c r="E724" s="47" t="s">
        <v>13291</v>
      </c>
      <c r="F724" s="47" t="s">
        <v>13291</v>
      </c>
      <c r="G724" s="47" t="s">
        <v>13291</v>
      </c>
      <c r="H724" s="158">
        <v>1728</v>
      </c>
      <c r="I724" s="156" t="s">
        <v>11073</v>
      </c>
      <c r="J724" s="156" t="s">
        <v>11912</v>
      </c>
      <c r="K724" s="47"/>
      <c r="L724" s="47"/>
      <c r="M724" s="47"/>
      <c r="N724" s="156"/>
      <c r="O724" s="156" t="s">
        <v>157</v>
      </c>
      <c r="P724" s="47"/>
      <c r="Q724" s="47"/>
      <c r="R724" s="47"/>
      <c r="S724" s="47" t="s">
        <v>13292</v>
      </c>
      <c r="T724" s="47" t="s">
        <v>13295</v>
      </c>
      <c r="U724" s="47"/>
    </row>
    <row r="725" spans="1:21" x14ac:dyDescent="0.3">
      <c r="A725" s="46">
        <v>729</v>
      </c>
      <c r="B725" s="47" t="s">
        <v>13291</v>
      </c>
      <c r="C725" s="47" t="s">
        <v>13291</v>
      </c>
      <c r="D725" s="47" t="s">
        <v>13291</v>
      </c>
      <c r="E725" s="47" t="s">
        <v>13291</v>
      </c>
      <c r="F725" s="47" t="s">
        <v>13291</v>
      </c>
      <c r="G725" s="47" t="s">
        <v>13291</v>
      </c>
      <c r="H725" s="158">
        <v>1729</v>
      </c>
      <c r="I725" s="156" t="s">
        <v>11126</v>
      </c>
      <c r="J725" s="156" t="s">
        <v>12011</v>
      </c>
      <c r="K725" s="47"/>
      <c r="L725" s="47"/>
      <c r="M725" s="47"/>
      <c r="N725" s="156"/>
      <c r="O725" s="156" t="s">
        <v>157</v>
      </c>
      <c r="P725" s="47"/>
      <c r="Q725" s="47"/>
      <c r="R725" s="47"/>
      <c r="S725" s="47" t="s">
        <v>13292</v>
      </c>
      <c r="T725" s="47" t="s">
        <v>13295</v>
      </c>
      <c r="U725" s="47"/>
    </row>
    <row r="726" spans="1:21" x14ac:dyDescent="0.3">
      <c r="A726" s="46">
        <v>730</v>
      </c>
      <c r="B726" s="47" t="s">
        <v>13291</v>
      </c>
      <c r="C726" s="47" t="s">
        <v>13291</v>
      </c>
      <c r="D726" s="47" t="s">
        <v>13291</v>
      </c>
      <c r="E726" s="47" t="s">
        <v>13291</v>
      </c>
      <c r="F726" s="47" t="s">
        <v>13291</v>
      </c>
      <c r="G726" s="47" t="s">
        <v>13291</v>
      </c>
      <c r="H726" s="158">
        <v>1730</v>
      </c>
      <c r="I726" s="156" t="s">
        <v>11074</v>
      </c>
      <c r="J726" s="156" t="s">
        <v>11913</v>
      </c>
      <c r="K726" s="47"/>
      <c r="L726" s="47"/>
      <c r="M726" s="47"/>
      <c r="N726" s="156"/>
      <c r="O726" s="156" t="s">
        <v>157</v>
      </c>
      <c r="P726" s="47"/>
      <c r="Q726" s="47"/>
      <c r="R726" s="47"/>
      <c r="S726" s="47" t="s">
        <v>13292</v>
      </c>
      <c r="T726" s="47" t="s">
        <v>13295</v>
      </c>
      <c r="U726" s="47"/>
    </row>
    <row r="727" spans="1:21" x14ac:dyDescent="0.3">
      <c r="A727" s="46">
        <v>731</v>
      </c>
      <c r="B727" s="47" t="s">
        <v>13291</v>
      </c>
      <c r="C727" s="47" t="s">
        <v>13291</v>
      </c>
      <c r="D727" s="47" t="s">
        <v>13291</v>
      </c>
      <c r="E727" s="47" t="s">
        <v>13291</v>
      </c>
      <c r="F727" s="47" t="s">
        <v>13291</v>
      </c>
      <c r="G727" s="47" t="s">
        <v>13291</v>
      </c>
      <c r="H727" s="158">
        <v>1731</v>
      </c>
      <c r="I727" s="156" t="s">
        <v>5695</v>
      </c>
      <c r="J727" s="156" t="s">
        <v>11652</v>
      </c>
      <c r="K727" s="47"/>
      <c r="L727" s="47"/>
      <c r="M727" s="47"/>
      <c r="N727" s="156"/>
      <c r="O727" s="156" t="s">
        <v>157</v>
      </c>
      <c r="P727" s="47"/>
      <c r="Q727" s="47"/>
      <c r="R727" s="47"/>
      <c r="S727" s="47" t="s">
        <v>13292</v>
      </c>
      <c r="T727" s="47" t="s">
        <v>13295</v>
      </c>
      <c r="U727" s="47"/>
    </row>
    <row r="728" spans="1:21" x14ac:dyDescent="0.3">
      <c r="A728" s="46">
        <v>732</v>
      </c>
      <c r="B728" s="47" t="s">
        <v>13291</v>
      </c>
      <c r="C728" s="47" t="s">
        <v>13291</v>
      </c>
      <c r="D728" s="47" t="s">
        <v>13291</v>
      </c>
      <c r="E728" s="47" t="s">
        <v>13291</v>
      </c>
      <c r="F728" s="47" t="s">
        <v>13291</v>
      </c>
      <c r="G728" s="47" t="s">
        <v>13291</v>
      </c>
      <c r="H728" s="158">
        <v>1732</v>
      </c>
      <c r="I728" s="156" t="s">
        <v>5696</v>
      </c>
      <c r="J728" s="156" t="s">
        <v>11914</v>
      </c>
      <c r="K728" s="47"/>
      <c r="L728" s="47"/>
      <c r="M728" s="47"/>
      <c r="N728" s="156"/>
      <c r="O728" s="156" t="s">
        <v>157</v>
      </c>
      <c r="P728" s="47"/>
      <c r="Q728" s="47"/>
      <c r="R728" s="47"/>
      <c r="S728" s="47" t="s">
        <v>13292</v>
      </c>
      <c r="T728" s="47" t="s">
        <v>13295</v>
      </c>
      <c r="U728" s="47"/>
    </row>
    <row r="729" spans="1:21" x14ac:dyDescent="0.3">
      <c r="A729" s="46">
        <v>733</v>
      </c>
      <c r="B729" s="47" t="s">
        <v>13291</v>
      </c>
      <c r="C729" s="47" t="s">
        <v>13291</v>
      </c>
      <c r="D729" s="47" t="s">
        <v>13291</v>
      </c>
      <c r="E729" s="47" t="s">
        <v>13291</v>
      </c>
      <c r="F729" s="47" t="s">
        <v>13291</v>
      </c>
      <c r="G729" s="47" t="s">
        <v>13291</v>
      </c>
      <c r="H729" s="158">
        <v>1733</v>
      </c>
      <c r="I729" s="156" t="s">
        <v>11174</v>
      </c>
      <c r="J729" s="156" t="s">
        <v>12126</v>
      </c>
      <c r="K729" s="47"/>
      <c r="L729" s="47"/>
      <c r="M729" s="47"/>
      <c r="N729" s="156"/>
      <c r="O729" s="156" t="s">
        <v>157</v>
      </c>
      <c r="P729" s="47"/>
      <c r="Q729" s="47"/>
      <c r="R729" s="47"/>
      <c r="S729" s="47" t="s">
        <v>13292</v>
      </c>
      <c r="T729" s="47" t="s">
        <v>13295</v>
      </c>
      <c r="U729" s="47"/>
    </row>
    <row r="730" spans="1:21" x14ac:dyDescent="0.3">
      <c r="A730" s="46">
        <v>734</v>
      </c>
      <c r="B730" s="47" t="s">
        <v>13291</v>
      </c>
      <c r="C730" s="47" t="s">
        <v>13291</v>
      </c>
      <c r="D730" s="47" t="s">
        <v>13291</v>
      </c>
      <c r="E730" s="47" t="s">
        <v>13291</v>
      </c>
      <c r="F730" s="47" t="s">
        <v>13291</v>
      </c>
      <c r="G730" s="47" t="s">
        <v>13291</v>
      </c>
      <c r="H730" s="158">
        <v>1734</v>
      </c>
      <c r="I730" s="156" t="s">
        <v>5697</v>
      </c>
      <c r="J730" s="156" t="s">
        <v>12127</v>
      </c>
      <c r="K730" s="47"/>
      <c r="L730" s="47"/>
      <c r="M730" s="47"/>
      <c r="N730" s="156"/>
      <c r="O730" s="156" t="s">
        <v>157</v>
      </c>
      <c r="P730" s="47"/>
      <c r="Q730" s="47"/>
      <c r="R730" s="47"/>
      <c r="S730" s="47" t="s">
        <v>13292</v>
      </c>
      <c r="T730" s="47" t="s">
        <v>13295</v>
      </c>
      <c r="U730" s="47"/>
    </row>
    <row r="731" spans="1:21" x14ac:dyDescent="0.3">
      <c r="A731" s="46">
        <v>735</v>
      </c>
      <c r="B731" s="47" t="s">
        <v>13291</v>
      </c>
      <c r="C731" s="47" t="s">
        <v>13291</v>
      </c>
      <c r="D731" s="47" t="s">
        <v>13291</v>
      </c>
      <c r="E731" s="47" t="s">
        <v>13291</v>
      </c>
      <c r="F731" s="47" t="s">
        <v>13291</v>
      </c>
      <c r="G731" s="47" t="s">
        <v>13291</v>
      </c>
      <c r="H731" s="158">
        <v>1735</v>
      </c>
      <c r="I731" s="156" t="s">
        <v>11175</v>
      </c>
      <c r="J731" s="156" t="s">
        <v>12128</v>
      </c>
      <c r="K731" s="47"/>
      <c r="L731" s="47"/>
      <c r="M731" s="47"/>
      <c r="N731" s="156"/>
      <c r="O731" s="156" t="s">
        <v>157</v>
      </c>
      <c r="P731" s="47"/>
      <c r="Q731" s="47"/>
      <c r="R731" s="47"/>
      <c r="S731" s="47" t="s">
        <v>13292</v>
      </c>
      <c r="T731" s="47" t="s">
        <v>13295</v>
      </c>
      <c r="U731" s="47"/>
    </row>
    <row r="732" spans="1:21" x14ac:dyDescent="0.3">
      <c r="A732" s="46">
        <v>736</v>
      </c>
      <c r="B732" s="47" t="s">
        <v>13291</v>
      </c>
      <c r="C732" s="47" t="s">
        <v>13291</v>
      </c>
      <c r="D732" s="47" t="s">
        <v>13291</v>
      </c>
      <c r="E732" s="47" t="s">
        <v>13291</v>
      </c>
      <c r="F732" s="47" t="s">
        <v>13291</v>
      </c>
      <c r="G732" s="47" t="s">
        <v>13291</v>
      </c>
      <c r="H732" s="158">
        <v>1736</v>
      </c>
      <c r="I732" s="156" t="s">
        <v>11253</v>
      </c>
      <c r="J732" s="156" t="s">
        <v>12242</v>
      </c>
      <c r="K732" s="47"/>
      <c r="L732" s="47"/>
      <c r="M732" s="47"/>
      <c r="N732" s="156"/>
      <c r="O732" s="156" t="s">
        <v>157</v>
      </c>
      <c r="P732" s="47"/>
      <c r="Q732" s="47"/>
      <c r="R732" s="47"/>
      <c r="S732" s="47" t="s">
        <v>13292</v>
      </c>
      <c r="T732" s="47" t="s">
        <v>13295</v>
      </c>
      <c r="U732" s="47"/>
    </row>
    <row r="733" spans="1:21" x14ac:dyDescent="0.3">
      <c r="A733" s="46">
        <v>737</v>
      </c>
      <c r="B733" s="47" t="s">
        <v>13291</v>
      </c>
      <c r="C733" s="47" t="s">
        <v>13291</v>
      </c>
      <c r="D733" s="47" t="s">
        <v>13291</v>
      </c>
      <c r="E733" s="47" t="s">
        <v>13291</v>
      </c>
      <c r="F733" s="47" t="s">
        <v>13291</v>
      </c>
      <c r="G733" s="47" t="s">
        <v>13291</v>
      </c>
      <c r="H733" s="158">
        <v>1737</v>
      </c>
      <c r="I733" s="156" t="s">
        <v>11254</v>
      </c>
      <c r="J733" s="156" t="s">
        <v>12243</v>
      </c>
      <c r="K733" s="47"/>
      <c r="L733" s="47"/>
      <c r="M733" s="47"/>
      <c r="N733" s="156"/>
      <c r="O733" s="156" t="s">
        <v>157</v>
      </c>
      <c r="P733" s="47"/>
      <c r="Q733" s="47"/>
      <c r="R733" s="47"/>
      <c r="S733" s="47" t="s">
        <v>13292</v>
      </c>
      <c r="T733" s="47" t="s">
        <v>13295</v>
      </c>
      <c r="U733" s="47"/>
    </row>
    <row r="734" spans="1:21" x14ac:dyDescent="0.3">
      <c r="A734" s="46">
        <v>738</v>
      </c>
      <c r="B734" s="47" t="s">
        <v>13291</v>
      </c>
      <c r="C734" s="47" t="s">
        <v>13291</v>
      </c>
      <c r="D734" s="47" t="s">
        <v>13291</v>
      </c>
      <c r="E734" s="47" t="s">
        <v>13291</v>
      </c>
      <c r="F734" s="47" t="s">
        <v>13291</v>
      </c>
      <c r="G734" s="47" t="s">
        <v>13291</v>
      </c>
      <c r="H734" s="158">
        <v>1738</v>
      </c>
      <c r="I734" s="156" t="s">
        <v>11255</v>
      </c>
      <c r="J734" s="156" t="s">
        <v>12244</v>
      </c>
      <c r="K734" s="47"/>
      <c r="L734" s="47"/>
      <c r="M734" s="47"/>
      <c r="N734" s="156"/>
      <c r="O734" s="156" t="s">
        <v>157</v>
      </c>
      <c r="P734" s="47"/>
      <c r="Q734" s="47"/>
      <c r="R734" s="47"/>
      <c r="S734" s="47" t="s">
        <v>13292</v>
      </c>
      <c r="T734" s="47" t="s">
        <v>13295</v>
      </c>
      <c r="U734" s="47"/>
    </row>
    <row r="735" spans="1:21" x14ac:dyDescent="0.3">
      <c r="A735" s="46">
        <v>739</v>
      </c>
      <c r="B735" s="47" t="s">
        <v>13291</v>
      </c>
      <c r="C735" s="47" t="s">
        <v>13291</v>
      </c>
      <c r="D735" s="47" t="s">
        <v>13291</v>
      </c>
      <c r="E735" s="47" t="s">
        <v>13291</v>
      </c>
      <c r="F735" s="47" t="s">
        <v>13291</v>
      </c>
      <c r="G735" s="47" t="s">
        <v>13291</v>
      </c>
      <c r="H735" s="158">
        <v>1739</v>
      </c>
      <c r="I735" s="156" t="s">
        <v>11256</v>
      </c>
      <c r="J735" s="156" t="s">
        <v>12245</v>
      </c>
      <c r="K735" s="47"/>
      <c r="L735" s="47"/>
      <c r="M735" s="47"/>
      <c r="N735" s="156"/>
      <c r="O735" s="156" t="s">
        <v>157</v>
      </c>
      <c r="P735" s="47"/>
      <c r="Q735" s="47"/>
      <c r="R735" s="47"/>
      <c r="S735" s="47" t="s">
        <v>13292</v>
      </c>
      <c r="T735" s="47" t="s">
        <v>13295</v>
      </c>
      <c r="U735" s="47"/>
    </row>
    <row r="736" spans="1:21" x14ac:dyDescent="0.3">
      <c r="A736" s="46">
        <v>740</v>
      </c>
      <c r="B736" s="47" t="s">
        <v>13291</v>
      </c>
      <c r="C736" s="47" t="s">
        <v>13291</v>
      </c>
      <c r="D736" s="47" t="s">
        <v>13291</v>
      </c>
      <c r="E736" s="47" t="s">
        <v>13291</v>
      </c>
      <c r="F736" s="47" t="s">
        <v>13291</v>
      </c>
      <c r="G736" s="47" t="s">
        <v>13291</v>
      </c>
      <c r="H736" s="158">
        <v>1740</v>
      </c>
      <c r="I736" s="156" t="s">
        <v>11257</v>
      </c>
      <c r="J736" s="156" t="s">
        <v>12246</v>
      </c>
      <c r="K736" s="47"/>
      <c r="L736" s="47"/>
      <c r="M736" s="47"/>
      <c r="N736" s="156"/>
      <c r="O736" s="156" t="s">
        <v>157</v>
      </c>
      <c r="P736" s="47"/>
      <c r="Q736" s="47"/>
      <c r="R736" s="47"/>
      <c r="S736" s="47" t="s">
        <v>13292</v>
      </c>
      <c r="T736" s="47" t="s">
        <v>13295</v>
      </c>
      <c r="U736" s="47"/>
    </row>
    <row r="737" spans="1:21" x14ac:dyDescent="0.3">
      <c r="A737" s="46">
        <v>741</v>
      </c>
      <c r="B737" s="47" t="s">
        <v>13291</v>
      </c>
      <c r="C737" s="47" t="s">
        <v>13291</v>
      </c>
      <c r="D737" s="47" t="s">
        <v>13291</v>
      </c>
      <c r="E737" s="47" t="s">
        <v>13291</v>
      </c>
      <c r="F737" s="47" t="s">
        <v>13291</v>
      </c>
      <c r="G737" s="47" t="s">
        <v>13291</v>
      </c>
      <c r="H737" s="158">
        <v>1741</v>
      </c>
      <c r="I737" s="156" t="s">
        <v>11258</v>
      </c>
      <c r="J737" s="156" t="s">
        <v>12247</v>
      </c>
      <c r="K737" s="47"/>
      <c r="L737" s="47"/>
      <c r="M737" s="47"/>
      <c r="N737" s="156"/>
      <c r="O737" s="156" t="s">
        <v>157</v>
      </c>
      <c r="P737" s="47"/>
      <c r="Q737" s="47"/>
      <c r="R737" s="47"/>
      <c r="S737" s="47" t="s">
        <v>13292</v>
      </c>
      <c r="T737" s="47" t="s">
        <v>13295</v>
      </c>
      <c r="U737" s="47"/>
    </row>
    <row r="738" spans="1:21" x14ac:dyDescent="0.3">
      <c r="A738" s="46">
        <v>742</v>
      </c>
      <c r="B738" s="47" t="s">
        <v>13291</v>
      </c>
      <c r="C738" s="47" t="s">
        <v>13291</v>
      </c>
      <c r="D738" s="47" t="s">
        <v>13291</v>
      </c>
      <c r="E738" s="47" t="s">
        <v>13291</v>
      </c>
      <c r="F738" s="47" t="s">
        <v>13291</v>
      </c>
      <c r="G738" s="47" t="s">
        <v>13291</v>
      </c>
      <c r="H738" s="158">
        <v>1742</v>
      </c>
      <c r="I738" s="156" t="s">
        <v>11259</v>
      </c>
      <c r="J738" s="156" t="s">
        <v>12248</v>
      </c>
      <c r="K738" s="47"/>
      <c r="L738" s="47"/>
      <c r="M738" s="47"/>
      <c r="N738" s="156"/>
      <c r="O738" s="156" t="s">
        <v>157</v>
      </c>
      <c r="P738" s="47"/>
      <c r="Q738" s="47"/>
      <c r="R738" s="47"/>
      <c r="S738" s="47" t="s">
        <v>13292</v>
      </c>
      <c r="T738" s="47" t="s">
        <v>13295</v>
      </c>
      <c r="U738" s="47"/>
    </row>
    <row r="739" spans="1:21" x14ac:dyDescent="0.3">
      <c r="A739" s="46">
        <v>743</v>
      </c>
      <c r="B739" s="47" t="s">
        <v>13291</v>
      </c>
      <c r="C739" s="47" t="s">
        <v>13291</v>
      </c>
      <c r="D739" s="47" t="s">
        <v>13291</v>
      </c>
      <c r="E739" s="47" t="s">
        <v>13291</v>
      </c>
      <c r="F739" s="47" t="s">
        <v>13291</v>
      </c>
      <c r="G739" s="47" t="s">
        <v>13291</v>
      </c>
      <c r="H739" s="158">
        <v>1743</v>
      </c>
      <c r="I739" s="156" t="s">
        <v>11260</v>
      </c>
      <c r="J739" s="156" t="s">
        <v>12249</v>
      </c>
      <c r="K739" s="47"/>
      <c r="L739" s="47"/>
      <c r="M739" s="47"/>
      <c r="N739" s="156"/>
      <c r="O739" s="156" t="s">
        <v>157</v>
      </c>
      <c r="P739" s="47"/>
      <c r="Q739" s="47"/>
      <c r="R739" s="47"/>
      <c r="S739" s="47" t="s">
        <v>13292</v>
      </c>
      <c r="T739" s="47" t="s">
        <v>13295</v>
      </c>
      <c r="U739" s="47"/>
    </row>
    <row r="740" spans="1:21" x14ac:dyDescent="0.3">
      <c r="A740" s="46">
        <v>744</v>
      </c>
      <c r="B740" s="47" t="s">
        <v>13291</v>
      </c>
      <c r="C740" s="47" t="s">
        <v>13291</v>
      </c>
      <c r="D740" s="47" t="s">
        <v>13291</v>
      </c>
      <c r="E740" s="47" t="s">
        <v>13291</v>
      </c>
      <c r="F740" s="47" t="s">
        <v>13291</v>
      </c>
      <c r="G740" s="47" t="s">
        <v>13291</v>
      </c>
      <c r="H740" s="158">
        <v>1744</v>
      </c>
      <c r="I740" s="156" t="s">
        <v>5698</v>
      </c>
      <c r="J740" s="156" t="s">
        <v>12250</v>
      </c>
      <c r="K740" s="47"/>
      <c r="L740" s="47"/>
      <c r="M740" s="47"/>
      <c r="N740" s="156"/>
      <c r="O740" s="156" t="s">
        <v>157</v>
      </c>
      <c r="P740" s="47"/>
      <c r="Q740" s="47"/>
      <c r="R740" s="47"/>
      <c r="S740" s="47" t="s">
        <v>13292</v>
      </c>
      <c r="T740" s="47" t="s">
        <v>13295</v>
      </c>
      <c r="U740" s="47"/>
    </row>
    <row r="741" spans="1:21" x14ac:dyDescent="0.3">
      <c r="A741" s="46">
        <v>745</v>
      </c>
      <c r="B741" s="47" t="s">
        <v>13291</v>
      </c>
      <c r="C741" s="47" t="s">
        <v>13291</v>
      </c>
      <c r="D741" s="47" t="s">
        <v>13291</v>
      </c>
      <c r="E741" s="47" t="s">
        <v>13291</v>
      </c>
      <c r="F741" s="47" t="s">
        <v>13291</v>
      </c>
      <c r="G741" s="47" t="s">
        <v>13291</v>
      </c>
      <c r="H741" s="158">
        <v>1745</v>
      </c>
      <c r="I741" s="156" t="s">
        <v>11261</v>
      </c>
      <c r="J741" s="156" t="s">
        <v>12251</v>
      </c>
      <c r="K741" s="47"/>
      <c r="L741" s="47"/>
      <c r="M741" s="47"/>
      <c r="N741" s="156"/>
      <c r="O741" s="156" t="s">
        <v>157</v>
      </c>
      <c r="P741" s="47"/>
      <c r="Q741" s="47"/>
      <c r="R741" s="47"/>
      <c r="S741" s="47" t="s">
        <v>13292</v>
      </c>
      <c r="T741" s="47" t="s">
        <v>13295</v>
      </c>
      <c r="U741" s="47"/>
    </row>
    <row r="742" spans="1:21" x14ac:dyDescent="0.3">
      <c r="A742" s="46">
        <v>746</v>
      </c>
      <c r="B742" s="47" t="s">
        <v>13291</v>
      </c>
      <c r="C742" s="47" t="s">
        <v>13291</v>
      </c>
      <c r="D742" s="47" t="s">
        <v>13291</v>
      </c>
      <c r="E742" s="47" t="s">
        <v>13291</v>
      </c>
      <c r="F742" s="47" t="s">
        <v>13291</v>
      </c>
      <c r="G742" s="47" t="s">
        <v>13291</v>
      </c>
      <c r="H742" s="158">
        <v>1746</v>
      </c>
      <c r="I742" s="156" t="s">
        <v>11262</v>
      </c>
      <c r="J742" s="156" t="s">
        <v>12252</v>
      </c>
      <c r="K742" s="47"/>
      <c r="L742" s="47"/>
      <c r="M742" s="47"/>
      <c r="N742" s="156"/>
      <c r="O742" s="156" t="s">
        <v>157</v>
      </c>
      <c r="P742" s="47"/>
      <c r="Q742" s="47"/>
      <c r="R742" s="47"/>
      <c r="S742" s="47" t="s">
        <v>13292</v>
      </c>
      <c r="T742" s="47" t="s">
        <v>13295</v>
      </c>
      <c r="U742" s="47"/>
    </row>
    <row r="743" spans="1:21" x14ac:dyDescent="0.3">
      <c r="A743" s="46">
        <v>747</v>
      </c>
      <c r="B743" s="47" t="s">
        <v>13291</v>
      </c>
      <c r="C743" s="47" t="s">
        <v>13291</v>
      </c>
      <c r="D743" s="47" t="s">
        <v>13291</v>
      </c>
      <c r="E743" s="47" t="s">
        <v>13291</v>
      </c>
      <c r="F743" s="47" t="s">
        <v>13291</v>
      </c>
      <c r="G743" s="47" t="s">
        <v>13291</v>
      </c>
      <c r="H743" s="158">
        <v>1747</v>
      </c>
      <c r="I743" s="156" t="s">
        <v>11263</v>
      </c>
      <c r="J743" s="156" t="s">
        <v>12253</v>
      </c>
      <c r="K743" s="47"/>
      <c r="L743" s="47"/>
      <c r="M743" s="47"/>
      <c r="N743" s="156"/>
      <c r="O743" s="156" t="s">
        <v>157</v>
      </c>
      <c r="P743" s="47"/>
      <c r="Q743" s="47"/>
      <c r="R743" s="47"/>
      <c r="S743" s="47" t="s">
        <v>13292</v>
      </c>
      <c r="T743" s="47" t="s">
        <v>13295</v>
      </c>
      <c r="U743" s="47"/>
    </row>
    <row r="744" spans="1:21" x14ac:dyDescent="0.3">
      <c r="A744" s="46">
        <v>748</v>
      </c>
      <c r="B744" s="47" t="s">
        <v>13291</v>
      </c>
      <c r="C744" s="47" t="s">
        <v>13291</v>
      </c>
      <c r="D744" s="47" t="s">
        <v>13291</v>
      </c>
      <c r="E744" s="47" t="s">
        <v>13291</v>
      </c>
      <c r="F744" s="47" t="s">
        <v>13291</v>
      </c>
      <c r="G744" s="47" t="s">
        <v>13291</v>
      </c>
      <c r="H744" s="158">
        <v>1748</v>
      </c>
      <c r="I744" s="156" t="s">
        <v>11264</v>
      </c>
      <c r="J744" s="156" t="s">
        <v>12254</v>
      </c>
      <c r="K744" s="47"/>
      <c r="L744" s="47"/>
      <c r="M744" s="47"/>
      <c r="N744" s="156"/>
      <c r="O744" s="156" t="s">
        <v>157</v>
      </c>
      <c r="P744" s="47"/>
      <c r="Q744" s="47"/>
      <c r="R744" s="47"/>
      <c r="S744" s="47" t="s">
        <v>13292</v>
      </c>
      <c r="T744" s="47" t="s">
        <v>13295</v>
      </c>
      <c r="U744" s="47"/>
    </row>
    <row r="745" spans="1:21" x14ac:dyDescent="0.3">
      <c r="A745" s="46">
        <v>749</v>
      </c>
      <c r="B745" s="47" t="s">
        <v>13291</v>
      </c>
      <c r="C745" s="47" t="s">
        <v>13291</v>
      </c>
      <c r="D745" s="47" t="s">
        <v>13291</v>
      </c>
      <c r="E745" s="47" t="s">
        <v>13291</v>
      </c>
      <c r="F745" s="47" t="s">
        <v>13291</v>
      </c>
      <c r="G745" s="47" t="s">
        <v>13291</v>
      </c>
      <c r="H745" s="158">
        <v>1749</v>
      </c>
      <c r="I745" s="156" t="s">
        <v>11265</v>
      </c>
      <c r="J745" s="156" t="s">
        <v>12255</v>
      </c>
      <c r="K745" s="47"/>
      <c r="L745" s="47"/>
      <c r="M745" s="47"/>
      <c r="N745" s="156"/>
      <c r="O745" s="156" t="s">
        <v>157</v>
      </c>
      <c r="P745" s="47"/>
      <c r="Q745" s="47"/>
      <c r="R745" s="47"/>
      <c r="S745" s="47" t="s">
        <v>13292</v>
      </c>
      <c r="T745" s="47" t="s">
        <v>13295</v>
      </c>
      <c r="U745" s="47"/>
    </row>
    <row r="746" spans="1:21" x14ac:dyDescent="0.3">
      <c r="A746" s="46">
        <v>750</v>
      </c>
      <c r="B746" s="47" t="s">
        <v>13291</v>
      </c>
      <c r="C746" s="47" t="s">
        <v>13291</v>
      </c>
      <c r="D746" s="47" t="s">
        <v>13291</v>
      </c>
      <c r="E746" s="47" t="s">
        <v>13291</v>
      </c>
      <c r="F746" s="47" t="s">
        <v>13291</v>
      </c>
      <c r="G746" s="47" t="s">
        <v>13291</v>
      </c>
      <c r="H746" s="158">
        <v>1750</v>
      </c>
      <c r="I746" s="156" t="s">
        <v>11266</v>
      </c>
      <c r="J746" s="156" t="s">
        <v>12256</v>
      </c>
      <c r="K746" s="47"/>
      <c r="L746" s="47"/>
      <c r="M746" s="47"/>
      <c r="N746" s="156"/>
      <c r="O746" s="156" t="s">
        <v>157</v>
      </c>
      <c r="P746" s="47"/>
      <c r="Q746" s="47"/>
      <c r="R746" s="47"/>
      <c r="S746" s="47" t="s">
        <v>13292</v>
      </c>
      <c r="T746" s="47" t="s">
        <v>13295</v>
      </c>
      <c r="U746" s="47"/>
    </row>
    <row r="747" spans="1:21" x14ac:dyDescent="0.3">
      <c r="A747" s="46">
        <v>751</v>
      </c>
      <c r="B747" s="47" t="s">
        <v>13291</v>
      </c>
      <c r="C747" s="47" t="s">
        <v>13291</v>
      </c>
      <c r="D747" s="47" t="s">
        <v>13291</v>
      </c>
      <c r="E747" s="47" t="s">
        <v>13291</v>
      </c>
      <c r="F747" s="47" t="s">
        <v>13291</v>
      </c>
      <c r="G747" s="47" t="s">
        <v>13291</v>
      </c>
      <c r="H747" s="158">
        <v>1751</v>
      </c>
      <c r="I747" s="156" t="s">
        <v>11267</v>
      </c>
      <c r="J747" s="156" t="s">
        <v>12257</v>
      </c>
      <c r="K747" s="47"/>
      <c r="L747" s="47"/>
      <c r="M747" s="47"/>
      <c r="N747" s="156"/>
      <c r="O747" s="156" t="s">
        <v>157</v>
      </c>
      <c r="P747" s="47"/>
      <c r="Q747" s="47"/>
      <c r="R747" s="47"/>
      <c r="S747" s="47" t="s">
        <v>13292</v>
      </c>
      <c r="T747" s="47" t="s">
        <v>13295</v>
      </c>
      <c r="U747" s="47"/>
    </row>
    <row r="748" spans="1:21" x14ac:dyDescent="0.3">
      <c r="A748" s="46">
        <v>752</v>
      </c>
      <c r="B748" s="47" t="s">
        <v>13291</v>
      </c>
      <c r="C748" s="47" t="s">
        <v>13291</v>
      </c>
      <c r="D748" s="47" t="s">
        <v>13291</v>
      </c>
      <c r="E748" s="47" t="s">
        <v>13291</v>
      </c>
      <c r="F748" s="47" t="s">
        <v>13291</v>
      </c>
      <c r="G748" s="47" t="s">
        <v>13291</v>
      </c>
      <c r="H748" s="158">
        <v>1752</v>
      </c>
      <c r="I748" s="156" t="s">
        <v>11268</v>
      </c>
      <c r="J748" s="156" t="s">
        <v>12258</v>
      </c>
      <c r="K748" s="47"/>
      <c r="L748" s="47"/>
      <c r="M748" s="47"/>
      <c r="N748" s="156"/>
      <c r="O748" s="156" t="s">
        <v>157</v>
      </c>
      <c r="P748" s="47"/>
      <c r="Q748" s="47"/>
      <c r="R748" s="47"/>
      <c r="S748" s="47" t="s">
        <v>13292</v>
      </c>
      <c r="T748" s="47" t="s">
        <v>13295</v>
      </c>
      <c r="U748" s="47"/>
    </row>
    <row r="749" spans="1:21" x14ac:dyDescent="0.3">
      <c r="A749" s="46">
        <v>753</v>
      </c>
      <c r="B749" s="47" t="s">
        <v>13291</v>
      </c>
      <c r="C749" s="47" t="s">
        <v>13291</v>
      </c>
      <c r="D749" s="47" t="s">
        <v>13291</v>
      </c>
      <c r="E749" s="47" t="s">
        <v>13291</v>
      </c>
      <c r="F749" s="47" t="s">
        <v>13291</v>
      </c>
      <c r="G749" s="47" t="s">
        <v>13291</v>
      </c>
      <c r="H749" s="158">
        <v>1753</v>
      </c>
      <c r="I749" s="156" t="s">
        <v>5699</v>
      </c>
      <c r="J749" s="156" t="s">
        <v>12259</v>
      </c>
      <c r="K749" s="47"/>
      <c r="L749" s="47"/>
      <c r="M749" s="47"/>
      <c r="N749" s="156"/>
      <c r="O749" s="156" t="s">
        <v>157</v>
      </c>
      <c r="P749" s="47"/>
      <c r="Q749" s="47"/>
      <c r="R749" s="47"/>
      <c r="S749" s="47" t="s">
        <v>13292</v>
      </c>
      <c r="T749" s="47" t="s">
        <v>13295</v>
      </c>
      <c r="U749" s="47"/>
    </row>
    <row r="750" spans="1:21" x14ac:dyDescent="0.3">
      <c r="A750" s="46">
        <v>754</v>
      </c>
      <c r="B750" s="47" t="s">
        <v>13291</v>
      </c>
      <c r="C750" s="47" t="s">
        <v>13291</v>
      </c>
      <c r="D750" s="47" t="s">
        <v>13291</v>
      </c>
      <c r="E750" s="47" t="s">
        <v>13291</v>
      </c>
      <c r="F750" s="47" t="s">
        <v>13291</v>
      </c>
      <c r="G750" s="47" t="s">
        <v>13291</v>
      </c>
      <c r="H750" s="158">
        <v>1754</v>
      </c>
      <c r="I750" s="156" t="s">
        <v>5700</v>
      </c>
      <c r="J750" s="156" t="s">
        <v>12260</v>
      </c>
      <c r="K750" s="47"/>
      <c r="L750" s="47"/>
      <c r="M750" s="47"/>
      <c r="N750" s="156"/>
      <c r="O750" s="156" t="s">
        <v>157</v>
      </c>
      <c r="P750" s="47"/>
      <c r="Q750" s="47"/>
      <c r="R750" s="47"/>
      <c r="S750" s="47" t="s">
        <v>13292</v>
      </c>
      <c r="T750" s="47" t="s">
        <v>13295</v>
      </c>
      <c r="U750" s="47"/>
    </row>
    <row r="751" spans="1:21" x14ac:dyDescent="0.3">
      <c r="A751" s="46">
        <v>755</v>
      </c>
      <c r="B751" s="47" t="s">
        <v>13291</v>
      </c>
      <c r="C751" s="47" t="s">
        <v>13291</v>
      </c>
      <c r="D751" s="47" t="s">
        <v>13291</v>
      </c>
      <c r="E751" s="47" t="s">
        <v>13291</v>
      </c>
      <c r="F751" s="47" t="s">
        <v>13291</v>
      </c>
      <c r="G751" s="47" t="s">
        <v>13291</v>
      </c>
      <c r="H751" s="158">
        <v>1755</v>
      </c>
      <c r="I751" s="156" t="s">
        <v>5701</v>
      </c>
      <c r="J751" s="156" t="s">
        <v>12261</v>
      </c>
      <c r="K751" s="47"/>
      <c r="L751" s="47"/>
      <c r="M751" s="47"/>
      <c r="N751" s="156"/>
      <c r="O751" s="156" t="s">
        <v>157</v>
      </c>
      <c r="P751" s="47"/>
      <c r="Q751" s="47"/>
      <c r="R751" s="47"/>
      <c r="S751" s="47" t="s">
        <v>13292</v>
      </c>
      <c r="T751" s="47" t="s">
        <v>13295</v>
      </c>
      <c r="U751" s="47"/>
    </row>
    <row r="752" spans="1:21" x14ac:dyDescent="0.3">
      <c r="A752" s="46">
        <v>756</v>
      </c>
      <c r="B752" s="47" t="s">
        <v>13291</v>
      </c>
      <c r="C752" s="47" t="s">
        <v>13291</v>
      </c>
      <c r="D752" s="47" t="s">
        <v>13291</v>
      </c>
      <c r="E752" s="47" t="s">
        <v>13291</v>
      </c>
      <c r="F752" s="47" t="s">
        <v>13291</v>
      </c>
      <c r="G752" s="47" t="s">
        <v>13291</v>
      </c>
      <c r="H752" s="158">
        <v>1756</v>
      </c>
      <c r="I752" s="156" t="s">
        <v>11269</v>
      </c>
      <c r="J752" s="156" t="s">
        <v>12262</v>
      </c>
      <c r="K752" s="47"/>
      <c r="L752" s="47"/>
      <c r="M752" s="47"/>
      <c r="N752" s="156"/>
      <c r="O752" s="156" t="s">
        <v>157</v>
      </c>
      <c r="P752" s="47"/>
      <c r="Q752" s="47"/>
      <c r="R752" s="47"/>
      <c r="S752" s="47" t="s">
        <v>13292</v>
      </c>
      <c r="T752" s="47" t="s">
        <v>13295</v>
      </c>
      <c r="U752" s="47"/>
    </row>
    <row r="753" spans="1:21" x14ac:dyDescent="0.3">
      <c r="A753" s="46">
        <v>757</v>
      </c>
      <c r="B753" s="47" t="s">
        <v>13291</v>
      </c>
      <c r="C753" s="47" t="s">
        <v>13291</v>
      </c>
      <c r="D753" s="47" t="s">
        <v>13291</v>
      </c>
      <c r="E753" s="47" t="s">
        <v>13291</v>
      </c>
      <c r="F753" s="47" t="s">
        <v>13291</v>
      </c>
      <c r="G753" s="47" t="s">
        <v>13291</v>
      </c>
      <c r="H753" s="158">
        <v>1757</v>
      </c>
      <c r="I753" s="156" t="s">
        <v>5702</v>
      </c>
      <c r="J753" s="156" t="s">
        <v>12263</v>
      </c>
      <c r="K753" s="47"/>
      <c r="L753" s="47"/>
      <c r="M753" s="47"/>
      <c r="N753" s="156"/>
      <c r="O753" s="156" t="s">
        <v>157</v>
      </c>
      <c r="P753" s="47"/>
      <c r="Q753" s="47"/>
      <c r="R753" s="47"/>
      <c r="S753" s="47" t="s">
        <v>13292</v>
      </c>
      <c r="T753" s="47" t="s">
        <v>13295</v>
      </c>
      <c r="U753" s="47"/>
    </row>
    <row r="754" spans="1:21" x14ac:dyDescent="0.3">
      <c r="A754" s="46">
        <v>758</v>
      </c>
      <c r="B754" s="47" t="s">
        <v>13291</v>
      </c>
      <c r="C754" s="47" t="s">
        <v>13291</v>
      </c>
      <c r="D754" s="47" t="s">
        <v>13291</v>
      </c>
      <c r="E754" s="47" t="s">
        <v>13291</v>
      </c>
      <c r="F754" s="47" t="s">
        <v>13291</v>
      </c>
      <c r="G754" s="47" t="s">
        <v>13291</v>
      </c>
      <c r="H754" s="158">
        <v>1758</v>
      </c>
      <c r="I754" s="156" t="s">
        <v>11270</v>
      </c>
      <c r="J754" s="156" t="s">
        <v>12264</v>
      </c>
      <c r="K754" s="47"/>
      <c r="L754" s="47"/>
      <c r="M754" s="47"/>
      <c r="N754" s="156"/>
      <c r="O754" s="156" t="s">
        <v>157</v>
      </c>
      <c r="P754" s="47"/>
      <c r="Q754" s="47"/>
      <c r="R754" s="47"/>
      <c r="S754" s="47" t="s">
        <v>13292</v>
      </c>
      <c r="T754" s="47" t="s">
        <v>13295</v>
      </c>
      <c r="U754" s="47"/>
    </row>
    <row r="755" spans="1:21" x14ac:dyDescent="0.3">
      <c r="A755" s="46">
        <v>759</v>
      </c>
      <c r="B755" s="47" t="s">
        <v>13291</v>
      </c>
      <c r="C755" s="47" t="s">
        <v>13291</v>
      </c>
      <c r="D755" s="47" t="s">
        <v>13291</v>
      </c>
      <c r="E755" s="47" t="s">
        <v>13291</v>
      </c>
      <c r="F755" s="47" t="s">
        <v>13291</v>
      </c>
      <c r="G755" s="47" t="s">
        <v>13291</v>
      </c>
      <c r="H755" s="158">
        <v>1759</v>
      </c>
      <c r="I755" s="156" t="s">
        <v>11271</v>
      </c>
      <c r="J755" s="156" t="s">
        <v>12265</v>
      </c>
      <c r="K755" s="47"/>
      <c r="L755" s="47"/>
      <c r="M755" s="47"/>
      <c r="N755" s="156"/>
      <c r="O755" s="156" t="s">
        <v>157</v>
      </c>
      <c r="P755" s="47"/>
      <c r="Q755" s="47"/>
      <c r="R755" s="47"/>
      <c r="S755" s="47" t="s">
        <v>13292</v>
      </c>
      <c r="T755" s="47" t="s">
        <v>13295</v>
      </c>
      <c r="U755" s="47"/>
    </row>
    <row r="756" spans="1:21" x14ac:dyDescent="0.3">
      <c r="A756" s="46">
        <v>760</v>
      </c>
      <c r="B756" s="47" t="s">
        <v>13291</v>
      </c>
      <c r="C756" s="47" t="s">
        <v>13291</v>
      </c>
      <c r="D756" s="47" t="s">
        <v>13291</v>
      </c>
      <c r="E756" s="47" t="s">
        <v>13291</v>
      </c>
      <c r="F756" s="47" t="s">
        <v>13291</v>
      </c>
      <c r="G756" s="47" t="s">
        <v>13291</v>
      </c>
      <c r="H756" s="158">
        <v>1760</v>
      </c>
      <c r="I756" s="156" t="s">
        <v>11272</v>
      </c>
      <c r="J756" s="156" t="s">
        <v>12266</v>
      </c>
      <c r="K756" s="47"/>
      <c r="L756" s="47"/>
      <c r="M756" s="47"/>
      <c r="N756" s="156"/>
      <c r="O756" s="156" t="s">
        <v>157</v>
      </c>
      <c r="P756" s="47"/>
      <c r="Q756" s="47"/>
      <c r="R756" s="47"/>
      <c r="S756" s="47" t="s">
        <v>13292</v>
      </c>
      <c r="T756" s="47" t="s">
        <v>13295</v>
      </c>
      <c r="U756" s="47"/>
    </row>
    <row r="757" spans="1:21" x14ac:dyDescent="0.3">
      <c r="A757" s="46">
        <v>761</v>
      </c>
      <c r="B757" s="47" t="s">
        <v>13291</v>
      </c>
      <c r="C757" s="47" t="s">
        <v>13291</v>
      </c>
      <c r="D757" s="47" t="s">
        <v>13291</v>
      </c>
      <c r="E757" s="47" t="s">
        <v>13291</v>
      </c>
      <c r="F757" s="47" t="s">
        <v>13291</v>
      </c>
      <c r="G757" s="47" t="s">
        <v>13291</v>
      </c>
      <c r="H757" s="158">
        <v>1761</v>
      </c>
      <c r="I757" s="156" t="s">
        <v>11273</v>
      </c>
      <c r="J757" s="156" t="s">
        <v>12267</v>
      </c>
      <c r="K757" s="47"/>
      <c r="L757" s="47"/>
      <c r="M757" s="47"/>
      <c r="N757" s="156"/>
      <c r="O757" s="156" t="s">
        <v>157</v>
      </c>
      <c r="P757" s="47"/>
      <c r="Q757" s="47"/>
      <c r="R757" s="47"/>
      <c r="S757" s="47" t="s">
        <v>13292</v>
      </c>
      <c r="T757" s="47" t="s">
        <v>13295</v>
      </c>
      <c r="U757" s="47"/>
    </row>
    <row r="758" spans="1:21" x14ac:dyDescent="0.3">
      <c r="A758" s="46">
        <v>762</v>
      </c>
      <c r="B758" s="47" t="s">
        <v>13291</v>
      </c>
      <c r="C758" s="47" t="s">
        <v>13291</v>
      </c>
      <c r="D758" s="47" t="s">
        <v>13291</v>
      </c>
      <c r="E758" s="47" t="s">
        <v>13291</v>
      </c>
      <c r="F758" s="47" t="s">
        <v>13291</v>
      </c>
      <c r="G758" s="47" t="s">
        <v>13291</v>
      </c>
      <c r="H758" s="158">
        <v>1762</v>
      </c>
      <c r="I758" s="156" t="s">
        <v>11274</v>
      </c>
      <c r="J758" s="156" t="s">
        <v>12268</v>
      </c>
      <c r="K758" s="47"/>
      <c r="L758" s="47"/>
      <c r="M758" s="47"/>
      <c r="N758" s="156"/>
      <c r="O758" s="156" t="s">
        <v>157</v>
      </c>
      <c r="P758" s="47"/>
      <c r="Q758" s="47"/>
      <c r="R758" s="47"/>
      <c r="S758" s="47" t="s">
        <v>13292</v>
      </c>
      <c r="T758" s="47" t="s">
        <v>13295</v>
      </c>
      <c r="U758" s="47"/>
    </row>
    <row r="759" spans="1:21" x14ac:dyDescent="0.3">
      <c r="A759" s="46">
        <v>763</v>
      </c>
      <c r="B759" s="47" t="s">
        <v>13291</v>
      </c>
      <c r="C759" s="47" t="s">
        <v>13291</v>
      </c>
      <c r="D759" s="47" t="s">
        <v>13291</v>
      </c>
      <c r="E759" s="47" t="s">
        <v>13291</v>
      </c>
      <c r="F759" s="47" t="s">
        <v>13291</v>
      </c>
      <c r="G759" s="47" t="s">
        <v>13291</v>
      </c>
      <c r="H759" s="158">
        <v>1763</v>
      </c>
      <c r="I759" s="156" t="s">
        <v>5703</v>
      </c>
      <c r="J759" s="156" t="s">
        <v>12269</v>
      </c>
      <c r="K759" s="47"/>
      <c r="L759" s="47"/>
      <c r="M759" s="47"/>
      <c r="N759" s="156"/>
      <c r="O759" s="156" t="s">
        <v>157</v>
      </c>
      <c r="P759" s="47"/>
      <c r="Q759" s="47"/>
      <c r="R759" s="47"/>
      <c r="S759" s="47" t="s">
        <v>13292</v>
      </c>
      <c r="T759" s="47" t="s">
        <v>13295</v>
      </c>
      <c r="U759" s="47"/>
    </row>
    <row r="760" spans="1:21" x14ac:dyDescent="0.3">
      <c r="A760" s="46">
        <v>764</v>
      </c>
      <c r="B760" s="47" t="s">
        <v>13291</v>
      </c>
      <c r="C760" s="47" t="s">
        <v>13291</v>
      </c>
      <c r="D760" s="47" t="s">
        <v>13291</v>
      </c>
      <c r="E760" s="47" t="s">
        <v>13291</v>
      </c>
      <c r="F760" s="47" t="s">
        <v>13291</v>
      </c>
      <c r="G760" s="47" t="s">
        <v>13291</v>
      </c>
      <c r="H760" s="158">
        <v>1764</v>
      </c>
      <c r="I760" s="156" t="s">
        <v>11275</v>
      </c>
      <c r="J760" s="156" t="s">
        <v>12270</v>
      </c>
      <c r="K760" s="47"/>
      <c r="L760" s="47"/>
      <c r="M760" s="47"/>
      <c r="N760" s="156"/>
      <c r="O760" s="156" t="s">
        <v>157</v>
      </c>
      <c r="P760" s="47"/>
      <c r="Q760" s="47"/>
      <c r="R760" s="47"/>
      <c r="S760" s="47" t="s">
        <v>13292</v>
      </c>
      <c r="T760" s="47" t="s">
        <v>13295</v>
      </c>
      <c r="U760" s="47"/>
    </row>
    <row r="761" spans="1:21" x14ac:dyDescent="0.3">
      <c r="A761" s="46">
        <v>765</v>
      </c>
      <c r="B761" s="47" t="s">
        <v>13291</v>
      </c>
      <c r="C761" s="47" t="s">
        <v>13291</v>
      </c>
      <c r="D761" s="47" t="s">
        <v>13291</v>
      </c>
      <c r="E761" s="47" t="s">
        <v>13291</v>
      </c>
      <c r="F761" s="47" t="s">
        <v>13291</v>
      </c>
      <c r="G761" s="47" t="s">
        <v>13291</v>
      </c>
      <c r="H761" s="158">
        <v>1765</v>
      </c>
      <c r="I761" s="156" t="s">
        <v>5704</v>
      </c>
      <c r="J761" s="156" t="s">
        <v>12271</v>
      </c>
      <c r="K761" s="47"/>
      <c r="L761" s="47"/>
      <c r="M761" s="47"/>
      <c r="N761" s="156"/>
      <c r="O761" s="156" t="s">
        <v>157</v>
      </c>
      <c r="P761" s="47"/>
      <c r="Q761" s="47"/>
      <c r="R761" s="47"/>
      <c r="S761" s="47" t="s">
        <v>13292</v>
      </c>
      <c r="T761" s="47" t="s">
        <v>13295</v>
      </c>
      <c r="U761" s="47"/>
    </row>
    <row r="762" spans="1:21" x14ac:dyDescent="0.3">
      <c r="A762" s="46">
        <v>766</v>
      </c>
      <c r="B762" s="47" t="s">
        <v>13291</v>
      </c>
      <c r="C762" s="47" t="s">
        <v>13291</v>
      </c>
      <c r="D762" s="47" t="s">
        <v>13291</v>
      </c>
      <c r="E762" s="47" t="s">
        <v>13291</v>
      </c>
      <c r="F762" s="47" t="s">
        <v>13291</v>
      </c>
      <c r="G762" s="47" t="s">
        <v>13291</v>
      </c>
      <c r="H762" s="158">
        <v>1766</v>
      </c>
      <c r="I762" s="156" t="s">
        <v>5705</v>
      </c>
      <c r="J762" s="156" t="s">
        <v>12272</v>
      </c>
      <c r="K762" s="47"/>
      <c r="L762" s="47"/>
      <c r="M762" s="47"/>
      <c r="N762" s="156"/>
      <c r="O762" s="156" t="s">
        <v>157</v>
      </c>
      <c r="P762" s="47"/>
      <c r="Q762" s="47"/>
      <c r="R762" s="47"/>
      <c r="S762" s="47" t="s">
        <v>13292</v>
      </c>
      <c r="T762" s="47" t="s">
        <v>13295</v>
      </c>
      <c r="U762" s="47"/>
    </row>
    <row r="763" spans="1:21" x14ac:dyDescent="0.3">
      <c r="A763" s="46">
        <v>767</v>
      </c>
      <c r="B763" s="47" t="s">
        <v>13291</v>
      </c>
      <c r="C763" s="47" t="s">
        <v>13291</v>
      </c>
      <c r="D763" s="47" t="s">
        <v>13291</v>
      </c>
      <c r="E763" s="47" t="s">
        <v>13291</v>
      </c>
      <c r="F763" s="47" t="s">
        <v>13291</v>
      </c>
      <c r="G763" s="47" t="s">
        <v>13291</v>
      </c>
      <c r="H763" s="158">
        <v>1767</v>
      </c>
      <c r="I763" s="156" t="s">
        <v>11276</v>
      </c>
      <c r="J763" s="156" t="s">
        <v>12273</v>
      </c>
      <c r="K763" s="47"/>
      <c r="L763" s="47"/>
      <c r="M763" s="47"/>
      <c r="N763" s="156"/>
      <c r="O763" s="156" t="s">
        <v>157</v>
      </c>
      <c r="P763" s="47"/>
      <c r="Q763" s="47"/>
      <c r="R763" s="47"/>
      <c r="S763" s="47" t="s">
        <v>13292</v>
      </c>
      <c r="T763" s="47" t="s">
        <v>13295</v>
      </c>
      <c r="U763" s="47"/>
    </row>
    <row r="764" spans="1:21" x14ac:dyDescent="0.3">
      <c r="A764" s="46">
        <v>768</v>
      </c>
      <c r="B764" s="47" t="s">
        <v>13291</v>
      </c>
      <c r="C764" s="47" t="s">
        <v>13291</v>
      </c>
      <c r="D764" s="47" t="s">
        <v>13291</v>
      </c>
      <c r="E764" s="47" t="s">
        <v>13291</v>
      </c>
      <c r="F764" s="47" t="s">
        <v>13291</v>
      </c>
      <c r="G764" s="47" t="s">
        <v>13291</v>
      </c>
      <c r="H764" s="158">
        <v>1768</v>
      </c>
      <c r="I764" s="156" t="s">
        <v>11277</v>
      </c>
      <c r="J764" s="156" t="s">
        <v>12274</v>
      </c>
      <c r="K764" s="47"/>
      <c r="L764" s="47"/>
      <c r="M764" s="47"/>
      <c r="N764" s="156"/>
      <c r="O764" s="156" t="s">
        <v>157</v>
      </c>
      <c r="P764" s="47"/>
      <c r="Q764" s="47"/>
      <c r="R764" s="47"/>
      <c r="S764" s="47" t="s">
        <v>13292</v>
      </c>
      <c r="T764" s="47" t="s">
        <v>13295</v>
      </c>
      <c r="U764" s="47"/>
    </row>
    <row r="765" spans="1:21" x14ac:dyDescent="0.3">
      <c r="A765" s="46">
        <v>769</v>
      </c>
      <c r="B765" s="47" t="s">
        <v>13291</v>
      </c>
      <c r="C765" s="47" t="s">
        <v>13291</v>
      </c>
      <c r="D765" s="47" t="s">
        <v>13291</v>
      </c>
      <c r="E765" s="47" t="s">
        <v>13291</v>
      </c>
      <c r="F765" s="47" t="s">
        <v>13291</v>
      </c>
      <c r="G765" s="47" t="s">
        <v>13291</v>
      </c>
      <c r="H765" s="158">
        <v>1769</v>
      </c>
      <c r="I765" s="156" t="s">
        <v>5706</v>
      </c>
      <c r="J765" s="156" t="s">
        <v>12275</v>
      </c>
      <c r="K765" s="47"/>
      <c r="L765" s="47"/>
      <c r="M765" s="47"/>
      <c r="N765" s="156"/>
      <c r="O765" s="156" t="s">
        <v>157</v>
      </c>
      <c r="P765" s="47"/>
      <c r="Q765" s="47"/>
      <c r="R765" s="47"/>
      <c r="S765" s="47" t="s">
        <v>13292</v>
      </c>
      <c r="T765" s="47" t="s">
        <v>13295</v>
      </c>
      <c r="U765" s="47"/>
    </row>
    <row r="766" spans="1:21" x14ac:dyDescent="0.3">
      <c r="A766" s="46">
        <v>770</v>
      </c>
      <c r="B766" s="47" t="s">
        <v>13291</v>
      </c>
      <c r="C766" s="47" t="s">
        <v>13291</v>
      </c>
      <c r="D766" s="47" t="s">
        <v>13291</v>
      </c>
      <c r="E766" s="47" t="s">
        <v>13291</v>
      </c>
      <c r="F766" s="47" t="s">
        <v>13291</v>
      </c>
      <c r="G766" s="47" t="s">
        <v>13291</v>
      </c>
      <c r="H766" s="158">
        <v>1770</v>
      </c>
      <c r="I766" s="156" t="s">
        <v>5707</v>
      </c>
      <c r="J766" s="156" t="s">
        <v>12276</v>
      </c>
      <c r="K766" s="47"/>
      <c r="L766" s="47"/>
      <c r="M766" s="47"/>
      <c r="N766" s="156"/>
      <c r="O766" s="156" t="s">
        <v>157</v>
      </c>
      <c r="P766" s="47"/>
      <c r="Q766" s="47"/>
      <c r="R766" s="47"/>
      <c r="S766" s="47" t="s">
        <v>13292</v>
      </c>
      <c r="T766" s="47" t="s">
        <v>13295</v>
      </c>
      <c r="U766" s="47"/>
    </row>
    <row r="767" spans="1:21" x14ac:dyDescent="0.3">
      <c r="A767" s="46">
        <v>771</v>
      </c>
      <c r="B767" s="47" t="s">
        <v>13291</v>
      </c>
      <c r="C767" s="47" t="s">
        <v>13291</v>
      </c>
      <c r="D767" s="47" t="s">
        <v>13291</v>
      </c>
      <c r="E767" s="47" t="s">
        <v>13291</v>
      </c>
      <c r="F767" s="47" t="s">
        <v>13291</v>
      </c>
      <c r="G767" s="47" t="s">
        <v>13291</v>
      </c>
      <c r="H767" s="158">
        <v>1771</v>
      </c>
      <c r="I767" s="156" t="s">
        <v>5708</v>
      </c>
      <c r="J767" s="156" t="s">
        <v>11527</v>
      </c>
      <c r="K767" s="47"/>
      <c r="L767" s="47"/>
      <c r="M767" s="47"/>
      <c r="N767" s="156"/>
      <c r="O767" s="156" t="s">
        <v>157</v>
      </c>
      <c r="P767" s="47"/>
      <c r="Q767" s="47"/>
      <c r="R767" s="47"/>
      <c r="S767" s="47" t="s">
        <v>13292</v>
      </c>
      <c r="T767" s="47" t="s">
        <v>13295</v>
      </c>
      <c r="U767" s="47"/>
    </row>
    <row r="768" spans="1:21" x14ac:dyDescent="0.3">
      <c r="A768" s="46">
        <v>772</v>
      </c>
      <c r="B768" s="47" t="s">
        <v>13291</v>
      </c>
      <c r="C768" s="47" t="s">
        <v>13291</v>
      </c>
      <c r="D768" s="47" t="s">
        <v>13291</v>
      </c>
      <c r="E768" s="47" t="s">
        <v>13291</v>
      </c>
      <c r="F768" s="47" t="s">
        <v>13291</v>
      </c>
      <c r="G768" s="47" t="s">
        <v>13291</v>
      </c>
      <c r="H768" s="158">
        <v>1772</v>
      </c>
      <c r="I768" s="156" t="s">
        <v>5709</v>
      </c>
      <c r="J768" s="156" t="s">
        <v>11490</v>
      </c>
      <c r="K768" s="47"/>
      <c r="L768" s="47"/>
      <c r="M768" s="47"/>
      <c r="N768" s="156"/>
      <c r="O768" s="156" t="s">
        <v>157</v>
      </c>
      <c r="P768" s="47"/>
      <c r="Q768" s="47"/>
      <c r="R768" s="47"/>
      <c r="S768" s="47" t="s">
        <v>13292</v>
      </c>
      <c r="T768" s="47" t="s">
        <v>13295</v>
      </c>
      <c r="U768" s="47"/>
    </row>
    <row r="769" spans="1:21" x14ac:dyDescent="0.3">
      <c r="A769" s="46">
        <v>773</v>
      </c>
      <c r="B769" s="47" t="s">
        <v>13291</v>
      </c>
      <c r="C769" s="47" t="s">
        <v>13291</v>
      </c>
      <c r="D769" s="47" t="s">
        <v>13291</v>
      </c>
      <c r="E769" s="47" t="s">
        <v>13291</v>
      </c>
      <c r="F769" s="47" t="s">
        <v>13291</v>
      </c>
      <c r="G769" s="47" t="s">
        <v>13291</v>
      </c>
      <c r="H769" s="158">
        <v>1773</v>
      </c>
      <c r="I769" s="156" t="s">
        <v>5710</v>
      </c>
      <c r="J769" s="156" t="s">
        <v>11614</v>
      </c>
      <c r="K769" s="47"/>
      <c r="L769" s="47"/>
      <c r="M769" s="47"/>
      <c r="N769" s="156"/>
      <c r="O769" s="156" t="s">
        <v>157</v>
      </c>
      <c r="P769" s="47"/>
      <c r="Q769" s="47"/>
      <c r="R769" s="47"/>
      <c r="S769" s="47" t="s">
        <v>13292</v>
      </c>
      <c r="T769" s="47" t="s">
        <v>13295</v>
      </c>
      <c r="U769" s="47"/>
    </row>
    <row r="770" spans="1:21" x14ac:dyDescent="0.3">
      <c r="A770" s="46">
        <v>774</v>
      </c>
      <c r="B770" s="47" t="s">
        <v>13291</v>
      </c>
      <c r="C770" s="47" t="s">
        <v>13291</v>
      </c>
      <c r="D770" s="47" t="s">
        <v>13291</v>
      </c>
      <c r="E770" s="47" t="s">
        <v>13291</v>
      </c>
      <c r="F770" s="47" t="s">
        <v>13291</v>
      </c>
      <c r="G770" s="47" t="s">
        <v>13291</v>
      </c>
      <c r="H770" s="158">
        <v>1774</v>
      </c>
      <c r="I770" s="156" t="s">
        <v>5711</v>
      </c>
      <c r="J770" s="156" t="s">
        <v>11528</v>
      </c>
      <c r="K770" s="47"/>
      <c r="L770" s="47"/>
      <c r="M770" s="47"/>
      <c r="N770" s="156"/>
      <c r="O770" s="156" t="s">
        <v>157</v>
      </c>
      <c r="P770" s="47"/>
      <c r="Q770" s="47"/>
      <c r="R770" s="47"/>
      <c r="S770" s="47" t="s">
        <v>13292</v>
      </c>
      <c r="T770" s="47" t="s">
        <v>13295</v>
      </c>
      <c r="U770" s="47"/>
    </row>
    <row r="771" spans="1:21" x14ac:dyDescent="0.3">
      <c r="A771" s="46">
        <v>775</v>
      </c>
      <c r="B771" s="47" t="s">
        <v>13291</v>
      </c>
      <c r="C771" s="47" t="s">
        <v>13291</v>
      </c>
      <c r="D771" s="47" t="s">
        <v>13291</v>
      </c>
      <c r="E771" s="47" t="s">
        <v>13291</v>
      </c>
      <c r="F771" s="47" t="s">
        <v>13291</v>
      </c>
      <c r="G771" s="47" t="s">
        <v>13291</v>
      </c>
      <c r="H771" s="158">
        <v>1775</v>
      </c>
      <c r="I771" s="156" t="s">
        <v>5712</v>
      </c>
      <c r="J771" s="156" t="s">
        <v>11915</v>
      </c>
      <c r="K771" s="47"/>
      <c r="L771" s="47"/>
      <c r="M771" s="47"/>
      <c r="N771" s="156"/>
      <c r="O771" s="156" t="s">
        <v>157</v>
      </c>
      <c r="P771" s="47"/>
      <c r="Q771" s="47"/>
      <c r="R771" s="47"/>
      <c r="S771" s="47" t="s">
        <v>13292</v>
      </c>
      <c r="T771" s="47" t="s">
        <v>13295</v>
      </c>
      <c r="U771" s="47"/>
    </row>
    <row r="772" spans="1:21" x14ac:dyDescent="0.3">
      <c r="A772" s="46">
        <v>776</v>
      </c>
      <c r="B772" s="47" t="s">
        <v>13291</v>
      </c>
      <c r="C772" s="47" t="s">
        <v>13291</v>
      </c>
      <c r="D772" s="47" t="s">
        <v>13291</v>
      </c>
      <c r="E772" s="47" t="s">
        <v>13291</v>
      </c>
      <c r="F772" s="47" t="s">
        <v>13291</v>
      </c>
      <c r="G772" s="47" t="s">
        <v>13291</v>
      </c>
      <c r="H772" s="158">
        <v>1776</v>
      </c>
      <c r="I772" s="156" t="s">
        <v>5713</v>
      </c>
      <c r="J772" s="156" t="s">
        <v>11547</v>
      </c>
      <c r="K772" s="47"/>
      <c r="L772" s="47"/>
      <c r="M772" s="47"/>
      <c r="N772" s="156"/>
      <c r="O772" s="156" t="s">
        <v>157</v>
      </c>
      <c r="P772" s="47"/>
      <c r="Q772" s="47"/>
      <c r="R772" s="47"/>
      <c r="S772" s="47" t="s">
        <v>13292</v>
      </c>
      <c r="T772" s="47" t="s">
        <v>13295</v>
      </c>
      <c r="U772" s="47"/>
    </row>
    <row r="773" spans="1:21" x14ac:dyDescent="0.3">
      <c r="A773" s="46">
        <v>777</v>
      </c>
      <c r="B773" s="47" t="s">
        <v>13291</v>
      </c>
      <c r="C773" s="47" t="s">
        <v>13291</v>
      </c>
      <c r="D773" s="47" t="s">
        <v>13291</v>
      </c>
      <c r="E773" s="47" t="s">
        <v>13291</v>
      </c>
      <c r="F773" s="47" t="s">
        <v>13291</v>
      </c>
      <c r="G773" s="47" t="s">
        <v>13291</v>
      </c>
      <c r="H773" s="158">
        <v>1777</v>
      </c>
      <c r="I773" s="156" t="s">
        <v>5714</v>
      </c>
      <c r="J773" s="156" t="s">
        <v>11615</v>
      </c>
      <c r="K773" s="47"/>
      <c r="L773" s="47"/>
      <c r="M773" s="47"/>
      <c r="N773" s="156"/>
      <c r="O773" s="156" t="s">
        <v>157</v>
      </c>
      <c r="P773" s="47"/>
      <c r="Q773" s="47"/>
      <c r="R773" s="47"/>
      <c r="S773" s="47" t="s">
        <v>13292</v>
      </c>
      <c r="T773" s="47" t="s">
        <v>13295</v>
      </c>
      <c r="U773" s="47"/>
    </row>
    <row r="774" spans="1:21" x14ac:dyDescent="0.3">
      <c r="A774" s="46">
        <v>778</v>
      </c>
      <c r="B774" s="47" t="s">
        <v>13291</v>
      </c>
      <c r="C774" s="47" t="s">
        <v>13291</v>
      </c>
      <c r="D774" s="47" t="s">
        <v>13291</v>
      </c>
      <c r="E774" s="47" t="s">
        <v>13291</v>
      </c>
      <c r="F774" s="47" t="s">
        <v>13291</v>
      </c>
      <c r="G774" s="47" t="s">
        <v>13291</v>
      </c>
      <c r="H774" s="158">
        <v>1778</v>
      </c>
      <c r="I774" s="156" t="s">
        <v>5715</v>
      </c>
      <c r="J774" s="156" t="s">
        <v>12012</v>
      </c>
      <c r="K774" s="47"/>
      <c r="L774" s="47"/>
      <c r="M774" s="47"/>
      <c r="N774" s="156"/>
      <c r="O774" s="156" t="s">
        <v>157</v>
      </c>
      <c r="P774" s="47"/>
      <c r="Q774" s="47"/>
      <c r="R774" s="47"/>
      <c r="S774" s="47" t="s">
        <v>13292</v>
      </c>
      <c r="T774" s="47" t="s">
        <v>13295</v>
      </c>
      <c r="U774" s="47"/>
    </row>
    <row r="775" spans="1:21" x14ac:dyDescent="0.3">
      <c r="A775" s="46">
        <v>779</v>
      </c>
      <c r="B775" s="47" t="s">
        <v>13291</v>
      </c>
      <c r="C775" s="47" t="s">
        <v>13291</v>
      </c>
      <c r="D775" s="47" t="s">
        <v>13291</v>
      </c>
      <c r="E775" s="47" t="s">
        <v>13291</v>
      </c>
      <c r="F775" s="47" t="s">
        <v>13291</v>
      </c>
      <c r="G775" s="47" t="s">
        <v>13291</v>
      </c>
      <c r="H775" s="158">
        <v>1779</v>
      </c>
      <c r="I775" s="156" t="s">
        <v>5716</v>
      </c>
      <c r="J775" s="156" t="s">
        <v>12013</v>
      </c>
      <c r="K775" s="47"/>
      <c r="L775" s="47"/>
      <c r="M775" s="47"/>
      <c r="N775" s="156"/>
      <c r="O775" s="156" t="s">
        <v>157</v>
      </c>
      <c r="P775" s="47"/>
      <c r="Q775" s="47"/>
      <c r="R775" s="47"/>
      <c r="S775" s="47" t="s">
        <v>13292</v>
      </c>
      <c r="T775" s="47" t="s">
        <v>13295</v>
      </c>
      <c r="U775" s="47"/>
    </row>
    <row r="776" spans="1:21" x14ac:dyDescent="0.3">
      <c r="A776" s="46">
        <v>780</v>
      </c>
      <c r="B776" s="47" t="s">
        <v>13291</v>
      </c>
      <c r="C776" s="47" t="s">
        <v>13291</v>
      </c>
      <c r="D776" s="47" t="s">
        <v>13291</v>
      </c>
      <c r="E776" s="47" t="s">
        <v>13291</v>
      </c>
      <c r="F776" s="47" t="s">
        <v>13291</v>
      </c>
      <c r="G776" s="47" t="s">
        <v>13291</v>
      </c>
      <c r="H776" s="158">
        <v>1780</v>
      </c>
      <c r="I776" s="156" t="s">
        <v>11075</v>
      </c>
      <c r="J776" s="156" t="s">
        <v>11916</v>
      </c>
      <c r="K776" s="47"/>
      <c r="L776" s="47"/>
      <c r="M776" s="47"/>
      <c r="N776" s="156"/>
      <c r="O776" s="156" t="s">
        <v>157</v>
      </c>
      <c r="P776" s="47"/>
      <c r="Q776" s="47"/>
      <c r="R776" s="47"/>
      <c r="S776" s="47" t="s">
        <v>13292</v>
      </c>
      <c r="T776" s="47" t="s">
        <v>13295</v>
      </c>
      <c r="U776" s="47"/>
    </row>
    <row r="777" spans="1:21" x14ac:dyDescent="0.3">
      <c r="A777" s="46">
        <v>781</v>
      </c>
      <c r="B777" s="47" t="s">
        <v>13291</v>
      </c>
      <c r="C777" s="47" t="s">
        <v>13291</v>
      </c>
      <c r="D777" s="47" t="s">
        <v>13291</v>
      </c>
      <c r="E777" s="47" t="s">
        <v>13291</v>
      </c>
      <c r="F777" s="47" t="s">
        <v>13291</v>
      </c>
      <c r="G777" s="47" t="s">
        <v>13291</v>
      </c>
      <c r="H777" s="158">
        <v>1781</v>
      </c>
      <c r="I777" s="156" t="s">
        <v>5717</v>
      </c>
      <c r="J777" s="156" t="s">
        <v>12129</v>
      </c>
      <c r="K777" s="47"/>
      <c r="L777" s="47"/>
      <c r="M777" s="47"/>
      <c r="N777" s="156"/>
      <c r="O777" s="156" t="s">
        <v>157</v>
      </c>
      <c r="P777" s="47"/>
      <c r="Q777" s="47"/>
      <c r="R777" s="47"/>
      <c r="S777" s="47" t="s">
        <v>13292</v>
      </c>
      <c r="T777" s="47" t="s">
        <v>13295</v>
      </c>
      <c r="U777" s="47"/>
    </row>
    <row r="778" spans="1:21" x14ac:dyDescent="0.3">
      <c r="A778" s="46">
        <v>782</v>
      </c>
      <c r="B778" s="47" t="s">
        <v>13291</v>
      </c>
      <c r="C778" s="47" t="s">
        <v>13291</v>
      </c>
      <c r="D778" s="47" t="s">
        <v>13291</v>
      </c>
      <c r="E778" s="47" t="s">
        <v>13291</v>
      </c>
      <c r="F778" s="47" t="s">
        <v>13291</v>
      </c>
      <c r="G778" s="47" t="s">
        <v>13291</v>
      </c>
      <c r="H778" s="158">
        <v>1782</v>
      </c>
      <c r="I778" s="156" t="s">
        <v>5718</v>
      </c>
      <c r="J778" s="156" t="s">
        <v>11917</v>
      </c>
      <c r="K778" s="47"/>
      <c r="L778" s="47"/>
      <c r="M778" s="47"/>
      <c r="N778" s="156"/>
      <c r="O778" s="156" t="s">
        <v>157</v>
      </c>
      <c r="P778" s="47"/>
      <c r="Q778" s="47"/>
      <c r="R778" s="47"/>
      <c r="S778" s="47" t="s">
        <v>13292</v>
      </c>
      <c r="T778" s="47" t="s">
        <v>13295</v>
      </c>
      <c r="U778" s="47"/>
    </row>
    <row r="779" spans="1:21" x14ac:dyDescent="0.3">
      <c r="A779" s="46">
        <v>783</v>
      </c>
      <c r="B779" s="47" t="s">
        <v>13291</v>
      </c>
      <c r="C779" s="47" t="s">
        <v>13291</v>
      </c>
      <c r="D779" s="47" t="s">
        <v>13291</v>
      </c>
      <c r="E779" s="47" t="s">
        <v>13291</v>
      </c>
      <c r="F779" s="47" t="s">
        <v>13291</v>
      </c>
      <c r="G779" s="47" t="s">
        <v>13291</v>
      </c>
      <c r="H779" s="158">
        <v>1783</v>
      </c>
      <c r="I779" s="156" t="s">
        <v>11076</v>
      </c>
      <c r="J779" s="156" t="s">
        <v>11918</v>
      </c>
      <c r="K779" s="47"/>
      <c r="L779" s="47"/>
      <c r="M779" s="47"/>
      <c r="N779" s="156"/>
      <c r="O779" s="156" t="s">
        <v>157</v>
      </c>
      <c r="P779" s="47"/>
      <c r="Q779" s="47"/>
      <c r="R779" s="47"/>
      <c r="S779" s="47" t="s">
        <v>13292</v>
      </c>
      <c r="T779" s="47" t="s">
        <v>13295</v>
      </c>
      <c r="U779" s="47"/>
    </row>
    <row r="780" spans="1:21" x14ac:dyDescent="0.3">
      <c r="A780" s="46">
        <v>784</v>
      </c>
      <c r="B780" s="47" t="s">
        <v>13291</v>
      </c>
      <c r="C780" s="47" t="s">
        <v>13291</v>
      </c>
      <c r="D780" s="47" t="s">
        <v>13291</v>
      </c>
      <c r="E780" s="47" t="s">
        <v>13291</v>
      </c>
      <c r="F780" s="47" t="s">
        <v>13291</v>
      </c>
      <c r="G780" s="47" t="s">
        <v>13291</v>
      </c>
      <c r="H780" s="158">
        <v>1784</v>
      </c>
      <c r="I780" s="156" t="s">
        <v>5719</v>
      </c>
      <c r="J780" s="156" t="s">
        <v>11548</v>
      </c>
      <c r="K780" s="47"/>
      <c r="L780" s="47"/>
      <c r="M780" s="47"/>
      <c r="N780" s="156"/>
      <c r="O780" s="156" t="s">
        <v>157</v>
      </c>
      <c r="P780" s="47"/>
      <c r="Q780" s="47"/>
      <c r="R780" s="47"/>
      <c r="S780" s="47" t="s">
        <v>13292</v>
      </c>
      <c r="T780" s="47" t="s">
        <v>13295</v>
      </c>
      <c r="U780" s="47"/>
    </row>
    <row r="781" spans="1:21" x14ac:dyDescent="0.3">
      <c r="A781" s="46">
        <v>785</v>
      </c>
      <c r="B781" s="47" t="s">
        <v>13291</v>
      </c>
      <c r="C781" s="47" t="s">
        <v>13291</v>
      </c>
      <c r="D781" s="47" t="s">
        <v>13291</v>
      </c>
      <c r="E781" s="47" t="s">
        <v>13291</v>
      </c>
      <c r="F781" s="47" t="s">
        <v>13291</v>
      </c>
      <c r="G781" s="47" t="s">
        <v>13291</v>
      </c>
      <c r="H781" s="158">
        <v>1785</v>
      </c>
      <c r="I781" s="156" t="s">
        <v>5720</v>
      </c>
      <c r="J781" s="156" t="s">
        <v>11919</v>
      </c>
      <c r="K781" s="47"/>
      <c r="L781" s="47"/>
      <c r="M781" s="47"/>
      <c r="N781" s="156"/>
      <c r="O781" s="156" t="s">
        <v>157</v>
      </c>
      <c r="P781" s="47"/>
      <c r="Q781" s="47"/>
      <c r="R781" s="47"/>
      <c r="S781" s="47" t="s">
        <v>13292</v>
      </c>
      <c r="T781" s="47" t="s">
        <v>13295</v>
      </c>
      <c r="U781" s="47"/>
    </row>
    <row r="782" spans="1:21" x14ac:dyDescent="0.3">
      <c r="A782" s="46">
        <v>786</v>
      </c>
      <c r="B782" s="47" t="s">
        <v>13291</v>
      </c>
      <c r="C782" s="47" t="s">
        <v>13291</v>
      </c>
      <c r="D782" s="47" t="s">
        <v>13291</v>
      </c>
      <c r="E782" s="47" t="s">
        <v>13291</v>
      </c>
      <c r="F782" s="47" t="s">
        <v>13291</v>
      </c>
      <c r="G782" s="47" t="s">
        <v>13291</v>
      </c>
      <c r="H782" s="158">
        <v>1786</v>
      </c>
      <c r="I782" s="156" t="s">
        <v>5721</v>
      </c>
      <c r="J782" s="156" t="s">
        <v>11618</v>
      </c>
      <c r="K782" s="47"/>
      <c r="L782" s="47"/>
      <c r="M782" s="47"/>
      <c r="N782" s="156"/>
      <c r="O782" s="156" t="s">
        <v>157</v>
      </c>
      <c r="P782" s="47"/>
      <c r="Q782" s="47"/>
      <c r="R782" s="47"/>
      <c r="S782" s="47" t="s">
        <v>13292</v>
      </c>
      <c r="T782" s="47" t="s">
        <v>13295</v>
      </c>
      <c r="U782" s="47"/>
    </row>
    <row r="783" spans="1:21" x14ac:dyDescent="0.3">
      <c r="A783" s="46">
        <v>787</v>
      </c>
      <c r="B783" s="47" t="s">
        <v>13291</v>
      </c>
      <c r="C783" s="47" t="s">
        <v>13291</v>
      </c>
      <c r="D783" s="47" t="s">
        <v>13291</v>
      </c>
      <c r="E783" s="47" t="s">
        <v>13291</v>
      </c>
      <c r="F783" s="47" t="s">
        <v>13291</v>
      </c>
      <c r="G783" s="47" t="s">
        <v>13291</v>
      </c>
      <c r="H783" s="158">
        <v>1787</v>
      </c>
      <c r="I783" s="156" t="s">
        <v>5722</v>
      </c>
      <c r="J783" s="156" t="s">
        <v>11616</v>
      </c>
      <c r="K783" s="47"/>
      <c r="L783" s="47"/>
      <c r="M783" s="47"/>
      <c r="N783" s="156"/>
      <c r="O783" s="156" t="s">
        <v>157</v>
      </c>
      <c r="P783" s="47"/>
      <c r="Q783" s="47"/>
      <c r="R783" s="47"/>
      <c r="S783" s="47" t="s">
        <v>13292</v>
      </c>
      <c r="T783" s="47" t="s">
        <v>13295</v>
      </c>
      <c r="U783" s="47"/>
    </row>
    <row r="784" spans="1:21" x14ac:dyDescent="0.3">
      <c r="A784" s="46">
        <v>788</v>
      </c>
      <c r="B784" s="47" t="s">
        <v>13291</v>
      </c>
      <c r="C784" s="47" t="s">
        <v>13291</v>
      </c>
      <c r="D784" s="47" t="s">
        <v>13291</v>
      </c>
      <c r="E784" s="47" t="s">
        <v>13291</v>
      </c>
      <c r="F784" s="47" t="s">
        <v>13291</v>
      </c>
      <c r="G784" s="47" t="s">
        <v>13291</v>
      </c>
      <c r="H784" s="158">
        <v>1788</v>
      </c>
      <c r="I784" s="156" t="s">
        <v>5723</v>
      </c>
      <c r="J784" s="156" t="s">
        <v>11617</v>
      </c>
      <c r="K784" s="47"/>
      <c r="L784" s="47"/>
      <c r="M784" s="47"/>
      <c r="N784" s="156"/>
      <c r="O784" s="156" t="s">
        <v>157</v>
      </c>
      <c r="P784" s="47"/>
      <c r="Q784" s="47"/>
      <c r="R784" s="47"/>
      <c r="S784" s="47" t="s">
        <v>13292</v>
      </c>
      <c r="T784" s="47" t="s">
        <v>13295</v>
      </c>
      <c r="U784" s="47"/>
    </row>
    <row r="785" spans="1:21" x14ac:dyDescent="0.3">
      <c r="A785" s="46">
        <v>789</v>
      </c>
      <c r="B785" s="47" t="s">
        <v>13291</v>
      </c>
      <c r="C785" s="47" t="s">
        <v>13291</v>
      </c>
      <c r="D785" s="47" t="s">
        <v>13291</v>
      </c>
      <c r="E785" s="47" t="s">
        <v>13291</v>
      </c>
      <c r="F785" s="47" t="s">
        <v>13291</v>
      </c>
      <c r="G785" s="47" t="s">
        <v>13291</v>
      </c>
      <c r="H785" s="158">
        <v>1789</v>
      </c>
      <c r="I785" s="156" t="s">
        <v>11176</v>
      </c>
      <c r="J785" s="156" t="s">
        <v>12130</v>
      </c>
      <c r="K785" s="47"/>
      <c r="L785" s="47"/>
      <c r="M785" s="47"/>
      <c r="N785" s="156"/>
      <c r="O785" s="156" t="s">
        <v>157</v>
      </c>
      <c r="P785" s="47"/>
      <c r="Q785" s="47"/>
      <c r="R785" s="47"/>
      <c r="S785" s="47" t="s">
        <v>13292</v>
      </c>
      <c r="T785" s="47" t="s">
        <v>13295</v>
      </c>
      <c r="U785" s="47"/>
    </row>
    <row r="786" spans="1:21" x14ac:dyDescent="0.3">
      <c r="A786" s="46">
        <v>790</v>
      </c>
      <c r="B786" s="47" t="s">
        <v>13291</v>
      </c>
      <c r="C786" s="47" t="s">
        <v>13291</v>
      </c>
      <c r="D786" s="47" t="s">
        <v>13291</v>
      </c>
      <c r="E786" s="47" t="s">
        <v>13291</v>
      </c>
      <c r="F786" s="47" t="s">
        <v>13291</v>
      </c>
      <c r="G786" s="47" t="s">
        <v>13291</v>
      </c>
      <c r="H786" s="158">
        <v>1790</v>
      </c>
      <c r="I786" s="156" t="s">
        <v>11177</v>
      </c>
      <c r="J786" s="156" t="s">
        <v>12131</v>
      </c>
      <c r="K786" s="47"/>
      <c r="L786" s="47"/>
      <c r="M786" s="47"/>
      <c r="N786" s="156"/>
      <c r="O786" s="156" t="s">
        <v>157</v>
      </c>
      <c r="P786" s="47"/>
      <c r="Q786" s="47"/>
      <c r="R786" s="47"/>
      <c r="S786" s="47" t="s">
        <v>13292</v>
      </c>
      <c r="T786" s="47" t="s">
        <v>13295</v>
      </c>
      <c r="U786" s="47"/>
    </row>
    <row r="787" spans="1:21" x14ac:dyDescent="0.3">
      <c r="A787" s="46">
        <v>791</v>
      </c>
      <c r="B787" s="47" t="s">
        <v>13291</v>
      </c>
      <c r="C787" s="47" t="s">
        <v>13291</v>
      </c>
      <c r="D787" s="47" t="s">
        <v>13291</v>
      </c>
      <c r="E787" s="47" t="s">
        <v>13291</v>
      </c>
      <c r="F787" s="47" t="s">
        <v>13291</v>
      </c>
      <c r="G787" s="47" t="s">
        <v>13291</v>
      </c>
      <c r="H787" s="158">
        <v>1791</v>
      </c>
      <c r="I787" s="156" t="s">
        <v>11077</v>
      </c>
      <c r="J787" s="156" t="s">
        <v>11920</v>
      </c>
      <c r="K787" s="47"/>
      <c r="L787" s="47"/>
      <c r="M787" s="47"/>
      <c r="N787" s="156"/>
      <c r="O787" s="156" t="s">
        <v>157</v>
      </c>
      <c r="P787" s="47"/>
      <c r="Q787" s="47"/>
      <c r="R787" s="47"/>
      <c r="S787" s="47" t="s">
        <v>13292</v>
      </c>
      <c r="T787" s="47" t="s">
        <v>13295</v>
      </c>
      <c r="U787" s="47"/>
    </row>
    <row r="788" spans="1:21" x14ac:dyDescent="0.3">
      <c r="A788" s="46">
        <v>792</v>
      </c>
      <c r="B788" s="47" t="s">
        <v>13291</v>
      </c>
      <c r="C788" s="47" t="s">
        <v>13291</v>
      </c>
      <c r="D788" s="47" t="s">
        <v>13291</v>
      </c>
      <c r="E788" s="47" t="s">
        <v>13291</v>
      </c>
      <c r="F788" s="47" t="s">
        <v>13291</v>
      </c>
      <c r="G788" s="47" t="s">
        <v>13291</v>
      </c>
      <c r="H788" s="158">
        <v>1792</v>
      </c>
      <c r="I788" s="156" t="s">
        <v>5724</v>
      </c>
      <c r="J788" s="156" t="s">
        <v>11921</v>
      </c>
      <c r="K788" s="47"/>
      <c r="L788" s="47"/>
      <c r="M788" s="47"/>
      <c r="N788" s="156"/>
      <c r="O788" s="156" t="s">
        <v>157</v>
      </c>
      <c r="P788" s="47"/>
      <c r="Q788" s="47"/>
      <c r="R788" s="47"/>
      <c r="S788" s="47" t="s">
        <v>13292</v>
      </c>
      <c r="T788" s="47" t="s">
        <v>13295</v>
      </c>
      <c r="U788" s="47"/>
    </row>
    <row r="789" spans="1:21" x14ac:dyDescent="0.3">
      <c r="A789" s="46">
        <v>793</v>
      </c>
      <c r="B789" s="47" t="s">
        <v>13291</v>
      </c>
      <c r="C789" s="47" t="s">
        <v>13291</v>
      </c>
      <c r="D789" s="47" t="s">
        <v>13291</v>
      </c>
      <c r="E789" s="47" t="s">
        <v>13291</v>
      </c>
      <c r="F789" s="47" t="s">
        <v>13291</v>
      </c>
      <c r="G789" s="47" t="s">
        <v>13291</v>
      </c>
      <c r="H789" s="158">
        <v>1793</v>
      </c>
      <c r="I789" s="156" t="s">
        <v>5725</v>
      </c>
      <c r="J789" s="156" t="s">
        <v>11653</v>
      </c>
      <c r="K789" s="47"/>
      <c r="L789" s="47"/>
      <c r="M789" s="47"/>
      <c r="N789" s="156"/>
      <c r="O789" s="156" t="s">
        <v>157</v>
      </c>
      <c r="P789" s="47"/>
      <c r="Q789" s="47"/>
      <c r="R789" s="47"/>
      <c r="S789" s="47" t="s">
        <v>13292</v>
      </c>
      <c r="T789" s="47" t="s">
        <v>13295</v>
      </c>
      <c r="U789" s="47"/>
    </row>
    <row r="790" spans="1:21" x14ac:dyDescent="0.3">
      <c r="A790" s="46">
        <v>794</v>
      </c>
      <c r="B790" s="47" t="s">
        <v>13291</v>
      </c>
      <c r="C790" s="47" t="s">
        <v>13291</v>
      </c>
      <c r="D790" s="47" t="s">
        <v>13291</v>
      </c>
      <c r="E790" s="47" t="s">
        <v>13291</v>
      </c>
      <c r="F790" s="47" t="s">
        <v>13291</v>
      </c>
      <c r="G790" s="47" t="s">
        <v>13291</v>
      </c>
      <c r="H790" s="158">
        <v>1794</v>
      </c>
      <c r="I790" s="156" t="s">
        <v>11078</v>
      </c>
      <c r="J790" s="156" t="s">
        <v>11922</v>
      </c>
      <c r="K790" s="47"/>
      <c r="L790" s="47"/>
      <c r="M790" s="47"/>
      <c r="N790" s="156"/>
      <c r="O790" s="156" t="s">
        <v>157</v>
      </c>
      <c r="P790" s="47"/>
      <c r="Q790" s="47"/>
      <c r="R790" s="47"/>
      <c r="S790" s="47" t="s">
        <v>13292</v>
      </c>
      <c r="T790" s="47" t="s">
        <v>13295</v>
      </c>
      <c r="U790" s="47"/>
    </row>
    <row r="791" spans="1:21" x14ac:dyDescent="0.3">
      <c r="A791" s="46">
        <v>795</v>
      </c>
      <c r="B791" s="47" t="s">
        <v>13291</v>
      </c>
      <c r="C791" s="47" t="s">
        <v>13291</v>
      </c>
      <c r="D791" s="47" t="s">
        <v>13291</v>
      </c>
      <c r="E791" s="47" t="s">
        <v>13291</v>
      </c>
      <c r="F791" s="47" t="s">
        <v>13291</v>
      </c>
      <c r="G791" s="47" t="s">
        <v>13291</v>
      </c>
      <c r="H791" s="158">
        <v>1795</v>
      </c>
      <c r="I791" s="156" t="s">
        <v>11079</v>
      </c>
      <c r="J791" s="156" t="s">
        <v>11923</v>
      </c>
      <c r="K791" s="47"/>
      <c r="L791" s="47"/>
      <c r="M791" s="47"/>
      <c r="N791" s="156"/>
      <c r="O791" s="156" t="s">
        <v>157</v>
      </c>
      <c r="P791" s="47"/>
      <c r="Q791" s="47"/>
      <c r="R791" s="47"/>
      <c r="S791" s="47" t="s">
        <v>13292</v>
      </c>
      <c r="T791" s="47" t="s">
        <v>13295</v>
      </c>
      <c r="U791" s="47"/>
    </row>
    <row r="792" spans="1:21" x14ac:dyDescent="0.3">
      <c r="A792" s="46">
        <v>796</v>
      </c>
      <c r="B792" s="47" t="s">
        <v>13291</v>
      </c>
      <c r="C792" s="47" t="s">
        <v>13291</v>
      </c>
      <c r="D792" s="47" t="s">
        <v>13291</v>
      </c>
      <c r="E792" s="47" t="s">
        <v>13291</v>
      </c>
      <c r="F792" s="47" t="s">
        <v>13291</v>
      </c>
      <c r="G792" s="47" t="s">
        <v>13291</v>
      </c>
      <c r="H792" s="158">
        <v>1796</v>
      </c>
      <c r="I792" s="156" t="s">
        <v>11080</v>
      </c>
      <c r="J792" s="156" t="s">
        <v>11924</v>
      </c>
      <c r="K792" s="47"/>
      <c r="L792" s="47"/>
      <c r="M792" s="47"/>
      <c r="N792" s="156"/>
      <c r="O792" s="156" t="s">
        <v>157</v>
      </c>
      <c r="P792" s="47"/>
      <c r="Q792" s="47"/>
      <c r="R792" s="47"/>
      <c r="S792" s="47" t="s">
        <v>13292</v>
      </c>
      <c r="T792" s="47" t="s">
        <v>13295</v>
      </c>
      <c r="U792" s="47"/>
    </row>
    <row r="793" spans="1:21" x14ac:dyDescent="0.3">
      <c r="A793" s="46">
        <v>797</v>
      </c>
      <c r="B793" s="47" t="s">
        <v>13291</v>
      </c>
      <c r="C793" s="47" t="s">
        <v>13291</v>
      </c>
      <c r="D793" s="47" t="s">
        <v>13291</v>
      </c>
      <c r="E793" s="47" t="s">
        <v>13291</v>
      </c>
      <c r="F793" s="47" t="s">
        <v>13291</v>
      </c>
      <c r="G793" s="47" t="s">
        <v>13291</v>
      </c>
      <c r="H793" s="158">
        <v>1797</v>
      </c>
      <c r="I793" s="156" t="s">
        <v>11081</v>
      </c>
      <c r="J793" s="156" t="s">
        <v>11925</v>
      </c>
      <c r="K793" s="47"/>
      <c r="L793" s="47"/>
      <c r="M793" s="47"/>
      <c r="N793" s="156"/>
      <c r="O793" s="156" t="s">
        <v>157</v>
      </c>
      <c r="P793" s="47"/>
      <c r="Q793" s="47"/>
      <c r="R793" s="47"/>
      <c r="S793" s="47" t="s">
        <v>13292</v>
      </c>
      <c r="T793" s="47" t="s">
        <v>13295</v>
      </c>
      <c r="U793" s="47"/>
    </row>
    <row r="794" spans="1:21" x14ac:dyDescent="0.3">
      <c r="A794" s="46">
        <v>798</v>
      </c>
      <c r="B794" s="47" t="s">
        <v>13291</v>
      </c>
      <c r="C794" s="47" t="s">
        <v>13291</v>
      </c>
      <c r="D794" s="47" t="s">
        <v>13291</v>
      </c>
      <c r="E794" s="47" t="s">
        <v>13291</v>
      </c>
      <c r="F794" s="47" t="s">
        <v>13291</v>
      </c>
      <c r="G794" s="47" t="s">
        <v>13291</v>
      </c>
      <c r="H794" s="158">
        <v>1798</v>
      </c>
      <c r="I794" s="156" t="s">
        <v>11082</v>
      </c>
      <c r="J794" s="156" t="s">
        <v>11926</v>
      </c>
      <c r="K794" s="47"/>
      <c r="L794" s="47"/>
      <c r="M794" s="47"/>
      <c r="N794" s="156"/>
      <c r="O794" s="156" t="s">
        <v>157</v>
      </c>
      <c r="P794" s="47"/>
      <c r="Q794" s="47"/>
      <c r="R794" s="47"/>
      <c r="S794" s="47" t="s">
        <v>13292</v>
      </c>
      <c r="T794" s="47" t="s">
        <v>13295</v>
      </c>
      <c r="U794" s="47"/>
    </row>
    <row r="795" spans="1:21" x14ac:dyDescent="0.3">
      <c r="A795" s="46">
        <v>799</v>
      </c>
      <c r="B795" s="47" t="s">
        <v>13291</v>
      </c>
      <c r="C795" s="47" t="s">
        <v>13291</v>
      </c>
      <c r="D795" s="47" t="s">
        <v>13291</v>
      </c>
      <c r="E795" s="47" t="s">
        <v>13291</v>
      </c>
      <c r="F795" s="47" t="s">
        <v>13291</v>
      </c>
      <c r="G795" s="47" t="s">
        <v>13291</v>
      </c>
      <c r="H795" s="158">
        <v>1799</v>
      </c>
      <c r="I795" s="156" t="s">
        <v>11083</v>
      </c>
      <c r="J795" s="156" t="s">
        <v>11927</v>
      </c>
      <c r="K795" s="47"/>
      <c r="L795" s="47"/>
      <c r="M795" s="47"/>
      <c r="N795" s="156"/>
      <c r="O795" s="156" t="s">
        <v>157</v>
      </c>
      <c r="P795" s="47"/>
      <c r="Q795" s="47"/>
      <c r="R795" s="47"/>
      <c r="S795" s="47" t="s">
        <v>13292</v>
      </c>
      <c r="T795" s="47" t="s">
        <v>13295</v>
      </c>
      <c r="U795" s="47"/>
    </row>
    <row r="796" spans="1:21" x14ac:dyDescent="0.3">
      <c r="A796" s="46">
        <v>800</v>
      </c>
      <c r="B796" s="47" t="s">
        <v>13291</v>
      </c>
      <c r="C796" s="47" t="s">
        <v>13291</v>
      </c>
      <c r="D796" s="47" t="s">
        <v>13291</v>
      </c>
      <c r="E796" s="47" t="s">
        <v>13291</v>
      </c>
      <c r="F796" s="47" t="s">
        <v>13291</v>
      </c>
      <c r="G796" s="47" t="s">
        <v>13291</v>
      </c>
      <c r="H796" s="158">
        <v>1800</v>
      </c>
      <c r="I796" s="156" t="s">
        <v>11084</v>
      </c>
      <c r="J796" s="156" t="s">
        <v>11928</v>
      </c>
      <c r="K796" s="47"/>
      <c r="L796" s="47"/>
      <c r="M796" s="47"/>
      <c r="N796" s="156"/>
      <c r="O796" s="156" t="s">
        <v>157</v>
      </c>
      <c r="P796" s="47"/>
      <c r="Q796" s="47"/>
      <c r="R796" s="47"/>
      <c r="S796" s="47" t="s">
        <v>13292</v>
      </c>
      <c r="T796" s="47" t="s">
        <v>13295</v>
      </c>
      <c r="U796" s="47"/>
    </row>
    <row r="797" spans="1:21" x14ac:dyDescent="0.3">
      <c r="A797" s="46">
        <v>801</v>
      </c>
      <c r="B797" s="47" t="s">
        <v>13291</v>
      </c>
      <c r="C797" s="47" t="s">
        <v>13291</v>
      </c>
      <c r="D797" s="47" t="s">
        <v>13291</v>
      </c>
      <c r="E797" s="47" t="s">
        <v>13291</v>
      </c>
      <c r="F797" s="47" t="s">
        <v>13291</v>
      </c>
      <c r="G797" s="47" t="s">
        <v>13291</v>
      </c>
      <c r="H797" s="158">
        <v>1801</v>
      </c>
      <c r="I797" s="156" t="s">
        <v>5726</v>
      </c>
      <c r="J797" s="156" t="s">
        <v>11654</v>
      </c>
      <c r="K797" s="47"/>
      <c r="L797" s="47"/>
      <c r="M797" s="47"/>
      <c r="N797" s="156"/>
      <c r="O797" s="156" t="s">
        <v>157</v>
      </c>
      <c r="P797" s="47"/>
      <c r="Q797" s="47"/>
      <c r="R797" s="47"/>
      <c r="S797" s="47" t="s">
        <v>13292</v>
      </c>
      <c r="T797" s="47" t="s">
        <v>13295</v>
      </c>
      <c r="U797" s="47"/>
    </row>
    <row r="798" spans="1:21" x14ac:dyDescent="0.3">
      <c r="A798" s="46">
        <v>802</v>
      </c>
      <c r="B798" s="47" t="s">
        <v>13291</v>
      </c>
      <c r="C798" s="47" t="s">
        <v>13291</v>
      </c>
      <c r="D798" s="47" t="s">
        <v>13291</v>
      </c>
      <c r="E798" s="47" t="s">
        <v>13291</v>
      </c>
      <c r="F798" s="47" t="s">
        <v>13291</v>
      </c>
      <c r="G798" s="47" t="s">
        <v>13291</v>
      </c>
      <c r="H798" s="158">
        <v>1802</v>
      </c>
      <c r="I798" s="156" t="s">
        <v>5727</v>
      </c>
      <c r="J798" s="156" t="s">
        <v>11929</v>
      </c>
      <c r="K798" s="47"/>
      <c r="L798" s="47"/>
      <c r="M798" s="47"/>
      <c r="N798" s="156"/>
      <c r="O798" s="156" t="s">
        <v>157</v>
      </c>
      <c r="P798" s="47"/>
      <c r="Q798" s="47"/>
      <c r="R798" s="47"/>
      <c r="S798" s="47" t="s">
        <v>13292</v>
      </c>
      <c r="T798" s="47" t="s">
        <v>13295</v>
      </c>
      <c r="U798" s="47"/>
    </row>
    <row r="799" spans="1:21" x14ac:dyDescent="0.3">
      <c r="A799" s="46">
        <v>803</v>
      </c>
      <c r="B799" s="47" t="s">
        <v>13291</v>
      </c>
      <c r="C799" s="47" t="s">
        <v>13291</v>
      </c>
      <c r="D799" s="47" t="s">
        <v>13291</v>
      </c>
      <c r="E799" s="47" t="s">
        <v>13291</v>
      </c>
      <c r="F799" s="47" t="s">
        <v>13291</v>
      </c>
      <c r="G799" s="47" t="s">
        <v>13291</v>
      </c>
      <c r="H799" s="158">
        <v>1803</v>
      </c>
      <c r="I799" s="156" t="s">
        <v>5728</v>
      </c>
      <c r="J799" s="156" t="s">
        <v>11930</v>
      </c>
      <c r="K799" s="47"/>
      <c r="L799" s="47"/>
      <c r="M799" s="47"/>
      <c r="N799" s="156"/>
      <c r="O799" s="156" t="s">
        <v>157</v>
      </c>
      <c r="P799" s="47"/>
      <c r="Q799" s="47"/>
      <c r="R799" s="47"/>
      <c r="S799" s="47" t="s">
        <v>13292</v>
      </c>
      <c r="T799" s="47" t="s">
        <v>13295</v>
      </c>
      <c r="U799" s="47"/>
    </row>
    <row r="800" spans="1:21" x14ac:dyDescent="0.3">
      <c r="A800" s="46">
        <v>804</v>
      </c>
      <c r="B800" s="47" t="s">
        <v>13291</v>
      </c>
      <c r="C800" s="47" t="s">
        <v>13291</v>
      </c>
      <c r="D800" s="47" t="s">
        <v>13291</v>
      </c>
      <c r="E800" s="47" t="s">
        <v>13291</v>
      </c>
      <c r="F800" s="47" t="s">
        <v>13291</v>
      </c>
      <c r="G800" s="47" t="s">
        <v>13291</v>
      </c>
      <c r="H800" s="158">
        <v>1804</v>
      </c>
      <c r="I800" s="156" t="s">
        <v>11085</v>
      </c>
      <c r="J800" s="156" t="s">
        <v>11931</v>
      </c>
      <c r="K800" s="47"/>
      <c r="L800" s="47"/>
      <c r="M800" s="47"/>
      <c r="N800" s="156"/>
      <c r="O800" s="156" t="s">
        <v>157</v>
      </c>
      <c r="P800" s="47"/>
      <c r="Q800" s="47"/>
      <c r="R800" s="47"/>
      <c r="S800" s="47" t="s">
        <v>13292</v>
      </c>
      <c r="T800" s="47" t="s">
        <v>13295</v>
      </c>
      <c r="U800" s="47"/>
    </row>
    <row r="801" spans="1:21" x14ac:dyDescent="0.3">
      <c r="A801" s="46">
        <v>805</v>
      </c>
      <c r="B801" s="47" t="s">
        <v>13291</v>
      </c>
      <c r="C801" s="47" t="s">
        <v>13291</v>
      </c>
      <c r="D801" s="47" t="s">
        <v>13291</v>
      </c>
      <c r="E801" s="47" t="s">
        <v>13291</v>
      </c>
      <c r="F801" s="47" t="s">
        <v>13291</v>
      </c>
      <c r="G801" s="47" t="s">
        <v>13291</v>
      </c>
      <c r="H801" s="158">
        <v>1805</v>
      </c>
      <c r="I801" s="156" t="s">
        <v>5729</v>
      </c>
      <c r="J801" s="156" t="s">
        <v>11932</v>
      </c>
      <c r="K801" s="47"/>
      <c r="L801" s="47"/>
      <c r="M801" s="47"/>
      <c r="N801" s="156"/>
      <c r="O801" s="156" t="s">
        <v>157</v>
      </c>
      <c r="P801" s="47"/>
      <c r="Q801" s="47"/>
      <c r="R801" s="47"/>
      <c r="S801" s="47" t="s">
        <v>13292</v>
      </c>
      <c r="T801" s="47" t="s">
        <v>13295</v>
      </c>
      <c r="U801" s="47"/>
    </row>
    <row r="802" spans="1:21" x14ac:dyDescent="0.3">
      <c r="A802" s="46">
        <v>806</v>
      </c>
      <c r="B802" s="47" t="s">
        <v>13291</v>
      </c>
      <c r="C802" s="47" t="s">
        <v>13291</v>
      </c>
      <c r="D802" s="47" t="s">
        <v>13291</v>
      </c>
      <c r="E802" s="47" t="s">
        <v>13291</v>
      </c>
      <c r="F802" s="47" t="s">
        <v>13291</v>
      </c>
      <c r="G802" s="47" t="s">
        <v>13291</v>
      </c>
      <c r="H802" s="158">
        <v>1806</v>
      </c>
      <c r="I802" s="156" t="s">
        <v>11086</v>
      </c>
      <c r="J802" s="156" t="s">
        <v>11933</v>
      </c>
      <c r="K802" s="47"/>
      <c r="L802" s="47"/>
      <c r="M802" s="47"/>
      <c r="N802" s="156"/>
      <c r="O802" s="156" t="s">
        <v>157</v>
      </c>
      <c r="P802" s="47"/>
      <c r="Q802" s="47"/>
      <c r="R802" s="47"/>
      <c r="S802" s="47" t="s">
        <v>13292</v>
      </c>
      <c r="T802" s="47" t="s">
        <v>13295</v>
      </c>
      <c r="U802" s="47"/>
    </row>
    <row r="803" spans="1:21" x14ac:dyDescent="0.3">
      <c r="A803" s="46">
        <v>807</v>
      </c>
      <c r="B803" s="47" t="s">
        <v>13291</v>
      </c>
      <c r="C803" s="47" t="s">
        <v>13291</v>
      </c>
      <c r="D803" s="47" t="s">
        <v>13291</v>
      </c>
      <c r="E803" s="47" t="s">
        <v>13291</v>
      </c>
      <c r="F803" s="47" t="s">
        <v>13291</v>
      </c>
      <c r="G803" s="47" t="s">
        <v>13291</v>
      </c>
      <c r="H803" s="158">
        <v>1807</v>
      </c>
      <c r="I803" s="156" t="s">
        <v>5730</v>
      </c>
      <c r="J803" s="156" t="s">
        <v>11619</v>
      </c>
      <c r="K803" s="47"/>
      <c r="L803" s="47"/>
      <c r="M803" s="47"/>
      <c r="N803" s="156"/>
      <c r="O803" s="156" t="s">
        <v>157</v>
      </c>
      <c r="P803" s="47"/>
      <c r="Q803" s="47"/>
      <c r="R803" s="47"/>
      <c r="S803" s="47" t="s">
        <v>13292</v>
      </c>
      <c r="T803" s="47" t="s">
        <v>13295</v>
      </c>
      <c r="U803" s="47"/>
    </row>
    <row r="804" spans="1:21" x14ac:dyDescent="0.3">
      <c r="A804" s="46">
        <v>808</v>
      </c>
      <c r="B804" s="47" t="s">
        <v>13291</v>
      </c>
      <c r="C804" s="47" t="s">
        <v>13291</v>
      </c>
      <c r="D804" s="47" t="s">
        <v>13291</v>
      </c>
      <c r="E804" s="47" t="s">
        <v>13291</v>
      </c>
      <c r="F804" s="47" t="s">
        <v>13291</v>
      </c>
      <c r="G804" s="47" t="s">
        <v>13291</v>
      </c>
      <c r="H804" s="158">
        <v>1808</v>
      </c>
      <c r="I804" s="156" t="s">
        <v>5731</v>
      </c>
      <c r="J804" s="156" t="s">
        <v>11973</v>
      </c>
      <c r="K804" s="47"/>
      <c r="L804" s="47"/>
      <c r="M804" s="47"/>
      <c r="N804" s="156"/>
      <c r="O804" s="156" t="s">
        <v>157</v>
      </c>
      <c r="P804" s="47"/>
      <c r="Q804" s="47"/>
      <c r="R804" s="47"/>
      <c r="S804" s="47" t="s">
        <v>13292</v>
      </c>
      <c r="T804" s="47" t="s">
        <v>13295</v>
      </c>
      <c r="U804"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B1:BT105"/>
  <sheetViews>
    <sheetView topLeftCell="AQ1" workbookViewId="0">
      <selection activeCell="AW8" sqref="AW8"/>
    </sheetView>
  </sheetViews>
  <sheetFormatPr defaultRowHeight="14.4" x14ac:dyDescent="0.3"/>
  <cols>
    <col min="1" max="4" width="8.88671875" style="6"/>
    <col min="5" max="5" width="12.44140625" style="6" bestFit="1" customWidth="1"/>
    <col min="6" max="6" width="16.109375" style="6" bestFit="1" customWidth="1"/>
    <col min="7" max="16" width="8.88671875" style="6"/>
    <col min="17" max="17" width="25.109375" style="6" customWidth="1"/>
    <col min="18" max="18" width="15.88671875" style="6" bestFit="1" customWidth="1"/>
    <col min="19" max="20" width="8.88671875" style="6"/>
    <col min="21" max="21" width="23.33203125" style="6" customWidth="1"/>
    <col min="22" max="22" width="10.109375" style="6" bestFit="1" customWidth="1"/>
    <col min="23" max="24" width="8.88671875" style="6"/>
    <col min="25" max="25" width="17.44140625" style="6" bestFit="1" customWidth="1"/>
    <col min="26" max="26" width="67" style="6" bestFit="1" customWidth="1"/>
    <col min="27" max="29" width="8.88671875" style="6"/>
    <col min="30" max="30" width="10.88671875" style="6" bestFit="1" customWidth="1"/>
    <col min="31" max="31" width="8.88671875" style="6"/>
    <col min="32" max="32" width="23.88671875" style="6" bestFit="1" customWidth="1"/>
    <col min="33" max="34" width="8.88671875" style="6"/>
    <col min="35" max="36" width="21.5546875" style="6" bestFit="1" customWidth="1"/>
    <col min="37" max="37" width="21.6640625" style="6" bestFit="1" customWidth="1"/>
    <col min="38" max="38" width="17.5546875" style="6" bestFit="1" customWidth="1"/>
    <col min="39" max="40" width="9.88671875" style="6" customWidth="1"/>
    <col min="41" max="42" width="8.88671875" style="6"/>
    <col min="43" max="43" width="26.109375" style="6" bestFit="1" customWidth="1"/>
    <col min="44" max="44" width="12.88671875" style="6" bestFit="1" customWidth="1"/>
    <col min="45" max="45" width="17.77734375" style="6" customWidth="1"/>
    <col min="46" max="49" width="8.88671875" style="6"/>
    <col min="50" max="50" width="49.5546875" style="6" bestFit="1" customWidth="1"/>
    <col min="51" max="51" width="19.77734375" style="6" customWidth="1"/>
    <col min="52" max="52" width="3.5546875" style="6" customWidth="1"/>
    <col min="53" max="60" width="8.88671875" style="6"/>
    <col min="61" max="61" width="15.33203125" style="6" bestFit="1" customWidth="1"/>
    <col min="62" max="62" width="8.88671875" style="6"/>
    <col min="63" max="63" width="11.88671875" style="6" bestFit="1" customWidth="1"/>
    <col min="64" max="64" width="12.33203125" style="6" bestFit="1" customWidth="1"/>
    <col min="65" max="67" width="8.88671875" style="6"/>
    <col min="68" max="68" width="19.44140625" style="6" bestFit="1" customWidth="1"/>
    <col min="69" max="16384" width="8.88671875" style="6"/>
  </cols>
  <sheetData>
    <row r="1" spans="2:72" x14ac:dyDescent="0.3">
      <c r="B1" s="6" t="s">
        <v>156</v>
      </c>
      <c r="C1" s="6" t="s">
        <v>219</v>
      </c>
      <c r="E1" s="6" t="s">
        <v>87</v>
      </c>
      <c r="F1" s="6" t="s">
        <v>90</v>
      </c>
      <c r="H1" s="6" t="s">
        <v>158</v>
      </c>
      <c r="I1" s="6">
        <v>1</v>
      </c>
      <c r="K1" s="6" t="s">
        <v>174</v>
      </c>
      <c r="L1" s="6">
        <v>0</v>
      </c>
      <c r="M1" s="6">
        <f>medex_option</f>
        <v>0</v>
      </c>
      <c r="N1" s="6" t="s">
        <v>220</v>
      </c>
      <c r="O1" s="6" t="s">
        <v>220</v>
      </c>
      <c r="Q1" s="211" t="s">
        <v>159</v>
      </c>
      <c r="R1" s="211"/>
      <c r="S1" s="211"/>
      <c r="U1" s="211" t="s">
        <v>168</v>
      </c>
      <c r="V1" s="211"/>
      <c r="W1" s="211"/>
      <c r="Y1" s="6" t="s">
        <v>175</v>
      </c>
      <c r="Z1" s="13" t="str">
        <f>IF(Quote!G114&lt;&gt;0,CONCATENATE(Quote!F114,"-",Quote!G114),"")</f>
        <v/>
      </c>
      <c r="AA1" s="6" t="str">
        <f>IFERROR(VLOOKUP(Quote!F114,'Trade Category'!$A$2:$D$809,4,0),"")</f>
        <v/>
      </c>
      <c r="AC1" s="6" t="s">
        <v>198</v>
      </c>
      <c r="AD1" s="6" t="s">
        <v>196</v>
      </c>
      <c r="AF1" s="6" t="s">
        <v>211</v>
      </c>
      <c r="AG1" s="6" t="s">
        <v>219</v>
      </c>
      <c r="AK1" s="6" t="s">
        <v>212</v>
      </c>
      <c r="AL1" s="6" t="s">
        <v>120</v>
      </c>
      <c r="AN1" s="6" t="s">
        <v>11278</v>
      </c>
      <c r="AO1" s="6">
        <v>1</v>
      </c>
      <c r="AQ1" s="62" t="s">
        <v>11328</v>
      </c>
      <c r="AR1" s="63" t="s">
        <v>11329</v>
      </c>
      <c r="AV1" s="6" t="s">
        <v>5738</v>
      </c>
      <c r="BA1" s="6" t="s">
        <v>11297</v>
      </c>
      <c r="BB1" s="6" t="s">
        <v>11298</v>
      </c>
      <c r="BF1" s="6" t="s">
        <v>11432</v>
      </c>
      <c r="BI1" s="6" t="s">
        <v>11444</v>
      </c>
      <c r="BJ1" s="6" t="s">
        <v>11445</v>
      </c>
      <c r="BK1" s="6" t="s">
        <v>11446</v>
      </c>
      <c r="BL1" s="6" t="s">
        <v>11447</v>
      </c>
      <c r="BM1" s="6" t="s">
        <v>11448</v>
      </c>
      <c r="BN1" s="6" t="s">
        <v>11449</v>
      </c>
      <c r="BP1" s="6" t="s">
        <v>12342</v>
      </c>
      <c r="BQ1" s="6" t="s">
        <v>12339</v>
      </c>
      <c r="BS1" s="6" t="s">
        <v>13216</v>
      </c>
      <c r="BT1" s="51">
        <v>-0.71</v>
      </c>
    </row>
    <row r="2" spans="2:72" x14ac:dyDescent="0.3">
      <c r="C2" s="6" t="s">
        <v>220</v>
      </c>
      <c r="F2" s="6" t="s">
        <v>121</v>
      </c>
      <c r="I2" s="6">
        <v>2</v>
      </c>
      <c r="L2" s="6">
        <v>25000</v>
      </c>
      <c r="M2" s="6" t="str">
        <f>IF(M1=0,"no_master","no_yes_master")</f>
        <v>no_master</v>
      </c>
      <c r="O2" s="6" t="s">
        <v>219</v>
      </c>
      <c r="Q2" s="210" t="s">
        <v>53</v>
      </c>
      <c r="R2" s="13" t="s">
        <v>97</v>
      </c>
      <c r="S2" s="13">
        <v>-0.1</v>
      </c>
      <c r="U2" s="210" t="s">
        <v>59</v>
      </c>
      <c r="V2" s="13" t="s">
        <v>219</v>
      </c>
      <c r="W2" s="13">
        <v>0.1</v>
      </c>
      <c r="Z2" s="13" t="str">
        <f>IF(Quote!G115&lt;&gt;0,CONCATENATE(Quote!F115,"-",Quote!G115),"")</f>
        <v/>
      </c>
      <c r="AA2" s="6" t="str">
        <f>IFERROR(VLOOKUP(Quote!F115,'Trade Category'!$A$2:$D$809,4,0),"")</f>
        <v/>
      </c>
      <c r="AD2" s="6" t="s">
        <v>197</v>
      </c>
      <c r="AG2" s="6" t="s">
        <v>220</v>
      </c>
      <c r="AO2" s="6">
        <v>2</v>
      </c>
      <c r="AQ2" s="64" t="s">
        <v>11330</v>
      </c>
      <c r="AR2" s="47" t="s">
        <v>11331</v>
      </c>
      <c r="AU2" s="6" t="s">
        <v>5739</v>
      </c>
      <c r="AV2" t="s">
        <v>11293</v>
      </c>
      <c r="BB2" s="6" t="s">
        <v>11299</v>
      </c>
      <c r="BF2" s="6">
        <v>1</v>
      </c>
      <c r="BJ2" s="6" t="s">
        <v>11334</v>
      </c>
      <c r="BK2" s="51">
        <v>0</v>
      </c>
      <c r="BL2" s="51">
        <v>0.5</v>
      </c>
      <c r="BM2" s="51">
        <v>-0.5</v>
      </c>
      <c r="BN2" s="51">
        <v>0.5</v>
      </c>
      <c r="BQ2" s="6" t="s">
        <v>12341</v>
      </c>
      <c r="BS2" s="6" t="s">
        <v>13217</v>
      </c>
      <c r="BT2" s="51">
        <v>0.9</v>
      </c>
    </row>
    <row r="3" spans="2:72" x14ac:dyDescent="0.3">
      <c r="F3" s="6" t="s">
        <v>120</v>
      </c>
      <c r="I3" s="6">
        <v>3</v>
      </c>
      <c r="L3" s="6">
        <v>50000</v>
      </c>
      <c r="Q3" s="210"/>
      <c r="R3" s="13" t="s">
        <v>160</v>
      </c>
      <c r="S3" s="13">
        <v>0</v>
      </c>
      <c r="U3" s="210"/>
      <c r="V3" s="13" t="s">
        <v>220</v>
      </c>
      <c r="W3" s="13">
        <v>0</v>
      </c>
      <c r="Z3" s="13" t="str">
        <f>IF(Quote!G116&lt;&gt;0,CONCATENATE(Quote!F116,"-",Quote!G116),"")</f>
        <v/>
      </c>
      <c r="AA3" s="6" t="str">
        <f>IFERROR(VLOOKUP(Quote!F116,'Trade Category'!$A$2:$D$809,4,0),"")</f>
        <v/>
      </c>
      <c r="AI3" s="6" t="s">
        <v>214</v>
      </c>
      <c r="AJ3" s="6" t="s">
        <v>216</v>
      </c>
      <c r="AO3" s="6">
        <v>3</v>
      </c>
      <c r="AQ3" s="65" t="s">
        <v>11332</v>
      </c>
      <c r="AR3" s="47" t="s">
        <v>11332</v>
      </c>
      <c r="AU3"/>
      <c r="AV3"/>
      <c r="BF3" s="6">
        <v>2</v>
      </c>
      <c r="BJ3" s="6" t="s">
        <v>11331</v>
      </c>
      <c r="BK3" s="51">
        <v>0</v>
      </c>
      <c r="BL3" s="51">
        <v>0.5</v>
      </c>
      <c r="BM3" s="51">
        <v>-0.5</v>
      </c>
      <c r="BN3" s="51">
        <v>0.5</v>
      </c>
    </row>
    <row r="4" spans="2:72" x14ac:dyDescent="0.3">
      <c r="I4" s="6">
        <v>4</v>
      </c>
      <c r="L4" s="6">
        <v>75000</v>
      </c>
      <c r="Q4" s="212" t="s">
        <v>54</v>
      </c>
      <c r="R4" s="36" t="s">
        <v>219</v>
      </c>
      <c r="S4" s="13">
        <v>-0.1</v>
      </c>
      <c r="U4" s="212" t="s">
        <v>60</v>
      </c>
      <c r="V4" s="36" t="s">
        <v>219</v>
      </c>
      <c r="W4" s="36">
        <v>0.1</v>
      </c>
      <c r="Z4" s="13" t="str">
        <f>IF(Quote!G117&lt;&gt;0,CONCATENATE(Quote!F117,"-",Quote!G117),"")</f>
        <v/>
      </c>
      <c r="AA4" s="6" t="str">
        <f>IFERROR(VLOOKUP(Quote!F117,'Trade Category'!$A$2:$D$809,4,0),"")</f>
        <v/>
      </c>
      <c r="AI4" s="6" t="s">
        <v>215</v>
      </c>
      <c r="AJ4" s="6" t="s">
        <v>217</v>
      </c>
      <c r="AO4" s="6">
        <v>4</v>
      </c>
      <c r="AQ4" s="65" t="s">
        <v>11333</v>
      </c>
      <c r="AR4" s="47" t="s">
        <v>11334</v>
      </c>
      <c r="AU4" t="s">
        <v>5740</v>
      </c>
      <c r="AV4" s="47"/>
      <c r="AW4" s="47"/>
      <c r="AX4" s="47" t="s">
        <v>11287</v>
      </c>
      <c r="AY4"/>
      <c r="BF4" s="6">
        <v>3</v>
      </c>
      <c r="BJ4" s="6" t="s">
        <v>11332</v>
      </c>
      <c r="BK4" s="51">
        <v>0</v>
      </c>
      <c r="BL4" s="51">
        <v>0.5</v>
      </c>
      <c r="BM4" s="51">
        <v>-0.5</v>
      </c>
      <c r="BN4" s="51">
        <v>0.5</v>
      </c>
    </row>
    <row r="5" spans="2:72" x14ac:dyDescent="0.3">
      <c r="I5" s="6">
        <v>5</v>
      </c>
      <c r="L5" s="6">
        <v>100000</v>
      </c>
      <c r="Q5" s="212"/>
      <c r="R5" s="36" t="s">
        <v>220</v>
      </c>
      <c r="S5" s="36">
        <v>0</v>
      </c>
      <c r="U5" s="212"/>
      <c r="V5" s="36" t="s">
        <v>220</v>
      </c>
      <c r="W5" s="36">
        <v>0</v>
      </c>
      <c r="Z5" s="13" t="str">
        <f>IF(Quote!G118&lt;&gt;0,CONCATENATE(Quote!F118,"-",Quote!G118),"")</f>
        <v/>
      </c>
      <c r="AA5" s="6" t="str">
        <f>IFERROR(VLOOKUP(Quote!F118,'Trade Category'!$A$2:$D$809,4,0),"")</f>
        <v/>
      </c>
      <c r="AK5" s="6" t="s">
        <v>213</v>
      </c>
      <c r="AL5" s="6" t="s">
        <v>90</v>
      </c>
      <c r="AO5" s="6">
        <v>5</v>
      </c>
      <c r="AQ5" s="65" t="s">
        <v>11335</v>
      </c>
      <c r="AR5" s="47" t="s">
        <v>11334</v>
      </c>
      <c r="AU5"/>
      <c r="AV5" s="48">
        <v>0</v>
      </c>
      <c r="AW5" s="47" t="s">
        <v>96</v>
      </c>
      <c r="AX5" s="47" t="s">
        <v>11287</v>
      </c>
      <c r="AY5"/>
      <c r="BF5" s="6">
        <v>4</v>
      </c>
    </row>
    <row r="6" spans="2:72" x14ac:dyDescent="0.3">
      <c r="I6" s="6">
        <v>6</v>
      </c>
      <c r="L6" s="6" t="s">
        <v>11381</v>
      </c>
      <c r="Q6" s="210" t="s">
        <v>55</v>
      </c>
      <c r="R6" s="13" t="s">
        <v>219</v>
      </c>
      <c r="S6" s="13">
        <v>-0.1</v>
      </c>
      <c r="U6" s="210" t="s">
        <v>61</v>
      </c>
      <c r="V6" s="13" t="s">
        <v>219</v>
      </c>
      <c r="W6" s="13">
        <v>0.1</v>
      </c>
      <c r="Z6" s="13" t="str">
        <f>IF(Quote!G119&lt;&gt;0,CONCATENATE(Quote!F119,"-",Quote!G119),"")</f>
        <v/>
      </c>
      <c r="AA6" s="6" t="str">
        <f>IFERROR(VLOOKUP(Quote!F119,'Trade Category'!$A$2:$D$809,4,0),"")</f>
        <v/>
      </c>
      <c r="AI6"/>
      <c r="AL6" s="6" t="s">
        <v>121</v>
      </c>
      <c r="AO6" s="6">
        <v>6</v>
      </c>
      <c r="AQ6" s="65" t="s">
        <v>11336</v>
      </c>
      <c r="AR6" s="47" t="s">
        <v>11334</v>
      </c>
      <c r="AV6" s="48">
        <v>25000</v>
      </c>
      <c r="AW6" s="47" t="s">
        <v>157</v>
      </c>
      <c r="AX6" s="47" t="s">
        <v>11288</v>
      </c>
      <c r="AY6"/>
      <c r="BF6" s="6">
        <v>5</v>
      </c>
      <c r="BI6" s="6" t="s">
        <v>11450</v>
      </c>
      <c r="BK6" s="53">
        <f>IFERROR(VLOOKUP(calc_channel_mapper_name,BJ2:BK4,2,0),0%)</f>
        <v>0</v>
      </c>
      <c r="BL6" s="53">
        <f>IFERROR(VLOOKUP(calc_channel_mapper_name,BJ2:BL4,3,0),0%)</f>
        <v>0</v>
      </c>
      <c r="BM6" s="6">
        <f>IF(internal_uw_app=1,"",IF(AND(BK6&lt;=load_disc_perc,BL6&gt;=load_disc_perc),0,1))</f>
        <v>0</v>
      </c>
    </row>
    <row r="7" spans="2:72" x14ac:dyDescent="0.3">
      <c r="I7" s="6">
        <v>7</v>
      </c>
      <c r="Q7" s="210"/>
      <c r="R7" s="13" t="s">
        <v>220</v>
      </c>
      <c r="S7" s="13">
        <v>0</v>
      </c>
      <c r="U7" s="210"/>
      <c r="V7" s="13" t="s">
        <v>220</v>
      </c>
      <c r="W7" s="13">
        <v>0</v>
      </c>
      <c r="Z7" s="13" t="str">
        <f>IF(Quote!G120&lt;&gt;0,CONCATENATE(Quote!F120,"-",Quote!G120),"")</f>
        <v/>
      </c>
      <c r="AA7" s="6" t="str">
        <f>IFERROR(VLOOKUP(Quote!F120,'Trade Category'!$A$2:$D$809,4,0),"")</f>
        <v/>
      </c>
      <c r="AI7"/>
      <c r="AL7" s="6" t="s">
        <v>120</v>
      </c>
      <c r="AO7" s="6">
        <v>7</v>
      </c>
      <c r="AQ7" s="65" t="s">
        <v>11337</v>
      </c>
      <c r="AR7" s="47" t="s">
        <v>11334</v>
      </c>
      <c r="AV7" s="48">
        <v>50000</v>
      </c>
      <c r="AW7" s="47" t="s">
        <v>157</v>
      </c>
      <c r="AX7" s="47" t="s">
        <v>11289</v>
      </c>
      <c r="AY7"/>
      <c r="BI7" s="6" t="s">
        <v>11451</v>
      </c>
      <c r="BK7" s="53">
        <f>IFERROR(VLOOKUP(calc_channel_mapper_name,BJ2:BM4,4,0),0%)</f>
        <v>0</v>
      </c>
      <c r="BL7" s="51">
        <f>IFERROR(VLOOKUP(calc_channel_mapper_name,BJ2:BN4,5,0),0%)</f>
        <v>0</v>
      </c>
      <c r="BM7" s="6" t="str">
        <f>IF(internal_uw_app=1,IF(AND(BK7&lt;=load_disc_perc,BL7&gt;=load_disc_perc),0,1),"")</f>
        <v/>
      </c>
    </row>
    <row r="8" spans="2:72" x14ac:dyDescent="0.3">
      <c r="I8" s="6">
        <v>8</v>
      </c>
      <c r="Q8" s="212" t="s">
        <v>56</v>
      </c>
      <c r="R8" s="36" t="s">
        <v>161</v>
      </c>
      <c r="S8" s="36">
        <v>0</v>
      </c>
      <c r="U8" s="212" t="s">
        <v>62</v>
      </c>
      <c r="V8" s="36" t="s">
        <v>169</v>
      </c>
      <c r="W8" s="36">
        <v>0.1</v>
      </c>
      <c r="Z8" s="13" t="str">
        <f>IF(Quote!G121&lt;&gt;0,CONCATENATE(Quote!F121,"-",Quote!G121),"")</f>
        <v/>
      </c>
      <c r="AA8" s="6" t="str">
        <f>IFERROR(VLOOKUP(Quote!F121,'Trade Category'!$A$2:$D$809,4,0),"")</f>
        <v/>
      </c>
      <c r="AO8" s="6">
        <v>8</v>
      </c>
      <c r="AQ8" s="65" t="s">
        <v>11338</v>
      </c>
      <c r="AR8" s="47" t="s">
        <v>11334</v>
      </c>
      <c r="AV8" s="48">
        <v>75000</v>
      </c>
      <c r="AW8" s="47" t="s">
        <v>157</v>
      </c>
      <c r="AX8" s="47" t="s">
        <v>11290</v>
      </c>
      <c r="AY8"/>
    </row>
    <row r="9" spans="2:72" x14ac:dyDescent="0.3">
      <c r="I9" s="6">
        <v>9</v>
      </c>
      <c r="Q9" s="212"/>
      <c r="R9" s="36" t="s">
        <v>162</v>
      </c>
      <c r="S9" s="13">
        <v>-0.1</v>
      </c>
      <c r="U9" s="212"/>
      <c r="V9" s="36" t="s">
        <v>170</v>
      </c>
      <c r="W9" s="36">
        <v>0</v>
      </c>
      <c r="Z9" s="13" t="str">
        <f>IF(Quote!G122&lt;&gt;0,CONCATENATE(Quote!F122,"-",Quote!G122),"")</f>
        <v/>
      </c>
      <c r="AA9" s="6" t="str">
        <f>IFERROR(VLOOKUP(Quote!F122,'Trade Category'!$A$2:$D$809,4,0),"")</f>
        <v/>
      </c>
      <c r="AO9" s="6">
        <v>9</v>
      </c>
      <c r="AQ9" s="65" t="s">
        <v>11334</v>
      </c>
      <c r="AR9" s="47" t="s">
        <v>11334</v>
      </c>
      <c r="AV9" s="48">
        <v>100000</v>
      </c>
      <c r="AW9" s="47" t="s">
        <v>157</v>
      </c>
      <c r="AX9" s="47" t="s">
        <v>11291</v>
      </c>
      <c r="AY9"/>
      <c r="BI9" s="51"/>
    </row>
    <row r="10" spans="2:72" x14ac:dyDescent="0.3">
      <c r="I10" s="6">
        <v>10</v>
      </c>
      <c r="Q10" s="210" t="s">
        <v>57</v>
      </c>
      <c r="R10" s="13" t="s">
        <v>219</v>
      </c>
      <c r="S10" s="13">
        <v>-0.1</v>
      </c>
      <c r="U10" s="210" t="s">
        <v>63</v>
      </c>
      <c r="V10" s="13" t="s">
        <v>171</v>
      </c>
      <c r="W10" s="13">
        <v>0.1</v>
      </c>
      <c r="Z10" s="13" t="str">
        <f>IF(Quote!G123&lt;&gt;0,CONCATENATE(Quote!F123,"-",Quote!G123),"")</f>
        <v/>
      </c>
      <c r="AA10" s="6" t="str">
        <f>IFERROR(VLOOKUP(Quote!F123,'Trade Category'!$A$2:$D$809,4,0),"")</f>
        <v/>
      </c>
      <c r="AO10" s="6">
        <v>10</v>
      </c>
      <c r="AQ10" s="65" t="s">
        <v>11339</v>
      </c>
      <c r="AR10" s="47" t="s">
        <v>11334</v>
      </c>
      <c r="AV10"/>
      <c r="AW10"/>
      <c r="AX10"/>
      <c r="AY10"/>
    </row>
    <row r="11" spans="2:72" x14ac:dyDescent="0.3">
      <c r="I11" s="6">
        <v>11</v>
      </c>
      <c r="Q11" s="210"/>
      <c r="R11" s="13" t="s">
        <v>220</v>
      </c>
      <c r="S11" s="13">
        <v>0</v>
      </c>
      <c r="U11" s="210"/>
      <c r="V11" s="13" t="s">
        <v>172</v>
      </c>
      <c r="W11" s="13">
        <v>0</v>
      </c>
      <c r="AA11" s="6">
        <f>IF(COUNTIF(AA1:AA10,"NONPUP")&gt;0,1,0)</f>
        <v>0</v>
      </c>
      <c r="AO11" s="6">
        <v>11</v>
      </c>
      <c r="AQ11" s="65" t="s">
        <v>11340</v>
      </c>
      <c r="AR11" s="47" t="s">
        <v>11334</v>
      </c>
      <c r="AU11" s="6" t="s">
        <v>5741</v>
      </c>
      <c r="AV11" t="s">
        <v>11292</v>
      </c>
    </row>
    <row r="12" spans="2:72" x14ac:dyDescent="0.3">
      <c r="I12" s="6">
        <v>12</v>
      </c>
      <c r="Q12" s="212" t="s">
        <v>58</v>
      </c>
      <c r="R12" s="37" t="s">
        <v>163</v>
      </c>
      <c r="S12" s="36">
        <v>0</v>
      </c>
      <c r="U12" s="220" t="s">
        <v>12331</v>
      </c>
      <c r="V12" s="47" t="s">
        <v>157</v>
      </c>
      <c r="W12" s="89">
        <v>0.1</v>
      </c>
      <c r="AO12" s="6">
        <v>12</v>
      </c>
      <c r="AQ12" s="65" t="s">
        <v>11341</v>
      </c>
      <c r="AR12" s="47" t="s">
        <v>11334</v>
      </c>
    </row>
    <row r="13" spans="2:72" x14ac:dyDescent="0.3">
      <c r="Q13" s="212"/>
      <c r="R13" s="37" t="s">
        <v>164</v>
      </c>
      <c r="S13" s="13">
        <v>-0.1</v>
      </c>
      <c r="U13" s="221"/>
      <c r="V13" s="47" t="s">
        <v>96</v>
      </c>
      <c r="W13" s="89">
        <v>0</v>
      </c>
      <c r="AO13" s="6">
        <v>13</v>
      </c>
      <c r="AQ13" s="65" t="s">
        <v>11342</v>
      </c>
      <c r="AR13" s="47" t="s">
        <v>11334</v>
      </c>
      <c r="AV13" s="6" t="s">
        <v>11382</v>
      </c>
    </row>
    <row r="14" spans="2:72" x14ac:dyDescent="0.3">
      <c r="Q14" s="212"/>
      <c r="R14" s="37" t="s">
        <v>165</v>
      </c>
      <c r="S14" s="36">
        <v>-0.2</v>
      </c>
      <c r="U14" s="220" t="s">
        <v>12332</v>
      </c>
      <c r="V14" s="47" t="s">
        <v>157</v>
      </c>
      <c r="W14" s="89">
        <v>0.1</v>
      </c>
      <c r="AO14" s="6">
        <v>14</v>
      </c>
      <c r="AQ14" s="65" t="s">
        <v>192</v>
      </c>
      <c r="AR14" s="47" t="s">
        <v>11334</v>
      </c>
    </row>
    <row r="15" spans="2:72" x14ac:dyDescent="0.3">
      <c r="Q15" s="212"/>
      <c r="R15" s="36" t="s">
        <v>166</v>
      </c>
      <c r="S15" s="36">
        <v>-0.3</v>
      </c>
      <c r="U15" s="221"/>
      <c r="V15" s="47" t="s">
        <v>96</v>
      </c>
      <c r="W15" s="89">
        <v>0</v>
      </c>
      <c r="AO15" s="6">
        <v>15</v>
      </c>
      <c r="AQ15" s="65" t="s">
        <v>11343</v>
      </c>
      <c r="AR15" s="47" t="s">
        <v>11334</v>
      </c>
    </row>
    <row r="16" spans="2:72" x14ac:dyDescent="0.3">
      <c r="Q16" s="217" t="s">
        <v>12324</v>
      </c>
      <c r="R16" s="86" t="s">
        <v>157</v>
      </c>
      <c r="S16" s="50">
        <v>-0.1</v>
      </c>
      <c r="U16" s="220" t="s">
        <v>12333</v>
      </c>
      <c r="V16" s="47" t="s">
        <v>157</v>
      </c>
      <c r="W16" s="89">
        <v>0.1</v>
      </c>
      <c r="AO16" s="6">
        <v>16</v>
      </c>
      <c r="AQ16" s="65" t="s">
        <v>11344</v>
      </c>
      <c r="AR16" s="47" t="s">
        <v>11334</v>
      </c>
      <c r="AU16" s="13" t="s">
        <v>11386</v>
      </c>
      <c r="AV16" s="13" t="s">
        <v>11383</v>
      </c>
      <c r="AW16" s="13" t="s">
        <v>11384</v>
      </c>
      <c r="AX16" s="13" t="s">
        <v>11385</v>
      </c>
      <c r="AY16" s="13" t="s">
        <v>11387</v>
      </c>
      <c r="AZ16" s="13"/>
      <c r="BA16" s="13" t="s">
        <v>11388</v>
      </c>
    </row>
    <row r="17" spans="17:53" x14ac:dyDescent="0.3">
      <c r="Q17" s="218"/>
      <c r="R17" s="86" t="s">
        <v>96</v>
      </c>
      <c r="S17" s="50">
        <v>0</v>
      </c>
      <c r="U17" s="221"/>
      <c r="V17" s="47" t="s">
        <v>96</v>
      </c>
      <c r="W17" s="89">
        <v>0</v>
      </c>
      <c r="AO17" s="6">
        <v>17</v>
      </c>
      <c r="AQ17" s="65" t="s">
        <v>11345</v>
      </c>
      <c r="AR17" s="47" t="s">
        <v>11334</v>
      </c>
      <c r="AU17" s="13">
        <v>1</v>
      </c>
      <c r="AV17" s="13" t="str">
        <f>medex_actuals</f>
        <v>no</v>
      </c>
      <c r="AW17" s="13"/>
      <c r="AX17" s="13"/>
      <c r="AY17" s="13"/>
      <c r="AZ17" s="13"/>
      <c r="BA17" s="13"/>
    </row>
    <row r="18" spans="17:53" x14ac:dyDescent="0.3">
      <c r="Q18" s="217" t="s">
        <v>12325</v>
      </c>
      <c r="R18" s="86" t="s">
        <v>157</v>
      </c>
      <c r="S18" s="50">
        <v>-0.1</v>
      </c>
      <c r="AO18" s="6">
        <v>18</v>
      </c>
      <c r="AQ18" s="65" t="s">
        <v>11346</v>
      </c>
      <c r="AR18" s="47" t="s">
        <v>11334</v>
      </c>
      <c r="AU18" s="13">
        <v>4</v>
      </c>
      <c r="AV18" s="13"/>
      <c r="AW18" s="13" t="s">
        <v>11381</v>
      </c>
      <c r="AX18" s="13">
        <f>medex_per_person_limit</f>
        <v>0</v>
      </c>
      <c r="AY18" s="13">
        <f>medex_aggregate_limit</f>
        <v>0</v>
      </c>
      <c r="AZ18" s="13" t="str">
        <f>IF(BA18="","",1)</f>
        <v/>
      </c>
      <c r="BA18" s="13" t="str">
        <f>IF(AND(AX18&gt;0,AY18&gt;0),CONCATENATE("Including Medical expenses upto INR"," ",medex_per_person_limit," ","per person and aggregate expenses upto INR"," ",medex_aggregate_limit," ","for the policy period"),"")</f>
        <v/>
      </c>
    </row>
    <row r="19" spans="17:53" x14ac:dyDescent="0.3">
      <c r="Q19" s="219"/>
      <c r="R19" s="86" t="s">
        <v>96</v>
      </c>
      <c r="S19" s="50">
        <v>0</v>
      </c>
      <c r="AO19" s="6">
        <v>19</v>
      </c>
      <c r="AQ19" s="65" t="s">
        <v>11347</v>
      </c>
      <c r="AR19" s="47" t="s">
        <v>11334</v>
      </c>
      <c r="AU19" s="13">
        <v>3</v>
      </c>
      <c r="AV19" s="13"/>
      <c r="AW19" s="13" t="s">
        <v>11381</v>
      </c>
      <c r="AX19" s="13"/>
      <c r="AY19" s="13">
        <f>medex_aggregate_limit</f>
        <v>0</v>
      </c>
      <c r="AZ19" s="13" t="str">
        <f>IF(BA19="","",1)</f>
        <v/>
      </c>
      <c r="BA19" s="13" t="str">
        <f>IF(AY19&gt;0,CONCATENATE("Including Aggegrate Medical expenses upto INR"," ",medex_aggregate_limit),"")</f>
        <v/>
      </c>
    </row>
    <row r="20" spans="17:53" x14ac:dyDescent="0.3">
      <c r="Q20" s="217" t="s">
        <v>12327</v>
      </c>
      <c r="R20" s="86" t="s">
        <v>157</v>
      </c>
      <c r="S20" s="50">
        <v>-0.2</v>
      </c>
      <c r="AO20" s="6">
        <v>20</v>
      </c>
      <c r="AQ20" s="65" t="s">
        <v>11348</v>
      </c>
      <c r="AR20" s="47" t="s">
        <v>11334</v>
      </c>
      <c r="AU20" s="13">
        <v>2</v>
      </c>
      <c r="AV20" s="13"/>
      <c r="AW20" s="13" t="s">
        <v>11381</v>
      </c>
      <c r="AX20" s="13">
        <f>medex_per_person_limit</f>
        <v>0</v>
      </c>
      <c r="AY20" s="13"/>
      <c r="AZ20" s="13" t="str">
        <f>IF(BA20="","",1)</f>
        <v/>
      </c>
      <c r="BA20" s="13" t="str">
        <f>IF(AX20&gt;0,CONCATENATE("Including Medical expenses upto INR"," ",medex_per_person_limit," ","per person"),"")</f>
        <v/>
      </c>
    </row>
    <row r="21" spans="17:53" x14ac:dyDescent="0.3">
      <c r="Q21" s="218"/>
      <c r="R21" s="86" t="s">
        <v>96</v>
      </c>
      <c r="S21" s="50">
        <v>0</v>
      </c>
      <c r="AO21" s="6">
        <v>21</v>
      </c>
      <c r="AQ21" s="65" t="s">
        <v>11349</v>
      </c>
      <c r="AR21" s="47" t="s">
        <v>11334</v>
      </c>
      <c r="AU21" s="13">
        <v>5</v>
      </c>
      <c r="AV21" s="13"/>
      <c r="AW21" s="215" t="s">
        <v>11389</v>
      </c>
      <c r="AX21" s="216"/>
      <c r="AY21" s="13"/>
      <c r="AZ21" s="13"/>
      <c r="BA21" s="13"/>
    </row>
    <row r="22" spans="17:53" x14ac:dyDescent="0.3">
      <c r="Q22" s="217" t="s">
        <v>12326</v>
      </c>
      <c r="R22" s="86" t="s">
        <v>157</v>
      </c>
      <c r="S22" s="50">
        <v>-0.1</v>
      </c>
      <c r="AO22" s="6">
        <v>22</v>
      </c>
      <c r="AQ22" s="65" t="s">
        <v>11350</v>
      </c>
      <c r="AR22" s="47" t="s">
        <v>11334</v>
      </c>
      <c r="AX22" s="66" t="s">
        <v>11390</v>
      </c>
      <c r="AY22" s="67"/>
      <c r="BA22" s="13" t="str">
        <f ca="1">IFERROR(IF(medex_premium&gt;0,VLOOKUP(1,$AZ$17:$BA$21,2,0),""),"")</f>
        <v/>
      </c>
    </row>
    <row r="23" spans="17:53" x14ac:dyDescent="0.3">
      <c r="Q23" s="219"/>
      <c r="R23" s="86" t="s">
        <v>96</v>
      </c>
      <c r="S23" s="50">
        <v>0</v>
      </c>
      <c r="AO23" s="6">
        <v>23</v>
      </c>
      <c r="AQ23" s="65" t="s">
        <v>11351</v>
      </c>
      <c r="AR23" s="47" t="s">
        <v>11334</v>
      </c>
    </row>
    <row r="24" spans="17:53" x14ac:dyDescent="0.3">
      <c r="Q24" s="213" t="s">
        <v>12328</v>
      </c>
      <c r="R24" s="87" t="s">
        <v>157</v>
      </c>
      <c r="S24" s="88">
        <v>-0.05</v>
      </c>
      <c r="AO24" s="6">
        <v>24</v>
      </c>
      <c r="AQ24" s="65" t="s">
        <v>11352</v>
      </c>
      <c r="AR24" s="47" t="s">
        <v>11331</v>
      </c>
    </row>
    <row r="25" spans="17:53" x14ac:dyDescent="0.3">
      <c r="Q25" s="214"/>
      <c r="R25" s="87" t="s">
        <v>96</v>
      </c>
      <c r="S25" s="88">
        <v>0</v>
      </c>
      <c r="AO25" s="6">
        <v>25</v>
      </c>
      <c r="AQ25" s="65" t="s">
        <v>11353</v>
      </c>
      <c r="AR25" s="47" t="s">
        <v>11334</v>
      </c>
    </row>
    <row r="26" spans="17:53" x14ac:dyDescent="0.3">
      <c r="Q26" s="213" t="s">
        <v>12329</v>
      </c>
      <c r="R26" s="87" t="s">
        <v>157</v>
      </c>
      <c r="S26" s="88">
        <v>-0.1</v>
      </c>
      <c r="AO26" s="6">
        <v>26</v>
      </c>
      <c r="AQ26" s="65" t="s">
        <v>11354</v>
      </c>
      <c r="AR26" s="47" t="s">
        <v>11331</v>
      </c>
      <c r="AW26" s="6" t="s">
        <v>12281</v>
      </c>
      <c r="AX26" s="6" t="s">
        <v>12282</v>
      </c>
      <c r="AY26" s="6">
        <v>50132</v>
      </c>
    </row>
    <row r="27" spans="17:53" x14ac:dyDescent="0.3">
      <c r="Q27" s="214"/>
      <c r="R27" s="87" t="s">
        <v>96</v>
      </c>
      <c r="S27" s="88">
        <v>0</v>
      </c>
      <c r="AO27" s="6">
        <v>27</v>
      </c>
      <c r="AQ27" s="65" t="s">
        <v>11355</v>
      </c>
      <c r="AR27" s="47" t="s">
        <v>11334</v>
      </c>
      <c r="AW27" s="6" t="s">
        <v>12283</v>
      </c>
      <c r="AX27" s="6" t="s">
        <v>12284</v>
      </c>
      <c r="AY27" s="6">
        <v>50133</v>
      </c>
    </row>
    <row r="28" spans="17:53" x14ac:dyDescent="0.3">
      <c r="Q28" s="213" t="s">
        <v>12330</v>
      </c>
      <c r="R28" s="87" t="s">
        <v>157</v>
      </c>
      <c r="S28" s="88">
        <v>-0.05</v>
      </c>
      <c r="AO28" s="6">
        <v>28</v>
      </c>
      <c r="AQ28" s="65" t="s">
        <v>11356</v>
      </c>
      <c r="AR28" s="47" t="s">
        <v>11331</v>
      </c>
      <c r="AW28" s="6" t="s">
        <v>12285</v>
      </c>
      <c r="AX28" s="6" t="s">
        <v>12286</v>
      </c>
      <c r="AY28" s="6">
        <v>50134</v>
      </c>
    </row>
    <row r="29" spans="17:53" x14ac:dyDescent="0.3">
      <c r="Q29" s="214"/>
      <c r="R29" s="87" t="s">
        <v>96</v>
      </c>
      <c r="S29" s="88">
        <v>0</v>
      </c>
      <c r="AO29" s="6">
        <v>29</v>
      </c>
      <c r="AQ29" s="65" t="s">
        <v>11357</v>
      </c>
      <c r="AR29" s="47" t="s">
        <v>11331</v>
      </c>
      <c r="AW29" s="76" t="s">
        <v>12287</v>
      </c>
      <c r="AX29" s="6" t="s">
        <v>12288</v>
      </c>
      <c r="AY29" s="77">
        <v>50135</v>
      </c>
    </row>
    <row r="30" spans="17:53" x14ac:dyDescent="0.3">
      <c r="AO30" s="6">
        <v>30</v>
      </c>
      <c r="AQ30" s="65" t="s">
        <v>11358</v>
      </c>
      <c r="AR30" s="47" t="s">
        <v>11331</v>
      </c>
      <c r="AW30" s="76" t="s">
        <v>12287</v>
      </c>
      <c r="AX30" s="6" t="s">
        <v>12289</v>
      </c>
      <c r="AY30" s="77">
        <v>50136</v>
      </c>
    </row>
    <row r="31" spans="17:53" x14ac:dyDescent="0.3">
      <c r="AO31" s="6">
        <v>31</v>
      </c>
      <c r="AQ31" s="65" t="s">
        <v>11359</v>
      </c>
      <c r="AR31" s="47" t="s">
        <v>11331</v>
      </c>
      <c r="AW31" s="78" t="s">
        <v>12290</v>
      </c>
      <c r="AX31" s="6" t="s">
        <v>11287</v>
      </c>
      <c r="AY31" s="6">
        <v>50139</v>
      </c>
    </row>
    <row r="32" spans="17:53" x14ac:dyDescent="0.3">
      <c r="AO32" s="6">
        <v>32</v>
      </c>
      <c r="AQ32" s="65" t="s">
        <v>11360</v>
      </c>
      <c r="AR32" s="47" t="s">
        <v>11331</v>
      </c>
      <c r="AW32" s="78" t="s">
        <v>12290</v>
      </c>
      <c r="AX32" s="6" t="s">
        <v>11288</v>
      </c>
      <c r="AY32" s="6">
        <v>50140</v>
      </c>
    </row>
    <row r="33" spans="41:51" x14ac:dyDescent="0.3">
      <c r="AO33" s="6">
        <v>33</v>
      </c>
      <c r="AQ33" s="65" t="s">
        <v>11361</v>
      </c>
      <c r="AR33" s="47" t="s">
        <v>11331</v>
      </c>
      <c r="AW33" s="78" t="s">
        <v>12290</v>
      </c>
      <c r="AX33" s="6" t="s">
        <v>11289</v>
      </c>
      <c r="AY33" s="6">
        <v>50141</v>
      </c>
    </row>
    <row r="34" spans="41:51" x14ac:dyDescent="0.3">
      <c r="AO34" s="6">
        <v>34</v>
      </c>
      <c r="AQ34" s="65" t="s">
        <v>11362</v>
      </c>
      <c r="AR34" s="47" t="s">
        <v>11331</v>
      </c>
      <c r="AW34" s="78" t="s">
        <v>12290</v>
      </c>
      <c r="AX34" s="6" t="s">
        <v>11290</v>
      </c>
      <c r="AY34" s="6">
        <v>50142</v>
      </c>
    </row>
    <row r="35" spans="41:51" x14ac:dyDescent="0.3">
      <c r="AO35" s="6">
        <v>35</v>
      </c>
      <c r="AQ35" s="65" t="s">
        <v>11363</v>
      </c>
      <c r="AR35" s="47" t="s">
        <v>11331</v>
      </c>
      <c r="AW35" s="78" t="s">
        <v>12290</v>
      </c>
      <c r="AX35" s="6" t="s">
        <v>11291</v>
      </c>
      <c r="AY35" s="6">
        <v>50143</v>
      </c>
    </row>
    <row r="36" spans="41:51" x14ac:dyDescent="0.3">
      <c r="AO36" s="6">
        <v>36</v>
      </c>
      <c r="AQ36" s="65" t="s">
        <v>11364</v>
      </c>
      <c r="AR36" s="47" t="s">
        <v>11334</v>
      </c>
      <c r="AW36" s="78" t="s">
        <v>12290</v>
      </c>
      <c r="AX36" s="6" t="str">
        <f>IFERROR(VLOOKUP(1,AZ18:BA20,2,0),"")</f>
        <v/>
      </c>
      <c r="AY36" s="6">
        <v>10806</v>
      </c>
    </row>
    <row r="37" spans="41:51" x14ac:dyDescent="0.3">
      <c r="AO37" s="6">
        <v>37</v>
      </c>
      <c r="AQ37" s="65" t="s">
        <v>11365</v>
      </c>
      <c r="AR37" s="47" t="s">
        <v>11331</v>
      </c>
      <c r="AW37" s="78" t="s">
        <v>12313</v>
      </c>
      <c r="AX37" s="6" t="s">
        <v>12305</v>
      </c>
      <c r="AY37" s="6">
        <v>50144</v>
      </c>
    </row>
    <row r="38" spans="41:51" x14ac:dyDescent="0.3">
      <c r="AO38" s="6">
        <v>38</v>
      </c>
      <c r="AQ38" s="65" t="s">
        <v>11366</v>
      </c>
      <c r="AR38" s="47" t="s">
        <v>11334</v>
      </c>
      <c r="AW38" s="78" t="s">
        <v>12314</v>
      </c>
      <c r="AX38" s="6" t="s">
        <v>12306</v>
      </c>
      <c r="AY38" s="6">
        <v>50145</v>
      </c>
    </row>
    <row r="39" spans="41:51" x14ac:dyDescent="0.3">
      <c r="AO39" s="6">
        <v>39</v>
      </c>
      <c r="AQ39" s="65" t="s">
        <v>11367</v>
      </c>
      <c r="AR39" s="47" t="s">
        <v>11334</v>
      </c>
      <c r="AW39" s="79" t="s">
        <v>12291</v>
      </c>
      <c r="AX39" t="s">
        <v>11292</v>
      </c>
      <c r="AY39" s="77">
        <v>50146</v>
      </c>
    </row>
    <row r="40" spans="41:51" x14ac:dyDescent="0.3">
      <c r="AO40" s="6">
        <v>40</v>
      </c>
      <c r="AQ40" s="65" t="s">
        <v>11368</v>
      </c>
      <c r="AR40" s="47" t="s">
        <v>11334</v>
      </c>
      <c r="AW40" s="79" t="s">
        <v>12291</v>
      </c>
      <c r="AX40" s="6" t="str">
        <f>CONCATENATE(" Including Occupational Disease upto INR"," ",od_per_person_limit," ","per person"," ",Master!AV11)</f>
        <v xml:space="preserve"> Including Occupational Disease upto INR  per person Occupational Disease Coverage subject to:
     a. Occupational disease coverage is limited to Employees Compensation Act 1923 only and does not apply to any other Law,  
     b. No cover for disease other than Occupational Diseases listed in Part A, Schedule III of Employees Compensation Act, 1923</v>
      </c>
      <c r="AY40" s="6">
        <v>50146</v>
      </c>
    </row>
    <row r="41" spans="41:51" x14ac:dyDescent="0.3">
      <c r="AO41" s="6">
        <v>41</v>
      </c>
      <c r="AQ41" s="65" t="s">
        <v>11369</v>
      </c>
      <c r="AR41" s="47" t="s">
        <v>11334</v>
      </c>
      <c r="AW41" s="79" t="s">
        <v>12291</v>
      </c>
      <c r="AX41" s="6" t="str">
        <f>CONCATENATE(" Including Occupational Disease in aggegrate upto INR"," ",od_aggregate_limit," ",Master!AV11)</f>
        <v xml:space="preserve"> Including Occupational Disease in aggegrate upto INR  Occupational Disease Coverage subject to:
     a. Occupational disease coverage is limited to Employees Compensation Act 1923 only and does not apply to any other Law,  
     b. No cover for disease other than Occupational Diseases listed in Part A, Schedule III of Employees Compensation Act, 1923</v>
      </c>
      <c r="AY41" s="6">
        <v>50146</v>
      </c>
    </row>
    <row r="42" spans="41:51" x14ac:dyDescent="0.3">
      <c r="AO42" s="6">
        <v>42</v>
      </c>
      <c r="AQ42" s="65" t="s">
        <v>11370</v>
      </c>
      <c r="AR42" s="47" t="s">
        <v>11334</v>
      </c>
      <c r="AW42" s="79" t="s">
        <v>12291</v>
      </c>
      <c r="AX42" s="6" t="str">
        <f>CONCATENATE(" Including Occupational Disease upto INR"," ",od_per_person_limit," ","per person and aggregate limit upto INR"," ",od_aggregate_limit," ","for the policy period"," ",Master!AV11)</f>
        <v xml:space="preserve"> Including Occupational Disease upto INR  per person and aggregate limit upto INR  for the policy period Occupational Disease Coverage subject to:
     a. Occupational disease coverage is limited to Employees Compensation Act 1923 only and does not apply to any other Law,  
     b. No cover for disease other than Occupational Diseases listed in Part A, Schedule III of Employees Compensation Act, 1923</v>
      </c>
      <c r="AY42" s="6">
        <v>50146</v>
      </c>
    </row>
    <row r="43" spans="41:51" x14ac:dyDescent="0.3">
      <c r="AO43" s="6">
        <v>43</v>
      </c>
      <c r="AQ43" s="65" t="s">
        <v>11371</v>
      </c>
      <c r="AR43" s="47" t="s">
        <v>11331</v>
      </c>
      <c r="AW43" s="80" t="s">
        <v>12292</v>
      </c>
      <c r="AX43" s="6" t="str">
        <f>CONCATENATE(" Loss History for last 3 years:"," ","-"," ",loss_history)</f>
        <v xml:space="preserve"> Loss History for last 3 years: - no</v>
      </c>
      <c r="AY43" s="77">
        <v>50149</v>
      </c>
    </row>
    <row r="44" spans="41:51" x14ac:dyDescent="0.3">
      <c r="AO44" s="6">
        <v>44</v>
      </c>
      <c r="AQ44" s="64" t="s">
        <v>11372</v>
      </c>
      <c r="AR44" s="47" t="s">
        <v>11331</v>
      </c>
    </row>
    <row r="45" spans="41:51" x14ac:dyDescent="0.3">
      <c r="AO45" s="6">
        <v>45</v>
      </c>
      <c r="AQ45" s="64" t="s">
        <v>11373</v>
      </c>
      <c r="AR45" s="47" t="s">
        <v>11331</v>
      </c>
    </row>
    <row r="46" spans="41:51" x14ac:dyDescent="0.3">
      <c r="AO46" s="6">
        <v>46</v>
      </c>
      <c r="AQ46" s="64" t="s">
        <v>11374</v>
      </c>
      <c r="AR46" s="47" t="s">
        <v>11331</v>
      </c>
    </row>
    <row r="47" spans="41:51" x14ac:dyDescent="0.3">
      <c r="AO47" s="6">
        <v>47</v>
      </c>
      <c r="AQ47" s="64" t="s">
        <v>11375</v>
      </c>
      <c r="AR47" s="47" t="s">
        <v>11331</v>
      </c>
    </row>
    <row r="48" spans="41:51" ht="65.400000000000006" customHeight="1" x14ac:dyDescent="0.3">
      <c r="AO48" s="6">
        <v>48</v>
      </c>
      <c r="AQ48" s="65" t="s">
        <v>11365</v>
      </c>
      <c r="AR48" s="47" t="s">
        <v>11331</v>
      </c>
    </row>
    <row r="49" spans="41:44" x14ac:dyDescent="0.3">
      <c r="AO49" s="6">
        <v>49</v>
      </c>
      <c r="AQ49" s="64" t="s">
        <v>11376</v>
      </c>
      <c r="AR49" s="47" t="s">
        <v>11331</v>
      </c>
    </row>
    <row r="50" spans="41:44" x14ac:dyDescent="0.3">
      <c r="AO50" s="6">
        <v>50</v>
      </c>
      <c r="AQ50" s="64" t="s">
        <v>11377</v>
      </c>
      <c r="AR50" s="47" t="s">
        <v>11331</v>
      </c>
    </row>
    <row r="51" spans="41:44" x14ac:dyDescent="0.3">
      <c r="AQ51" s="64" t="s">
        <v>11378</v>
      </c>
      <c r="AR51" s="47" t="s">
        <v>11331</v>
      </c>
    </row>
    <row r="52" spans="41:44" x14ac:dyDescent="0.3">
      <c r="AQ52" s="64" t="s">
        <v>11379</v>
      </c>
      <c r="AR52" s="47" t="s">
        <v>11331</v>
      </c>
    </row>
    <row r="53" spans="41:44" x14ac:dyDescent="0.3">
      <c r="AQ53" s="64" t="s">
        <v>11380</v>
      </c>
      <c r="AR53" s="47" t="s">
        <v>11331</v>
      </c>
    </row>
    <row r="54" spans="41:44" x14ac:dyDescent="0.3">
      <c r="AQ54" s="64" t="s">
        <v>11391</v>
      </c>
      <c r="AR54" s="47" t="s">
        <v>11331</v>
      </c>
    </row>
    <row r="55" spans="41:44" x14ac:dyDescent="0.3">
      <c r="AQ55" s="65" t="s">
        <v>11332</v>
      </c>
      <c r="AR55" s="47" t="s">
        <v>11332</v>
      </c>
    </row>
    <row r="56" spans="41:44" x14ac:dyDescent="0.3">
      <c r="AQ56" s="65" t="s">
        <v>11333</v>
      </c>
      <c r="AR56" s="47" t="s">
        <v>11334</v>
      </c>
    </row>
    <row r="57" spans="41:44" x14ac:dyDescent="0.3">
      <c r="AQ57" s="65" t="s">
        <v>11335</v>
      </c>
      <c r="AR57" s="47" t="s">
        <v>11334</v>
      </c>
    </row>
    <row r="58" spans="41:44" x14ac:dyDescent="0.3">
      <c r="AQ58" s="65" t="s">
        <v>11392</v>
      </c>
      <c r="AR58" s="47" t="s">
        <v>11334</v>
      </c>
    </row>
    <row r="59" spans="41:44" x14ac:dyDescent="0.3">
      <c r="AQ59" s="65" t="s">
        <v>11337</v>
      </c>
      <c r="AR59" s="47" t="s">
        <v>11334</v>
      </c>
    </row>
    <row r="60" spans="41:44" x14ac:dyDescent="0.3">
      <c r="AQ60" s="65" t="s">
        <v>11338</v>
      </c>
      <c r="AR60" s="47" t="s">
        <v>11334</v>
      </c>
    </row>
    <row r="61" spans="41:44" x14ac:dyDescent="0.3">
      <c r="AQ61" s="65" t="s">
        <v>11334</v>
      </c>
      <c r="AR61" s="47" t="s">
        <v>11334</v>
      </c>
    </row>
    <row r="62" spans="41:44" x14ac:dyDescent="0.3">
      <c r="AQ62" s="65" t="s">
        <v>11393</v>
      </c>
      <c r="AR62" s="47" t="s">
        <v>11334</v>
      </c>
    </row>
    <row r="63" spans="41:44" x14ac:dyDescent="0.3">
      <c r="AQ63" s="65" t="s">
        <v>11394</v>
      </c>
      <c r="AR63" s="47" t="s">
        <v>11334</v>
      </c>
    </row>
    <row r="64" spans="41:44" x14ac:dyDescent="0.3">
      <c r="AQ64" s="65" t="s">
        <v>11341</v>
      </c>
      <c r="AR64" s="47" t="s">
        <v>11334</v>
      </c>
    </row>
    <row r="65" spans="43:44" x14ac:dyDescent="0.3">
      <c r="AQ65" s="65" t="s">
        <v>11342</v>
      </c>
      <c r="AR65" s="47" t="s">
        <v>11334</v>
      </c>
    </row>
    <row r="66" spans="43:44" x14ac:dyDescent="0.3">
      <c r="AQ66" s="65" t="s">
        <v>192</v>
      </c>
      <c r="AR66" s="47" t="s">
        <v>11334</v>
      </c>
    </row>
    <row r="67" spans="43:44" x14ac:dyDescent="0.3">
      <c r="AQ67" s="65" t="s">
        <v>11343</v>
      </c>
      <c r="AR67" s="47" t="s">
        <v>11334</v>
      </c>
    </row>
    <row r="68" spans="43:44" x14ac:dyDescent="0.3">
      <c r="AQ68" s="65" t="s">
        <v>11395</v>
      </c>
      <c r="AR68" s="47" t="s">
        <v>11334</v>
      </c>
    </row>
    <row r="69" spans="43:44" x14ac:dyDescent="0.3">
      <c r="AQ69" s="65" t="s">
        <v>11396</v>
      </c>
      <c r="AR69" s="47" t="s">
        <v>11334</v>
      </c>
    </row>
    <row r="70" spans="43:44" x14ac:dyDescent="0.3">
      <c r="AQ70" s="65" t="s">
        <v>11397</v>
      </c>
      <c r="AR70" s="47" t="s">
        <v>11334</v>
      </c>
    </row>
    <row r="71" spans="43:44" x14ac:dyDescent="0.3">
      <c r="AQ71" s="65" t="s">
        <v>11398</v>
      </c>
      <c r="AR71" s="47" t="s">
        <v>11334</v>
      </c>
    </row>
    <row r="72" spans="43:44" x14ac:dyDescent="0.3">
      <c r="AQ72" s="65" t="s">
        <v>11399</v>
      </c>
      <c r="AR72" s="47" t="s">
        <v>11334</v>
      </c>
    </row>
    <row r="73" spans="43:44" x14ac:dyDescent="0.3">
      <c r="AQ73" s="65" t="s">
        <v>11400</v>
      </c>
      <c r="AR73" s="47" t="s">
        <v>11334</v>
      </c>
    </row>
    <row r="74" spans="43:44" x14ac:dyDescent="0.3">
      <c r="AQ74" s="65" t="s">
        <v>11401</v>
      </c>
      <c r="AR74" s="47" t="s">
        <v>11334</v>
      </c>
    </row>
    <row r="75" spans="43:44" x14ac:dyDescent="0.3">
      <c r="AQ75" s="65" t="s">
        <v>11351</v>
      </c>
      <c r="AR75" s="47" t="s">
        <v>11334</v>
      </c>
    </row>
    <row r="76" spans="43:44" x14ac:dyDescent="0.3">
      <c r="AQ76" s="65" t="s">
        <v>11352</v>
      </c>
      <c r="AR76" s="47" t="s">
        <v>11331</v>
      </c>
    </row>
    <row r="77" spans="43:44" x14ac:dyDescent="0.3">
      <c r="AQ77" s="65" t="s">
        <v>11353</v>
      </c>
      <c r="AR77" s="47" t="s">
        <v>11334</v>
      </c>
    </row>
    <row r="78" spans="43:44" x14ac:dyDescent="0.3">
      <c r="AQ78" s="65" t="s">
        <v>11354</v>
      </c>
      <c r="AR78" s="47" t="s">
        <v>11331</v>
      </c>
    </row>
    <row r="79" spans="43:44" x14ac:dyDescent="0.3">
      <c r="AQ79" s="65" t="s">
        <v>11355</v>
      </c>
      <c r="AR79" s="47" t="s">
        <v>11334</v>
      </c>
    </row>
    <row r="80" spans="43:44" x14ac:dyDescent="0.3">
      <c r="AQ80" s="65" t="s">
        <v>11356</v>
      </c>
      <c r="AR80" s="47" t="s">
        <v>11331</v>
      </c>
    </row>
    <row r="81" spans="43:44" x14ac:dyDescent="0.3">
      <c r="AQ81" s="65" t="s">
        <v>11402</v>
      </c>
      <c r="AR81" s="47" t="s">
        <v>11331</v>
      </c>
    </row>
    <row r="82" spans="43:44" x14ac:dyDescent="0.3">
      <c r="AQ82" s="65" t="s">
        <v>11403</v>
      </c>
      <c r="AR82" s="47" t="s">
        <v>11331</v>
      </c>
    </row>
    <row r="83" spans="43:44" x14ac:dyDescent="0.3">
      <c r="AQ83" s="65" t="s">
        <v>11404</v>
      </c>
      <c r="AR83" s="47" t="s">
        <v>11331</v>
      </c>
    </row>
    <row r="84" spans="43:44" x14ac:dyDescent="0.3">
      <c r="AQ84" s="65" t="s">
        <v>11405</v>
      </c>
      <c r="AR84" s="47" t="s">
        <v>11331</v>
      </c>
    </row>
    <row r="85" spans="43:44" x14ac:dyDescent="0.3">
      <c r="AQ85" s="65" t="s">
        <v>11406</v>
      </c>
      <c r="AR85" s="47" t="s">
        <v>11331</v>
      </c>
    </row>
    <row r="86" spans="43:44" x14ac:dyDescent="0.3">
      <c r="AQ86" s="65" t="s">
        <v>11407</v>
      </c>
      <c r="AR86" s="47" t="s">
        <v>11331</v>
      </c>
    </row>
    <row r="87" spans="43:44" x14ac:dyDescent="0.3">
      <c r="AQ87" s="65" t="s">
        <v>11408</v>
      </c>
      <c r="AR87" s="47" t="s">
        <v>11331</v>
      </c>
    </row>
    <row r="88" spans="43:44" x14ac:dyDescent="0.3">
      <c r="AQ88" s="65" t="s">
        <v>11364</v>
      </c>
      <c r="AR88" s="47" t="s">
        <v>11334</v>
      </c>
    </row>
    <row r="89" spans="43:44" x14ac:dyDescent="0.3">
      <c r="AQ89" s="65" t="s">
        <v>11409</v>
      </c>
      <c r="AR89" s="47" t="s">
        <v>11331</v>
      </c>
    </row>
    <row r="90" spans="43:44" x14ac:dyDescent="0.3">
      <c r="AQ90" s="65" t="s">
        <v>11366</v>
      </c>
      <c r="AR90" s="47" t="s">
        <v>11334</v>
      </c>
    </row>
    <row r="91" spans="43:44" x14ac:dyDescent="0.3">
      <c r="AQ91" s="65" t="s">
        <v>11367</v>
      </c>
      <c r="AR91" s="47" t="s">
        <v>11334</v>
      </c>
    </row>
    <row r="92" spans="43:44" x14ac:dyDescent="0.3">
      <c r="AQ92" s="65" t="s">
        <v>11410</v>
      </c>
      <c r="AR92" s="47" t="s">
        <v>11334</v>
      </c>
    </row>
    <row r="93" spans="43:44" x14ac:dyDescent="0.3">
      <c r="AQ93" s="65" t="s">
        <v>11369</v>
      </c>
      <c r="AR93" s="47" t="s">
        <v>11334</v>
      </c>
    </row>
    <row r="94" spans="43:44" x14ac:dyDescent="0.3">
      <c r="AQ94" s="65" t="s">
        <v>11411</v>
      </c>
      <c r="AR94" s="47" t="s">
        <v>11334</v>
      </c>
    </row>
    <row r="95" spans="43:44" x14ac:dyDescent="0.3">
      <c r="AQ95" s="65" t="s">
        <v>11412</v>
      </c>
      <c r="AR95" s="47" t="s">
        <v>11331</v>
      </c>
    </row>
    <row r="96" spans="43:44" x14ac:dyDescent="0.3">
      <c r="AQ96" s="64" t="s">
        <v>11413</v>
      </c>
      <c r="AR96" s="47" t="s">
        <v>11331</v>
      </c>
    </row>
    <row r="97" spans="43:44" x14ac:dyDescent="0.3">
      <c r="AQ97" s="64" t="s">
        <v>11414</v>
      </c>
      <c r="AR97" s="47" t="s">
        <v>11331</v>
      </c>
    </row>
    <row r="98" spans="43:44" x14ac:dyDescent="0.3">
      <c r="AQ98" s="64" t="s">
        <v>11415</v>
      </c>
      <c r="AR98" s="47" t="s">
        <v>11331</v>
      </c>
    </row>
    <row r="99" spans="43:44" x14ac:dyDescent="0.3">
      <c r="AQ99" s="64" t="s">
        <v>11416</v>
      </c>
      <c r="AR99" s="47" t="s">
        <v>11331</v>
      </c>
    </row>
    <row r="100" spans="43:44" x14ac:dyDescent="0.3">
      <c r="AQ100" s="65" t="s">
        <v>11409</v>
      </c>
      <c r="AR100" s="47" t="s">
        <v>11331</v>
      </c>
    </row>
    <row r="101" spans="43:44" x14ac:dyDescent="0.3">
      <c r="AQ101" s="64" t="s">
        <v>11417</v>
      </c>
      <c r="AR101" s="47" t="s">
        <v>11331</v>
      </c>
    </row>
    <row r="102" spans="43:44" x14ac:dyDescent="0.3">
      <c r="AQ102" s="64" t="s">
        <v>11418</v>
      </c>
      <c r="AR102" s="47" t="s">
        <v>11331</v>
      </c>
    </row>
    <row r="103" spans="43:44" x14ac:dyDescent="0.3">
      <c r="AQ103" s="64" t="s">
        <v>11378</v>
      </c>
      <c r="AR103" s="47" t="s">
        <v>11331</v>
      </c>
    </row>
    <row r="104" spans="43:44" x14ac:dyDescent="0.3">
      <c r="AQ104" s="64" t="s">
        <v>11419</v>
      </c>
      <c r="AR104" s="47" t="s">
        <v>11331</v>
      </c>
    </row>
    <row r="105" spans="43:44" x14ac:dyDescent="0.3">
      <c r="AQ105" s="64" t="s">
        <v>11420</v>
      </c>
      <c r="AR105" s="47" t="s">
        <v>11331</v>
      </c>
    </row>
  </sheetData>
  <mergeCells count="24">
    <mergeCell ref="Q24:Q25"/>
    <mergeCell ref="Q26:Q27"/>
    <mergeCell ref="Q28:Q29"/>
    <mergeCell ref="AW21:AX21"/>
    <mergeCell ref="Q12:Q15"/>
    <mergeCell ref="Q16:Q17"/>
    <mergeCell ref="Q18:Q19"/>
    <mergeCell ref="U12:U13"/>
    <mergeCell ref="U14:U15"/>
    <mergeCell ref="U16:U17"/>
    <mergeCell ref="Q20:Q21"/>
    <mergeCell ref="Q22:Q23"/>
    <mergeCell ref="U10:U11"/>
    <mergeCell ref="Q1:S1"/>
    <mergeCell ref="Q2:Q3"/>
    <mergeCell ref="Q4:Q5"/>
    <mergeCell ref="Q6:Q7"/>
    <mergeCell ref="Q8:Q9"/>
    <mergeCell ref="Q10:Q11"/>
    <mergeCell ref="U1:W1"/>
    <mergeCell ref="U2:U3"/>
    <mergeCell ref="U4:U5"/>
    <mergeCell ref="U6:U7"/>
    <mergeCell ref="U8:U9"/>
  </mergeCells>
  <phoneticPr fontId="9"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C2:I20"/>
  <sheetViews>
    <sheetView workbookViewId="0">
      <selection activeCell="H3" sqref="H3"/>
    </sheetView>
  </sheetViews>
  <sheetFormatPr defaultRowHeight="14.4" x14ac:dyDescent="0.3"/>
  <cols>
    <col min="1" max="2" width="8.88671875" style="6"/>
    <col min="3" max="3" width="10.5546875" style="6" bestFit="1" customWidth="1"/>
    <col min="4" max="4" width="23.109375" style="6" bestFit="1" customWidth="1"/>
    <col min="5" max="5" width="14.33203125" style="6" bestFit="1" customWidth="1"/>
    <col min="6" max="6" width="13.6640625" style="6" bestFit="1" customWidth="1"/>
    <col min="7" max="7" width="8.88671875" style="6"/>
    <col min="8" max="8" width="9.6640625" style="6" bestFit="1" customWidth="1"/>
    <col min="9" max="16384" width="8.88671875" style="6"/>
  </cols>
  <sheetData>
    <row r="2" spans="3:9" x14ac:dyDescent="0.3">
      <c r="C2" s="13" t="s">
        <v>173</v>
      </c>
      <c r="D2" s="13" t="s">
        <v>36</v>
      </c>
      <c r="E2" s="13" t="s">
        <v>37</v>
      </c>
      <c r="F2" s="13" t="s">
        <v>38</v>
      </c>
      <c r="G2" s="13" t="s">
        <v>39</v>
      </c>
      <c r="H2" s="13" t="s">
        <v>40</v>
      </c>
    </row>
    <row r="3" spans="3:9" x14ac:dyDescent="0.3">
      <c r="C3" s="13" t="s">
        <v>193</v>
      </c>
      <c r="D3" s="13"/>
      <c r="E3" s="20">
        <f>SUM(od_per_person_limit*total_workers)</f>
        <v>0</v>
      </c>
      <c r="F3" s="13">
        <f>od_aggregate_limit</f>
        <v>0</v>
      </c>
      <c r="G3" s="13" t="str">
        <f>od_actuals</f>
        <v>no</v>
      </c>
      <c r="H3" s="1">
        <f>IFERROR(IF(G3="Yes",G4,INDEX($E$17:$H$20,MATCH($E$4,$D$17:$D$20,0),MATCH($F$4,$E$16:$H$16,0))),0)</f>
        <v>0</v>
      </c>
    </row>
    <row r="4" spans="3:9" x14ac:dyDescent="0.3">
      <c r="D4" s="6" t="str">
        <f>IFERROR(VLOOKUP(D3,$E$8:$F$11,2,1),0)</f>
        <v>No Limit</v>
      </c>
      <c r="E4" s="6" t="str">
        <f>IFERROR(VLOOKUP(E3,$E$8:$F$11,2,1),0)</f>
        <v>No Limit</v>
      </c>
      <c r="F4" s="6" t="str">
        <f>IFERROR(VLOOKUP(F3,$H$8:$I$11,2,1),0)</f>
        <v>No Limit</v>
      </c>
      <c r="G4" s="21">
        <f>IF(G3="Yes",G19,0%)</f>
        <v>0</v>
      </c>
    </row>
    <row r="7" spans="3:9" x14ac:dyDescent="0.3">
      <c r="C7" s="26" t="s">
        <v>41</v>
      </c>
      <c r="D7" s="27" t="s">
        <v>191</v>
      </c>
      <c r="E7" s="222" t="s">
        <v>189</v>
      </c>
      <c r="F7" s="222"/>
      <c r="H7" s="222" t="s">
        <v>190</v>
      </c>
      <c r="I7" s="222"/>
    </row>
    <row r="8" spans="3:9" x14ac:dyDescent="0.3">
      <c r="C8" s="25" t="s">
        <v>137</v>
      </c>
      <c r="D8" s="31">
        <v>0</v>
      </c>
      <c r="E8" s="28">
        <v>0</v>
      </c>
      <c r="F8" s="28" t="s">
        <v>183</v>
      </c>
      <c r="H8" s="28">
        <v>0</v>
      </c>
      <c r="I8" s="28" t="s">
        <v>183</v>
      </c>
    </row>
    <row r="9" spans="3:9" x14ac:dyDescent="0.3">
      <c r="C9" s="25" t="s">
        <v>11469</v>
      </c>
      <c r="D9" s="31">
        <v>0</v>
      </c>
      <c r="E9" s="28">
        <v>0.01</v>
      </c>
      <c r="F9" s="28" t="s">
        <v>178</v>
      </c>
      <c r="H9" s="28">
        <v>0.01</v>
      </c>
      <c r="I9" s="28" t="s">
        <v>178</v>
      </c>
    </row>
    <row r="10" spans="3:9" x14ac:dyDescent="0.3">
      <c r="C10" s="25" t="s">
        <v>192</v>
      </c>
      <c r="D10" s="31">
        <v>0</v>
      </c>
      <c r="E10" s="28">
        <v>500000.01</v>
      </c>
      <c r="F10" s="28" t="s">
        <v>194</v>
      </c>
      <c r="H10" s="28">
        <v>500000.01</v>
      </c>
      <c r="I10" s="28" t="s">
        <v>194</v>
      </c>
    </row>
    <row r="11" spans="3:9" x14ac:dyDescent="0.3">
      <c r="E11" s="28">
        <v>5000000.01</v>
      </c>
      <c r="F11" s="28" t="s">
        <v>195</v>
      </c>
      <c r="H11" s="28">
        <v>5000000.01</v>
      </c>
      <c r="I11" s="28" t="s">
        <v>195</v>
      </c>
    </row>
    <row r="15" spans="3:9" x14ac:dyDescent="0.3">
      <c r="D15" s="223" t="s">
        <v>177</v>
      </c>
      <c r="E15" s="223" t="s">
        <v>38</v>
      </c>
      <c r="F15" s="223"/>
      <c r="G15" s="223"/>
      <c r="H15" s="223"/>
    </row>
    <row r="16" spans="3:9" x14ac:dyDescent="0.3">
      <c r="D16" s="223"/>
      <c r="E16" s="27" t="s">
        <v>178</v>
      </c>
      <c r="F16" s="27" t="s">
        <v>194</v>
      </c>
      <c r="G16" s="27" t="s">
        <v>195</v>
      </c>
      <c r="H16" s="27" t="s">
        <v>183</v>
      </c>
    </row>
    <row r="17" spans="4:8" x14ac:dyDescent="0.3">
      <c r="D17" s="29" t="s">
        <v>178</v>
      </c>
      <c r="E17" s="30">
        <v>0.15</v>
      </c>
      <c r="F17" s="30">
        <v>0.2</v>
      </c>
      <c r="G17" s="30">
        <v>0.25</v>
      </c>
      <c r="H17" s="30">
        <v>0.15</v>
      </c>
    </row>
    <row r="18" spans="4:8" x14ac:dyDescent="0.3">
      <c r="D18" s="29" t="s">
        <v>194</v>
      </c>
      <c r="E18" s="30">
        <v>0.2</v>
      </c>
      <c r="F18" s="30">
        <v>0.2</v>
      </c>
      <c r="G18" s="30">
        <v>0.25</v>
      </c>
      <c r="H18" s="30">
        <v>0.2</v>
      </c>
    </row>
    <row r="19" spans="4:8" x14ac:dyDescent="0.3">
      <c r="D19" s="29" t="s">
        <v>195</v>
      </c>
      <c r="E19" s="30">
        <v>0.25</v>
      </c>
      <c r="F19" s="30">
        <v>0.25</v>
      </c>
      <c r="G19" s="30">
        <v>0.25</v>
      </c>
      <c r="H19" s="30">
        <v>0.25</v>
      </c>
    </row>
    <row r="20" spans="4:8" x14ac:dyDescent="0.3">
      <c r="D20" s="29" t="s">
        <v>183</v>
      </c>
      <c r="E20" s="30">
        <v>0.15</v>
      </c>
      <c r="F20" s="30">
        <v>0.2</v>
      </c>
      <c r="G20" s="30">
        <v>0.25</v>
      </c>
      <c r="H20" s="30">
        <v>0</v>
      </c>
    </row>
  </sheetData>
  <mergeCells count="4">
    <mergeCell ref="E7:F7"/>
    <mergeCell ref="H7:I7"/>
    <mergeCell ref="D15:D16"/>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C2:P24"/>
  <sheetViews>
    <sheetView topLeftCell="B1" workbookViewId="0">
      <selection activeCell="M17" sqref="M17"/>
    </sheetView>
  </sheetViews>
  <sheetFormatPr defaultRowHeight="14.4" x14ac:dyDescent="0.3"/>
  <cols>
    <col min="1" max="2" width="8.88671875" style="6"/>
    <col min="3" max="3" width="10.5546875" style="6" bestFit="1" customWidth="1"/>
    <col min="4" max="4" width="16" style="6" bestFit="1" customWidth="1"/>
    <col min="5" max="5" width="23.109375" style="6" bestFit="1" customWidth="1"/>
    <col min="6" max="6" width="14.33203125" style="6" bestFit="1" customWidth="1"/>
    <col min="7" max="7" width="13.6640625" style="6" bestFit="1" customWidth="1"/>
    <col min="8" max="8" width="8.88671875" style="6"/>
    <col min="9" max="9" width="11.33203125" style="6" bestFit="1" customWidth="1"/>
    <col min="10" max="13" width="8.88671875" style="6"/>
    <col min="14" max="14" width="16.33203125" style="6" bestFit="1" customWidth="1"/>
    <col min="15" max="15" width="13.88671875" style="6" bestFit="1" customWidth="1"/>
    <col min="16" max="16" width="21.6640625" style="6" bestFit="1" customWidth="1"/>
    <col min="17" max="16384" width="8.88671875" style="6"/>
  </cols>
  <sheetData>
    <row r="2" spans="3:16" x14ac:dyDescent="0.3">
      <c r="D2" s="13" t="s">
        <v>173</v>
      </c>
      <c r="E2" s="13" t="s">
        <v>36</v>
      </c>
      <c r="F2" s="13" t="s">
        <v>37</v>
      </c>
      <c r="G2" s="13" t="s">
        <v>38</v>
      </c>
      <c r="H2" s="13" t="s">
        <v>39</v>
      </c>
      <c r="I2" s="13" t="s">
        <v>40</v>
      </c>
      <c r="J2" s="13" t="s">
        <v>41</v>
      </c>
      <c r="O2" s="6" t="s">
        <v>11463</v>
      </c>
      <c r="P2" s="6" t="s">
        <v>11464</v>
      </c>
    </row>
    <row r="3" spans="3:16" x14ac:dyDescent="0.3">
      <c r="D3" s="13" t="s">
        <v>176</v>
      </c>
      <c r="E3" s="13">
        <f>medex_option</f>
        <v>0</v>
      </c>
      <c r="F3" s="13">
        <f>medex_per_person_limit</f>
        <v>0</v>
      </c>
      <c r="G3" s="13">
        <f>medex_aggregate_limit</f>
        <v>0</v>
      </c>
      <c r="H3" s="13" t="str">
        <f>medex_actuals</f>
        <v>no</v>
      </c>
      <c r="I3" s="1">
        <f>IF(H3="yes",H4,IF(J3="",INDEX($E$19:$J$24,MATCH(F4,$D$19:$D$24,0),MATCH(G4,$E$18:$J$18,0)),IF(J3&lt;&gt;"",INDEX($E$19:$J$24,MATCH(F4,$D$19:$D$24,0),MATCH(G4,$E$18:$J$18,0))*(1+VLOOKUP(J3,$C$9:$D$11,2,0)),0)))</f>
        <v>0</v>
      </c>
      <c r="J3" s="13" t="str">
        <f>medex_location</f>
        <v/>
      </c>
      <c r="N3" s="6" t="s">
        <v>73</v>
      </c>
      <c r="O3" s="6">
        <f ca="1">SUM(net_premium*(1+final_load_disc))</f>
        <v>0</v>
      </c>
      <c r="P3" s="6">
        <f ca="1">SUM(O3*(1+final_load_disc_per))</f>
        <v>0</v>
      </c>
    </row>
    <row r="4" spans="3:16" x14ac:dyDescent="0.3">
      <c r="E4" s="6" t="str">
        <f>IFERROR(VLOOKUP(E3,$F$9:$G$14,2,1),0)</f>
        <v>No Limit</v>
      </c>
      <c r="F4" s="6" t="str">
        <f>IFERROR(VLOOKUP(F3,$F$9:$G$14,2,1),0)</f>
        <v>No Limit</v>
      </c>
      <c r="G4" s="6" t="str">
        <f>IFERROR(VLOOKUP(G3,$I$9:$J$14,2,1),0)</f>
        <v>No Limit</v>
      </c>
      <c r="H4" s="53">
        <f>IF(H3="Yes",(1+VLOOKUP(J3,C9:D11,2,0))*I24,0%)</f>
        <v>0</v>
      </c>
      <c r="N4" s="6" t="s">
        <v>74</v>
      </c>
      <c r="O4" s="6">
        <f ca="1">SUM(statutory_premium*medex_loading)</f>
        <v>0</v>
      </c>
      <c r="P4" s="6">
        <f ca="1">ROUND(SUM(O4*(1+final_load_disc_per)),0)</f>
        <v>0</v>
      </c>
    </row>
    <row r="5" spans="3:16" x14ac:dyDescent="0.3">
      <c r="N5" s="6" t="s">
        <v>75</v>
      </c>
      <c r="O5" s="6">
        <f ca="1">SUM(statutory_premium*od_loading)</f>
        <v>0</v>
      </c>
      <c r="P5" s="6">
        <f ca="1">ROUND(SUM(O5*(1+final_load_disc_per)),0)</f>
        <v>0</v>
      </c>
    </row>
    <row r="6" spans="3:16" x14ac:dyDescent="0.3">
      <c r="I6" s="53"/>
    </row>
    <row r="8" spans="3:16" x14ac:dyDescent="0.3">
      <c r="C8" s="26" t="s">
        <v>41</v>
      </c>
      <c r="D8" s="27" t="s">
        <v>191</v>
      </c>
      <c r="F8" s="224" t="s">
        <v>189</v>
      </c>
      <c r="G8" s="224"/>
      <c r="I8" s="224" t="s">
        <v>190</v>
      </c>
      <c r="J8" s="224"/>
    </row>
    <row r="9" spans="3:16" x14ac:dyDescent="0.3">
      <c r="C9" s="25" t="s">
        <v>137</v>
      </c>
      <c r="D9" s="31">
        <v>0.3</v>
      </c>
      <c r="F9" s="20">
        <v>0</v>
      </c>
      <c r="G9" s="32" t="s">
        <v>183</v>
      </c>
      <c r="I9" s="32">
        <v>0</v>
      </c>
      <c r="J9" s="32" t="s">
        <v>183</v>
      </c>
    </row>
    <row r="10" spans="3:16" x14ac:dyDescent="0.3">
      <c r="C10" s="25" t="s">
        <v>11469</v>
      </c>
      <c r="D10" s="31">
        <v>0</v>
      </c>
      <c r="F10" s="20">
        <v>0.01</v>
      </c>
      <c r="G10" s="32" t="s">
        <v>184</v>
      </c>
      <c r="I10" s="32">
        <v>0.01</v>
      </c>
      <c r="J10" s="32" t="s">
        <v>178</v>
      </c>
    </row>
    <row r="11" spans="3:16" x14ac:dyDescent="0.3">
      <c r="C11" s="25" t="s">
        <v>192</v>
      </c>
      <c r="D11" s="31">
        <v>-0.2</v>
      </c>
      <c r="F11" s="20">
        <v>50000.01</v>
      </c>
      <c r="G11" s="32" t="s">
        <v>185</v>
      </c>
      <c r="I11" s="32">
        <v>500000.01</v>
      </c>
      <c r="J11" s="32" t="s">
        <v>179</v>
      </c>
    </row>
    <row r="12" spans="3:16" x14ac:dyDescent="0.3">
      <c r="F12" s="20">
        <v>100000.01</v>
      </c>
      <c r="G12" s="32" t="s">
        <v>186</v>
      </c>
      <c r="I12" s="32">
        <v>2000000.01</v>
      </c>
      <c r="J12" s="32" t="s">
        <v>180</v>
      </c>
    </row>
    <row r="13" spans="3:16" x14ac:dyDescent="0.3">
      <c r="F13" s="20">
        <v>200000.01</v>
      </c>
      <c r="G13" s="32" t="s">
        <v>187</v>
      </c>
      <c r="I13" s="32">
        <v>5000000.01</v>
      </c>
      <c r="J13" s="32" t="s">
        <v>181</v>
      </c>
    </row>
    <row r="14" spans="3:16" x14ac:dyDescent="0.3">
      <c r="F14" s="20">
        <v>1000000.01</v>
      </c>
      <c r="G14" s="32" t="s">
        <v>188</v>
      </c>
      <c r="I14" s="32">
        <v>10000000.01</v>
      </c>
      <c r="J14" s="32" t="s">
        <v>182</v>
      </c>
    </row>
    <row r="17" spans="4:10" x14ac:dyDescent="0.3">
      <c r="D17" s="223" t="s">
        <v>177</v>
      </c>
      <c r="E17" s="223" t="s">
        <v>38</v>
      </c>
      <c r="F17" s="223"/>
      <c r="G17" s="223"/>
      <c r="H17" s="223"/>
      <c r="I17" s="223"/>
      <c r="J17" s="223"/>
    </row>
    <row r="18" spans="4:10" x14ac:dyDescent="0.3">
      <c r="D18" s="223"/>
      <c r="E18" s="27" t="s">
        <v>178</v>
      </c>
      <c r="F18" s="27" t="s">
        <v>179</v>
      </c>
      <c r="G18" s="27" t="s">
        <v>180</v>
      </c>
      <c r="H18" s="27" t="s">
        <v>181</v>
      </c>
      <c r="I18" s="27" t="s">
        <v>182</v>
      </c>
      <c r="J18" s="27" t="s">
        <v>183</v>
      </c>
    </row>
    <row r="19" spans="4:10" x14ac:dyDescent="0.3">
      <c r="D19" s="29" t="s">
        <v>184</v>
      </c>
      <c r="E19" s="30">
        <v>0.2</v>
      </c>
      <c r="F19" s="30">
        <v>0.18</v>
      </c>
      <c r="G19" s="30">
        <v>0.16</v>
      </c>
      <c r="H19" s="30">
        <v>0.14000000000000001</v>
      </c>
      <c r="I19" s="30">
        <v>0.12</v>
      </c>
      <c r="J19" s="30">
        <v>0.1</v>
      </c>
    </row>
    <row r="20" spans="4:10" x14ac:dyDescent="0.3">
      <c r="D20" s="29" t="s">
        <v>185</v>
      </c>
      <c r="E20" s="30">
        <v>0.25</v>
      </c>
      <c r="F20" s="30">
        <v>0.23</v>
      </c>
      <c r="G20" s="30">
        <v>0.21</v>
      </c>
      <c r="H20" s="30">
        <v>0.19</v>
      </c>
      <c r="I20" s="30">
        <v>0.17</v>
      </c>
      <c r="J20" s="30">
        <v>0.15</v>
      </c>
    </row>
    <row r="21" spans="4:10" x14ac:dyDescent="0.3">
      <c r="D21" s="29" t="s">
        <v>186</v>
      </c>
      <c r="E21" s="30">
        <v>0.3</v>
      </c>
      <c r="F21" s="30">
        <v>0.28000000000000003</v>
      </c>
      <c r="G21" s="30">
        <v>0.26</v>
      </c>
      <c r="H21" s="30">
        <v>0.24</v>
      </c>
      <c r="I21" s="30">
        <v>0.22</v>
      </c>
      <c r="J21" s="30">
        <v>0.2</v>
      </c>
    </row>
    <row r="22" spans="4:10" x14ac:dyDescent="0.3">
      <c r="D22" s="29" t="s">
        <v>187</v>
      </c>
      <c r="E22" s="30">
        <v>0.35</v>
      </c>
      <c r="F22" s="30">
        <v>0.33</v>
      </c>
      <c r="G22" s="30">
        <v>0.31</v>
      </c>
      <c r="H22" s="30">
        <v>0.28999999999999998</v>
      </c>
      <c r="I22" s="30">
        <v>0.27</v>
      </c>
      <c r="J22" s="30">
        <v>0.25</v>
      </c>
    </row>
    <row r="23" spans="4:10" x14ac:dyDescent="0.3">
      <c r="D23" s="29" t="s">
        <v>188</v>
      </c>
      <c r="E23" s="30">
        <v>0.4</v>
      </c>
      <c r="F23" s="30">
        <v>0.38</v>
      </c>
      <c r="G23" s="30">
        <v>0.36</v>
      </c>
      <c r="H23" s="30">
        <v>0.34</v>
      </c>
      <c r="I23" s="30">
        <v>0.32</v>
      </c>
      <c r="J23" s="30">
        <v>0.3</v>
      </c>
    </row>
    <row r="24" spans="4:10" x14ac:dyDescent="0.3">
      <c r="D24" s="27" t="s">
        <v>183</v>
      </c>
      <c r="E24" s="30">
        <v>0.45</v>
      </c>
      <c r="F24" s="30">
        <v>0.43</v>
      </c>
      <c r="G24" s="30">
        <v>0.41</v>
      </c>
      <c r="H24" s="30">
        <v>0.39</v>
      </c>
      <c r="I24" s="30">
        <v>0.37</v>
      </c>
      <c r="J24" s="33"/>
    </row>
  </sheetData>
  <mergeCells count="4">
    <mergeCell ref="D17:D18"/>
    <mergeCell ref="E17:J17"/>
    <mergeCell ref="F8:G8"/>
    <mergeCell ref="I8:J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F830"/>
  <sheetViews>
    <sheetView zoomScale="90" zoomScaleNormal="90" workbookViewId="0">
      <selection activeCell="B16" sqref="B16"/>
    </sheetView>
  </sheetViews>
  <sheetFormatPr defaultRowHeight="14.4" x14ac:dyDescent="0.3"/>
  <cols>
    <col min="1" max="1" width="18.6640625" style="6" bestFit="1" customWidth="1"/>
    <col min="2" max="2" width="77.21875" style="6" customWidth="1"/>
    <col min="3" max="3" width="41.88671875" style="6" customWidth="1"/>
    <col min="4" max="4" width="8.88671875" style="6"/>
    <col min="5" max="5" width="58.109375" style="6" bestFit="1" customWidth="1"/>
    <col min="6" max="6" width="14.6640625" style="6" customWidth="1"/>
    <col min="7" max="16384" width="8.88671875" style="6"/>
  </cols>
  <sheetData>
    <row r="1" spans="1:6" x14ac:dyDescent="0.3">
      <c r="A1" s="34" t="s">
        <v>44</v>
      </c>
      <c r="B1" s="35" t="s">
        <v>45</v>
      </c>
      <c r="C1" s="35" t="s">
        <v>122</v>
      </c>
      <c r="D1" s="35" t="s">
        <v>88</v>
      </c>
      <c r="E1" s="35" t="s">
        <v>200</v>
      </c>
      <c r="F1" s="35" t="s">
        <v>12277</v>
      </c>
    </row>
    <row r="2" spans="1:6" x14ac:dyDescent="0.3">
      <c r="A2" s="24">
        <v>1001</v>
      </c>
      <c r="B2" s="13" t="s">
        <v>93</v>
      </c>
      <c r="C2" s="13" t="s">
        <v>94</v>
      </c>
      <c r="D2" s="13" t="s">
        <v>12371</v>
      </c>
      <c r="E2" s="13" t="s">
        <v>12372</v>
      </c>
      <c r="F2" s="13" t="s">
        <v>12032</v>
      </c>
    </row>
    <row r="3" spans="1:6" x14ac:dyDescent="0.3">
      <c r="A3" s="24">
        <v>1002</v>
      </c>
      <c r="B3" s="13" t="s">
        <v>98</v>
      </c>
      <c r="C3" s="13" t="s">
        <v>99</v>
      </c>
      <c r="D3" s="13" t="s">
        <v>12371</v>
      </c>
      <c r="E3" s="13" t="s">
        <v>12373</v>
      </c>
      <c r="F3" s="13" t="s">
        <v>11655</v>
      </c>
    </row>
    <row r="4" spans="1:6" x14ac:dyDescent="0.3">
      <c r="A4" s="24">
        <v>1003</v>
      </c>
      <c r="B4" s="13" t="s">
        <v>100</v>
      </c>
      <c r="C4" s="13" t="s">
        <v>101</v>
      </c>
      <c r="D4" s="13" t="s">
        <v>12371</v>
      </c>
      <c r="E4" s="13" t="s">
        <v>12374</v>
      </c>
      <c r="F4" s="13" t="s">
        <v>11974</v>
      </c>
    </row>
    <row r="5" spans="1:6" x14ac:dyDescent="0.3">
      <c r="A5" s="24">
        <v>1004</v>
      </c>
      <c r="B5" s="13" t="s">
        <v>10954</v>
      </c>
      <c r="C5" s="13" t="s">
        <v>99</v>
      </c>
      <c r="D5" s="13" t="s">
        <v>12371</v>
      </c>
      <c r="E5" s="13" t="s">
        <v>12375</v>
      </c>
      <c r="F5" s="13" t="s">
        <v>11656</v>
      </c>
    </row>
    <row r="6" spans="1:6" x14ac:dyDescent="0.3">
      <c r="A6" s="24">
        <v>1005</v>
      </c>
      <c r="B6" s="13" t="s">
        <v>102</v>
      </c>
      <c r="C6" s="13" t="s">
        <v>103</v>
      </c>
      <c r="D6" s="13" t="s">
        <v>95</v>
      </c>
      <c r="E6" s="13" t="s">
        <v>13090</v>
      </c>
      <c r="F6" s="13" t="s">
        <v>11627</v>
      </c>
    </row>
    <row r="7" spans="1:6" x14ac:dyDescent="0.3">
      <c r="A7" s="24">
        <v>1006</v>
      </c>
      <c r="B7" s="13" t="s">
        <v>104</v>
      </c>
      <c r="C7" s="13" t="s">
        <v>99</v>
      </c>
      <c r="D7" s="13" t="s">
        <v>12371</v>
      </c>
      <c r="E7" s="13" t="s">
        <v>12376</v>
      </c>
      <c r="F7" s="13" t="s">
        <v>11657</v>
      </c>
    </row>
    <row r="8" spans="1:6" x14ac:dyDescent="0.3">
      <c r="A8" s="24">
        <v>1007</v>
      </c>
      <c r="B8" s="13" t="s">
        <v>105</v>
      </c>
      <c r="C8" s="13" t="s">
        <v>99</v>
      </c>
      <c r="D8" s="13" t="s">
        <v>95</v>
      </c>
      <c r="E8" s="13" t="s">
        <v>13091</v>
      </c>
      <c r="F8" s="13" t="s">
        <v>11658</v>
      </c>
    </row>
    <row r="9" spans="1:6" x14ac:dyDescent="0.3">
      <c r="A9" s="24">
        <v>1008</v>
      </c>
      <c r="B9" s="13" t="s">
        <v>106</v>
      </c>
      <c r="C9" s="13" t="s">
        <v>99</v>
      </c>
      <c r="D9" s="13" t="s">
        <v>12371</v>
      </c>
      <c r="E9" s="13" t="s">
        <v>12377</v>
      </c>
      <c r="F9" s="13" t="s">
        <v>11659</v>
      </c>
    </row>
    <row r="10" spans="1:6" x14ac:dyDescent="0.3">
      <c r="A10" s="24">
        <v>1009</v>
      </c>
      <c r="B10" s="13" t="s">
        <v>107</v>
      </c>
      <c r="C10" s="13" t="s">
        <v>99</v>
      </c>
      <c r="D10" s="13" t="s">
        <v>95</v>
      </c>
      <c r="E10" s="13" t="s">
        <v>13092</v>
      </c>
      <c r="F10" s="13" t="s">
        <v>11660</v>
      </c>
    </row>
    <row r="11" spans="1:6" x14ac:dyDescent="0.3">
      <c r="A11" s="24">
        <v>1010</v>
      </c>
      <c r="B11" s="13" t="s">
        <v>108</v>
      </c>
      <c r="C11" s="13" t="s">
        <v>99</v>
      </c>
      <c r="D11" s="13" t="s">
        <v>95</v>
      </c>
      <c r="E11" s="13" t="s">
        <v>13093</v>
      </c>
      <c r="F11" s="13" t="s">
        <v>11661</v>
      </c>
    </row>
    <row r="12" spans="1:6" x14ac:dyDescent="0.3">
      <c r="A12" s="24">
        <v>1011</v>
      </c>
      <c r="B12" s="13" t="s">
        <v>109</v>
      </c>
      <c r="C12" s="13" t="s">
        <v>101</v>
      </c>
      <c r="D12" s="13" t="s">
        <v>12371</v>
      </c>
      <c r="E12" s="13" t="s">
        <v>12378</v>
      </c>
      <c r="F12" s="13" t="s">
        <v>11975</v>
      </c>
    </row>
    <row r="13" spans="1:6" x14ac:dyDescent="0.3">
      <c r="A13" s="24">
        <v>1012</v>
      </c>
      <c r="B13" s="13" t="s">
        <v>110</v>
      </c>
      <c r="C13" s="13" t="s">
        <v>111</v>
      </c>
      <c r="D13" s="13" t="s">
        <v>12371</v>
      </c>
      <c r="E13" s="13" t="s">
        <v>12379</v>
      </c>
      <c r="F13" s="13" t="s">
        <v>11934</v>
      </c>
    </row>
    <row r="14" spans="1:6" x14ac:dyDescent="0.3">
      <c r="A14" s="24">
        <v>1013</v>
      </c>
      <c r="B14" s="13" t="s">
        <v>112</v>
      </c>
      <c r="C14" s="13" t="s">
        <v>94</v>
      </c>
      <c r="D14" s="13" t="s">
        <v>12371</v>
      </c>
      <c r="E14" s="13" t="s">
        <v>12380</v>
      </c>
      <c r="F14" s="13" t="s">
        <v>12033</v>
      </c>
    </row>
    <row r="15" spans="1:6" x14ac:dyDescent="0.3">
      <c r="A15" s="24">
        <v>1014</v>
      </c>
      <c r="B15" s="13" t="s">
        <v>113</v>
      </c>
      <c r="C15" s="13" t="s">
        <v>114</v>
      </c>
      <c r="D15" s="13" t="s">
        <v>12371</v>
      </c>
      <c r="E15" s="13" t="s">
        <v>12381</v>
      </c>
      <c r="F15" s="13" t="s">
        <v>11491</v>
      </c>
    </row>
    <row r="16" spans="1:6" x14ac:dyDescent="0.3">
      <c r="A16" s="24">
        <v>1015</v>
      </c>
      <c r="B16" s="13" t="s">
        <v>115</v>
      </c>
      <c r="C16" s="13" t="s">
        <v>114</v>
      </c>
      <c r="D16" s="13" t="s">
        <v>12371</v>
      </c>
      <c r="E16" s="13" t="s">
        <v>12382</v>
      </c>
      <c r="F16" s="13" t="s">
        <v>11492</v>
      </c>
    </row>
    <row r="17" spans="1:6" x14ac:dyDescent="0.3">
      <c r="A17" s="24">
        <v>1016</v>
      </c>
      <c r="B17" s="13" t="s">
        <v>116</v>
      </c>
      <c r="C17" s="13" t="s">
        <v>103</v>
      </c>
      <c r="D17" s="13" t="s">
        <v>95</v>
      </c>
      <c r="E17" s="13" t="s">
        <v>13094</v>
      </c>
      <c r="F17" s="13" t="s">
        <v>11628</v>
      </c>
    </row>
    <row r="18" spans="1:6" x14ac:dyDescent="0.3">
      <c r="A18" s="24">
        <v>1017</v>
      </c>
      <c r="B18" s="13" t="s">
        <v>10955</v>
      </c>
      <c r="C18" s="13" t="s">
        <v>99</v>
      </c>
      <c r="D18" s="13" t="s">
        <v>12371</v>
      </c>
      <c r="E18" s="13" t="s">
        <v>12383</v>
      </c>
      <c r="F18" s="13" t="s">
        <v>11662</v>
      </c>
    </row>
    <row r="19" spans="1:6" x14ac:dyDescent="0.3">
      <c r="A19" s="24">
        <v>1018</v>
      </c>
      <c r="B19" s="13" t="s">
        <v>10956</v>
      </c>
      <c r="C19" s="13" t="s">
        <v>99</v>
      </c>
      <c r="D19" s="13" t="s">
        <v>12371</v>
      </c>
      <c r="E19" s="13" t="s">
        <v>12384</v>
      </c>
      <c r="F19" s="13" t="s">
        <v>11663</v>
      </c>
    </row>
    <row r="20" spans="1:6" x14ac:dyDescent="0.3">
      <c r="A20" s="24">
        <v>1019</v>
      </c>
      <c r="B20" s="13" t="s">
        <v>117</v>
      </c>
      <c r="C20" s="13" t="s">
        <v>99</v>
      </c>
      <c r="D20" s="13" t="s">
        <v>12371</v>
      </c>
      <c r="E20" s="13" t="s">
        <v>12385</v>
      </c>
      <c r="F20" s="13" t="s">
        <v>11664</v>
      </c>
    </row>
    <row r="21" spans="1:6" x14ac:dyDescent="0.3">
      <c r="A21" s="24">
        <v>1020</v>
      </c>
      <c r="B21" s="13" t="s">
        <v>118</v>
      </c>
      <c r="C21" s="13" t="s">
        <v>119</v>
      </c>
      <c r="D21" s="13" t="s">
        <v>95</v>
      </c>
      <c r="E21" s="13" t="s">
        <v>13095</v>
      </c>
      <c r="F21" s="13" t="s">
        <v>11471</v>
      </c>
    </row>
    <row r="22" spans="1:6" x14ac:dyDescent="0.3">
      <c r="A22" s="24">
        <v>1021</v>
      </c>
      <c r="B22" s="13" t="s">
        <v>11135</v>
      </c>
      <c r="C22" s="13" t="s">
        <v>94</v>
      </c>
      <c r="D22" s="13" t="s">
        <v>12371</v>
      </c>
      <c r="E22" s="13" t="s">
        <v>12386</v>
      </c>
      <c r="F22" s="13" t="s">
        <v>12034</v>
      </c>
    </row>
    <row r="23" spans="1:6" x14ac:dyDescent="0.3">
      <c r="A23" s="24">
        <v>1022</v>
      </c>
      <c r="B23" s="13" t="s">
        <v>5301</v>
      </c>
      <c r="C23" s="13" t="s">
        <v>94</v>
      </c>
      <c r="D23" s="13" t="s">
        <v>12371</v>
      </c>
      <c r="E23" s="13" t="s">
        <v>12387</v>
      </c>
      <c r="F23" s="13" t="s">
        <v>12035</v>
      </c>
    </row>
    <row r="24" spans="1:6" x14ac:dyDescent="0.3">
      <c r="A24" s="24">
        <v>1023</v>
      </c>
      <c r="B24" s="13" t="s">
        <v>11136</v>
      </c>
      <c r="C24" s="13" t="s">
        <v>94</v>
      </c>
      <c r="D24" s="13" t="s">
        <v>12371</v>
      </c>
      <c r="E24" s="13" t="s">
        <v>12388</v>
      </c>
      <c r="F24" s="13" t="s">
        <v>12036</v>
      </c>
    </row>
    <row r="25" spans="1:6" x14ac:dyDescent="0.3">
      <c r="A25" s="24">
        <v>1024</v>
      </c>
      <c r="B25" s="13" t="s">
        <v>5302</v>
      </c>
      <c r="C25" s="13" t="s">
        <v>94</v>
      </c>
      <c r="D25" s="13" t="s">
        <v>12371</v>
      </c>
      <c r="E25" s="13" t="s">
        <v>12389</v>
      </c>
      <c r="F25" s="13" t="s">
        <v>12037</v>
      </c>
    </row>
    <row r="26" spans="1:6" x14ac:dyDescent="0.3">
      <c r="A26" s="24">
        <v>1025</v>
      </c>
      <c r="B26" s="13" t="s">
        <v>5303</v>
      </c>
      <c r="C26" s="13" t="s">
        <v>94</v>
      </c>
      <c r="D26" s="13" t="s">
        <v>12371</v>
      </c>
      <c r="E26" s="13" t="s">
        <v>12390</v>
      </c>
      <c r="F26" s="13" t="s">
        <v>12038</v>
      </c>
    </row>
    <row r="27" spans="1:6" x14ac:dyDescent="0.3">
      <c r="A27" s="24">
        <v>1026</v>
      </c>
      <c r="B27" s="13" t="s">
        <v>5304</v>
      </c>
      <c r="C27" s="13" t="s">
        <v>103</v>
      </c>
      <c r="D27" s="13" t="s">
        <v>12371</v>
      </c>
      <c r="E27" s="13" t="s">
        <v>12391</v>
      </c>
      <c r="F27" s="13" t="s">
        <v>11629</v>
      </c>
    </row>
    <row r="28" spans="1:6" x14ac:dyDescent="0.3">
      <c r="A28" s="24">
        <v>1027</v>
      </c>
      <c r="B28" s="13" t="s">
        <v>5305</v>
      </c>
      <c r="C28" s="13" t="s">
        <v>99</v>
      </c>
      <c r="D28" s="13" t="s">
        <v>12371</v>
      </c>
      <c r="E28" s="13" t="s">
        <v>12392</v>
      </c>
      <c r="F28" s="13" t="s">
        <v>11665</v>
      </c>
    </row>
    <row r="29" spans="1:6" x14ac:dyDescent="0.3">
      <c r="A29" s="24">
        <v>1028</v>
      </c>
      <c r="B29" s="13" t="s">
        <v>5306</v>
      </c>
      <c r="C29" s="13" t="s">
        <v>99</v>
      </c>
      <c r="D29" s="13" t="s">
        <v>95</v>
      </c>
      <c r="E29" s="13" t="s">
        <v>13096</v>
      </c>
      <c r="F29" s="13" t="s">
        <v>11666</v>
      </c>
    </row>
    <row r="30" spans="1:6" x14ac:dyDescent="0.3">
      <c r="A30" s="24">
        <v>1029</v>
      </c>
      <c r="B30" s="13" t="s">
        <v>5307</v>
      </c>
      <c r="C30" s="13" t="s">
        <v>99</v>
      </c>
      <c r="D30" s="13" t="s">
        <v>12371</v>
      </c>
      <c r="E30" s="13" t="s">
        <v>12393</v>
      </c>
      <c r="F30" s="13" t="s">
        <v>11667</v>
      </c>
    </row>
    <row r="31" spans="1:6" x14ac:dyDescent="0.3">
      <c r="A31" s="24">
        <v>1030</v>
      </c>
      <c r="B31" s="13" t="s">
        <v>10957</v>
      </c>
      <c r="C31" s="13" t="s">
        <v>99</v>
      </c>
      <c r="D31" s="13" t="s">
        <v>12371</v>
      </c>
      <c r="E31" s="13" t="s">
        <v>12394</v>
      </c>
      <c r="F31" s="13" t="s">
        <v>11668</v>
      </c>
    </row>
    <row r="32" spans="1:6" x14ac:dyDescent="0.3">
      <c r="A32" s="24">
        <v>1031</v>
      </c>
      <c r="B32" s="13" t="s">
        <v>5308</v>
      </c>
      <c r="C32" s="13" t="s">
        <v>99</v>
      </c>
      <c r="D32" s="13" t="s">
        <v>12371</v>
      </c>
      <c r="E32" s="13" t="s">
        <v>12395</v>
      </c>
      <c r="F32" s="13" t="s">
        <v>11669</v>
      </c>
    </row>
    <row r="33" spans="1:6" x14ac:dyDescent="0.3">
      <c r="A33" s="24">
        <v>1032</v>
      </c>
      <c r="B33" s="13" t="s">
        <v>10915</v>
      </c>
      <c r="C33" s="13" t="s">
        <v>114</v>
      </c>
      <c r="D33" s="13" t="s">
        <v>12371</v>
      </c>
      <c r="E33" s="13" t="s">
        <v>12396</v>
      </c>
      <c r="F33" s="13" t="s">
        <v>11493</v>
      </c>
    </row>
    <row r="34" spans="1:6" x14ac:dyDescent="0.3">
      <c r="A34" s="24">
        <v>1033</v>
      </c>
      <c r="B34" s="13" t="s">
        <v>5309</v>
      </c>
      <c r="C34" s="13" t="s">
        <v>99</v>
      </c>
      <c r="D34" s="13" t="s">
        <v>12371</v>
      </c>
      <c r="E34" s="13" t="s">
        <v>12397</v>
      </c>
      <c r="F34" s="13" t="s">
        <v>11670</v>
      </c>
    </row>
    <row r="35" spans="1:6" x14ac:dyDescent="0.3">
      <c r="A35" s="24">
        <v>1034</v>
      </c>
      <c r="B35" s="13" t="s">
        <v>5310</v>
      </c>
      <c r="C35" s="13" t="s">
        <v>99</v>
      </c>
      <c r="D35" s="13" t="s">
        <v>95</v>
      </c>
      <c r="E35" s="13" t="s">
        <v>13097</v>
      </c>
      <c r="F35" s="13" t="s">
        <v>11671</v>
      </c>
    </row>
    <row r="36" spans="1:6" x14ac:dyDescent="0.3">
      <c r="A36" s="24">
        <v>1035</v>
      </c>
      <c r="B36" s="13" t="s">
        <v>10958</v>
      </c>
      <c r="C36" s="13" t="s">
        <v>99</v>
      </c>
      <c r="D36" s="13" t="s">
        <v>12371</v>
      </c>
      <c r="E36" s="13" t="s">
        <v>12398</v>
      </c>
      <c r="F36" s="13" t="s">
        <v>11672</v>
      </c>
    </row>
    <row r="37" spans="1:6" x14ac:dyDescent="0.3">
      <c r="A37" s="24">
        <v>1036</v>
      </c>
      <c r="B37" s="13" t="s">
        <v>10959</v>
      </c>
      <c r="C37" s="13" t="s">
        <v>99</v>
      </c>
      <c r="D37" s="13" t="s">
        <v>12371</v>
      </c>
      <c r="E37" s="13" t="s">
        <v>12399</v>
      </c>
      <c r="F37" s="13" t="s">
        <v>11673</v>
      </c>
    </row>
    <row r="38" spans="1:6" x14ac:dyDescent="0.3">
      <c r="A38" s="24">
        <v>1037</v>
      </c>
      <c r="B38" s="13" t="s">
        <v>5311</v>
      </c>
      <c r="C38" s="13" t="s">
        <v>99</v>
      </c>
      <c r="D38" s="13" t="s">
        <v>12371</v>
      </c>
      <c r="E38" s="13" t="s">
        <v>12400</v>
      </c>
      <c r="F38" s="13" t="s">
        <v>11674</v>
      </c>
    </row>
    <row r="39" spans="1:6" x14ac:dyDescent="0.3">
      <c r="A39" s="24">
        <v>1038</v>
      </c>
      <c r="B39" s="13" t="s">
        <v>5312</v>
      </c>
      <c r="C39" s="13" t="s">
        <v>94</v>
      </c>
      <c r="D39" s="13" t="s">
        <v>12371</v>
      </c>
      <c r="E39" s="13" t="s">
        <v>12401</v>
      </c>
      <c r="F39" s="13" t="s">
        <v>12039</v>
      </c>
    </row>
    <row r="40" spans="1:6" x14ac:dyDescent="0.3">
      <c r="A40" s="24">
        <v>1039</v>
      </c>
      <c r="B40" s="13" t="s">
        <v>5313</v>
      </c>
      <c r="C40" s="13" t="s">
        <v>99</v>
      </c>
      <c r="D40" s="13" t="s">
        <v>12371</v>
      </c>
      <c r="E40" s="13" t="s">
        <v>12402</v>
      </c>
      <c r="F40" s="13" t="s">
        <v>11675</v>
      </c>
    </row>
    <row r="41" spans="1:6" x14ac:dyDescent="0.3">
      <c r="A41" s="24">
        <v>1040</v>
      </c>
      <c r="B41" s="13" t="s">
        <v>5314</v>
      </c>
      <c r="C41" s="13" t="s">
        <v>99</v>
      </c>
      <c r="D41" s="13" t="s">
        <v>12371</v>
      </c>
      <c r="E41" s="13" t="s">
        <v>12403</v>
      </c>
      <c r="F41" s="13" t="s">
        <v>11676</v>
      </c>
    </row>
    <row r="42" spans="1:6" x14ac:dyDescent="0.3">
      <c r="A42" s="24">
        <v>1041</v>
      </c>
      <c r="B42" s="13" t="s">
        <v>10960</v>
      </c>
      <c r="C42" s="13" t="s">
        <v>99</v>
      </c>
      <c r="D42" s="13" t="s">
        <v>12371</v>
      </c>
      <c r="E42" s="13" t="s">
        <v>12404</v>
      </c>
      <c r="F42" s="13" t="s">
        <v>11677</v>
      </c>
    </row>
    <row r="43" spans="1:6" x14ac:dyDescent="0.3">
      <c r="A43" s="24">
        <v>1042</v>
      </c>
      <c r="B43" s="13" t="s">
        <v>5315</v>
      </c>
      <c r="C43" s="13" t="s">
        <v>99</v>
      </c>
      <c r="D43" s="13" t="s">
        <v>12371</v>
      </c>
      <c r="E43" s="13" t="s">
        <v>12405</v>
      </c>
      <c r="F43" s="13" t="s">
        <v>11678</v>
      </c>
    </row>
    <row r="44" spans="1:6" x14ac:dyDescent="0.3">
      <c r="A44" s="24">
        <v>1043</v>
      </c>
      <c r="B44" s="13" t="s">
        <v>5316</v>
      </c>
      <c r="C44" s="13" t="s">
        <v>99</v>
      </c>
      <c r="D44" s="13" t="s">
        <v>12371</v>
      </c>
      <c r="E44" s="13" t="s">
        <v>12406</v>
      </c>
      <c r="F44" s="13" t="s">
        <v>11679</v>
      </c>
    </row>
    <row r="45" spans="1:6" x14ac:dyDescent="0.3">
      <c r="A45" s="24">
        <v>1044</v>
      </c>
      <c r="B45" s="13" t="s">
        <v>10961</v>
      </c>
      <c r="C45" s="13" t="s">
        <v>99</v>
      </c>
      <c r="D45" s="13" t="s">
        <v>12371</v>
      </c>
      <c r="E45" s="13" t="s">
        <v>12407</v>
      </c>
      <c r="F45" s="13" t="s">
        <v>11680</v>
      </c>
    </row>
    <row r="46" spans="1:6" x14ac:dyDescent="0.3">
      <c r="A46" s="24">
        <v>1045</v>
      </c>
      <c r="B46" s="13" t="s">
        <v>10962</v>
      </c>
      <c r="C46" s="13" t="s">
        <v>99</v>
      </c>
      <c r="D46" s="13" t="s">
        <v>12371</v>
      </c>
      <c r="E46" s="13" t="s">
        <v>12408</v>
      </c>
      <c r="F46" s="13" t="s">
        <v>11681</v>
      </c>
    </row>
    <row r="47" spans="1:6" x14ac:dyDescent="0.3">
      <c r="A47" s="24">
        <v>1046</v>
      </c>
      <c r="B47" s="13" t="s">
        <v>10963</v>
      </c>
      <c r="C47" s="13" t="s">
        <v>99</v>
      </c>
      <c r="D47" s="13" t="s">
        <v>12371</v>
      </c>
      <c r="E47" s="13" t="s">
        <v>12409</v>
      </c>
      <c r="F47" s="13" t="s">
        <v>11682</v>
      </c>
    </row>
    <row r="48" spans="1:6" x14ac:dyDescent="0.3">
      <c r="A48" s="24">
        <v>1047</v>
      </c>
      <c r="B48" s="13" t="s">
        <v>5317</v>
      </c>
      <c r="C48" s="13" t="s">
        <v>94</v>
      </c>
      <c r="D48" s="13" t="s">
        <v>12371</v>
      </c>
      <c r="E48" s="13" t="s">
        <v>12410</v>
      </c>
      <c r="F48" s="13" t="s">
        <v>12040</v>
      </c>
    </row>
    <row r="49" spans="1:6" x14ac:dyDescent="0.3">
      <c r="A49" s="24">
        <v>1048</v>
      </c>
      <c r="B49" s="13" t="s">
        <v>5318</v>
      </c>
      <c r="C49" s="13" t="s">
        <v>103</v>
      </c>
      <c r="D49" s="13" t="s">
        <v>95</v>
      </c>
      <c r="E49" s="13" t="s">
        <v>13098</v>
      </c>
      <c r="F49" s="13" t="s">
        <v>11630</v>
      </c>
    </row>
    <row r="50" spans="1:6" x14ac:dyDescent="0.3">
      <c r="A50" s="24">
        <v>1049</v>
      </c>
      <c r="B50" s="13" t="s">
        <v>10964</v>
      </c>
      <c r="C50" s="13" t="s">
        <v>99</v>
      </c>
      <c r="D50" s="13" t="s">
        <v>12371</v>
      </c>
      <c r="E50" s="13" t="s">
        <v>12411</v>
      </c>
      <c r="F50" s="13" t="s">
        <v>11683</v>
      </c>
    </row>
    <row r="51" spans="1:6" x14ac:dyDescent="0.3">
      <c r="A51" s="24">
        <v>1050</v>
      </c>
      <c r="B51" s="13" t="s">
        <v>5319</v>
      </c>
      <c r="C51" s="13" t="s">
        <v>99</v>
      </c>
      <c r="D51" s="13" t="s">
        <v>12371</v>
      </c>
      <c r="E51" s="13" t="s">
        <v>12412</v>
      </c>
      <c r="F51" s="13" t="s">
        <v>11684</v>
      </c>
    </row>
    <row r="52" spans="1:6" x14ac:dyDescent="0.3">
      <c r="A52" s="24">
        <v>1051</v>
      </c>
      <c r="B52" s="13" t="s">
        <v>11137</v>
      </c>
      <c r="C52" s="13" t="s">
        <v>94</v>
      </c>
      <c r="D52" s="13" t="s">
        <v>12371</v>
      </c>
      <c r="E52" s="13" t="s">
        <v>12413</v>
      </c>
      <c r="F52" s="13" t="s">
        <v>12041</v>
      </c>
    </row>
    <row r="53" spans="1:6" x14ac:dyDescent="0.3">
      <c r="A53" s="24">
        <v>1052</v>
      </c>
      <c r="B53" s="13" t="s">
        <v>5320</v>
      </c>
      <c r="C53" s="13" t="s">
        <v>5321</v>
      </c>
      <c r="D53" s="13" t="s">
        <v>12371</v>
      </c>
      <c r="E53" s="13" t="s">
        <v>12414</v>
      </c>
      <c r="F53" s="13" t="s">
        <v>11549</v>
      </c>
    </row>
    <row r="54" spans="1:6" x14ac:dyDescent="0.3">
      <c r="A54" s="24">
        <v>1053</v>
      </c>
      <c r="B54" s="13" t="s">
        <v>10965</v>
      </c>
      <c r="C54" s="13" t="s">
        <v>99</v>
      </c>
      <c r="D54" s="13" t="s">
        <v>12371</v>
      </c>
      <c r="E54" s="13" t="s">
        <v>12415</v>
      </c>
      <c r="F54" s="13" t="s">
        <v>11685</v>
      </c>
    </row>
    <row r="55" spans="1:6" x14ac:dyDescent="0.3">
      <c r="A55" s="24">
        <v>1054</v>
      </c>
      <c r="B55" s="13" t="s">
        <v>5322</v>
      </c>
      <c r="C55" s="13" t="s">
        <v>99</v>
      </c>
      <c r="D55" s="13" t="s">
        <v>12371</v>
      </c>
      <c r="E55" s="13" t="s">
        <v>12416</v>
      </c>
      <c r="F55" s="13" t="s">
        <v>11686</v>
      </c>
    </row>
    <row r="56" spans="1:6" x14ac:dyDescent="0.3">
      <c r="A56" s="24">
        <v>1055</v>
      </c>
      <c r="B56" s="13" t="s">
        <v>5323</v>
      </c>
      <c r="C56" s="13" t="s">
        <v>5321</v>
      </c>
      <c r="D56" s="13" t="s">
        <v>95</v>
      </c>
      <c r="E56" s="13" t="s">
        <v>13099</v>
      </c>
      <c r="F56" s="13" t="s">
        <v>11550</v>
      </c>
    </row>
    <row r="57" spans="1:6" x14ac:dyDescent="0.3">
      <c r="A57" s="24">
        <v>1056</v>
      </c>
      <c r="B57" s="13" t="s">
        <v>5324</v>
      </c>
      <c r="C57" s="13" t="s">
        <v>5321</v>
      </c>
      <c r="D57" s="13" t="s">
        <v>95</v>
      </c>
      <c r="E57" s="13" t="s">
        <v>13100</v>
      </c>
      <c r="F57" s="13" t="s">
        <v>11551</v>
      </c>
    </row>
    <row r="58" spans="1:6" x14ac:dyDescent="0.3">
      <c r="A58" s="24">
        <v>1057</v>
      </c>
      <c r="B58" s="13" t="s">
        <v>10966</v>
      </c>
      <c r="C58" s="13" t="s">
        <v>99</v>
      </c>
      <c r="D58" s="13" t="s">
        <v>12371</v>
      </c>
      <c r="E58" s="13" t="s">
        <v>12417</v>
      </c>
      <c r="F58" s="13" t="s">
        <v>11687</v>
      </c>
    </row>
    <row r="59" spans="1:6" x14ac:dyDescent="0.3">
      <c r="A59" s="24">
        <v>1058</v>
      </c>
      <c r="B59" s="13" t="s">
        <v>5325</v>
      </c>
      <c r="C59" s="13" t="s">
        <v>99</v>
      </c>
      <c r="D59" s="13" t="s">
        <v>12371</v>
      </c>
      <c r="E59" s="13" t="s">
        <v>12418</v>
      </c>
      <c r="F59" s="13" t="s">
        <v>11688</v>
      </c>
    </row>
    <row r="60" spans="1:6" x14ac:dyDescent="0.3">
      <c r="A60" s="24">
        <v>1059</v>
      </c>
      <c r="B60" s="13" t="s">
        <v>11103</v>
      </c>
      <c r="C60" s="13" t="s">
        <v>101</v>
      </c>
      <c r="D60" s="13" t="s">
        <v>12371</v>
      </c>
      <c r="E60" s="13" t="s">
        <v>12419</v>
      </c>
      <c r="F60" s="13" t="s">
        <v>11976</v>
      </c>
    </row>
    <row r="61" spans="1:6" x14ac:dyDescent="0.3">
      <c r="A61" s="24">
        <v>1060</v>
      </c>
      <c r="B61" s="13" t="s">
        <v>11138</v>
      </c>
      <c r="C61" s="13" t="s">
        <v>94</v>
      </c>
      <c r="D61" s="13" t="s">
        <v>12371</v>
      </c>
      <c r="E61" s="13" t="s">
        <v>12420</v>
      </c>
      <c r="F61" s="13" t="s">
        <v>12042</v>
      </c>
    </row>
    <row r="62" spans="1:6" x14ac:dyDescent="0.3">
      <c r="A62" s="24">
        <v>1061</v>
      </c>
      <c r="B62" s="13" t="s">
        <v>5326</v>
      </c>
      <c r="C62" s="13" t="s">
        <v>99</v>
      </c>
      <c r="D62" s="13" t="s">
        <v>12371</v>
      </c>
      <c r="E62" s="13" t="s">
        <v>12421</v>
      </c>
      <c r="F62" s="13" t="s">
        <v>11689</v>
      </c>
    </row>
    <row r="63" spans="1:6" x14ac:dyDescent="0.3">
      <c r="A63" s="24">
        <v>1062</v>
      </c>
      <c r="B63" s="13" t="s">
        <v>5327</v>
      </c>
      <c r="C63" s="13" t="s">
        <v>5328</v>
      </c>
      <c r="D63" s="13" t="s">
        <v>95</v>
      </c>
      <c r="E63" s="13" t="s">
        <v>13101</v>
      </c>
      <c r="F63" s="13" t="s">
        <v>11532</v>
      </c>
    </row>
    <row r="64" spans="1:6" x14ac:dyDescent="0.3">
      <c r="A64" s="24">
        <v>1063</v>
      </c>
      <c r="B64" s="13" t="s">
        <v>5329</v>
      </c>
      <c r="C64" s="13" t="s">
        <v>5328</v>
      </c>
      <c r="D64" s="13" t="s">
        <v>95</v>
      </c>
      <c r="E64" s="13" t="s">
        <v>13102</v>
      </c>
      <c r="F64" s="13" t="s">
        <v>11533</v>
      </c>
    </row>
    <row r="65" spans="1:6" x14ac:dyDescent="0.3">
      <c r="A65" s="24">
        <v>1064</v>
      </c>
      <c r="B65" s="13" t="s">
        <v>5330</v>
      </c>
      <c r="C65" s="13" t="s">
        <v>99</v>
      </c>
      <c r="D65" s="13" t="s">
        <v>12371</v>
      </c>
      <c r="E65" s="13" t="s">
        <v>12422</v>
      </c>
      <c r="F65" s="13" t="s">
        <v>11690</v>
      </c>
    </row>
    <row r="66" spans="1:6" x14ac:dyDescent="0.3">
      <c r="A66" s="24">
        <v>1065</v>
      </c>
      <c r="B66" s="13" t="s">
        <v>5331</v>
      </c>
      <c r="C66" s="13" t="s">
        <v>5332</v>
      </c>
      <c r="D66" s="13" t="s">
        <v>95</v>
      </c>
      <c r="E66" s="13" t="s">
        <v>12423</v>
      </c>
      <c r="F66" s="13" t="s">
        <v>11472</v>
      </c>
    </row>
    <row r="67" spans="1:6" x14ac:dyDescent="0.3">
      <c r="A67" s="24">
        <v>1066</v>
      </c>
      <c r="B67" s="13" t="s">
        <v>5333</v>
      </c>
      <c r="C67" s="13" t="s">
        <v>114</v>
      </c>
      <c r="D67" s="13" t="s">
        <v>12371</v>
      </c>
      <c r="E67" s="13" t="s">
        <v>12424</v>
      </c>
      <c r="F67" s="13" t="s">
        <v>11494</v>
      </c>
    </row>
    <row r="68" spans="1:6" x14ac:dyDescent="0.3">
      <c r="A68" s="24">
        <v>1067</v>
      </c>
      <c r="B68" s="13" t="s">
        <v>5334</v>
      </c>
      <c r="C68" s="13" t="s">
        <v>114</v>
      </c>
      <c r="D68" s="13" t="s">
        <v>12371</v>
      </c>
      <c r="E68" s="13" t="s">
        <v>12425</v>
      </c>
      <c r="F68" s="13" t="s">
        <v>11495</v>
      </c>
    </row>
    <row r="69" spans="1:6" x14ac:dyDescent="0.3">
      <c r="A69" s="24">
        <v>1068</v>
      </c>
      <c r="B69" s="13" t="s">
        <v>10967</v>
      </c>
      <c r="C69" s="13" t="s">
        <v>99</v>
      </c>
      <c r="D69" s="13" t="s">
        <v>12371</v>
      </c>
      <c r="E69" s="13" t="s">
        <v>12426</v>
      </c>
      <c r="F69" s="13" t="s">
        <v>11691</v>
      </c>
    </row>
    <row r="70" spans="1:6" x14ac:dyDescent="0.3">
      <c r="A70" s="24">
        <v>1069</v>
      </c>
      <c r="B70" s="13" t="s">
        <v>10968</v>
      </c>
      <c r="C70" s="13" t="s">
        <v>99</v>
      </c>
      <c r="D70" s="13" t="s">
        <v>12371</v>
      </c>
      <c r="E70" s="13" t="s">
        <v>12427</v>
      </c>
      <c r="F70" s="13" t="s">
        <v>11692</v>
      </c>
    </row>
    <row r="71" spans="1:6" x14ac:dyDescent="0.3">
      <c r="A71" s="24">
        <v>1070</v>
      </c>
      <c r="B71" s="13" t="s">
        <v>5335</v>
      </c>
      <c r="C71" s="13" t="s">
        <v>99</v>
      </c>
      <c r="D71" s="13" t="s">
        <v>12371</v>
      </c>
      <c r="E71" s="13" t="s">
        <v>12428</v>
      </c>
      <c r="F71" s="13" t="s">
        <v>11693</v>
      </c>
    </row>
    <row r="72" spans="1:6" x14ac:dyDescent="0.3">
      <c r="A72" s="24">
        <v>1071</v>
      </c>
      <c r="B72" s="13" t="s">
        <v>5336</v>
      </c>
      <c r="C72" s="13" t="s">
        <v>5336</v>
      </c>
      <c r="D72" s="13" t="s">
        <v>95</v>
      </c>
      <c r="E72" s="13" t="s">
        <v>12429</v>
      </c>
      <c r="F72" s="13" t="s">
        <v>11473</v>
      </c>
    </row>
    <row r="73" spans="1:6" x14ac:dyDescent="0.3">
      <c r="A73" s="24">
        <v>1072</v>
      </c>
      <c r="B73" s="13" t="s">
        <v>5337</v>
      </c>
      <c r="C73" s="13" t="s">
        <v>5338</v>
      </c>
      <c r="D73" s="13" t="s">
        <v>12371</v>
      </c>
      <c r="E73" s="13" t="s">
        <v>12430</v>
      </c>
      <c r="F73" s="13" t="s">
        <v>11477</v>
      </c>
    </row>
    <row r="74" spans="1:6" x14ac:dyDescent="0.3">
      <c r="A74" s="24">
        <v>1073</v>
      </c>
      <c r="B74" s="13" t="s">
        <v>5339</v>
      </c>
      <c r="C74" s="13" t="s">
        <v>114</v>
      </c>
      <c r="D74" s="13" t="s">
        <v>12371</v>
      </c>
      <c r="E74" s="13" t="s">
        <v>12431</v>
      </c>
      <c r="F74" s="13" t="s">
        <v>11496</v>
      </c>
    </row>
    <row r="75" spans="1:6" x14ac:dyDescent="0.3">
      <c r="A75" s="24">
        <v>1074</v>
      </c>
      <c r="B75" s="13" t="s">
        <v>5340</v>
      </c>
      <c r="C75" s="13" t="s">
        <v>114</v>
      </c>
      <c r="D75" s="13" t="s">
        <v>95</v>
      </c>
      <c r="E75" s="13" t="s">
        <v>13103</v>
      </c>
      <c r="F75" s="13" t="s">
        <v>11497</v>
      </c>
    </row>
    <row r="76" spans="1:6" x14ac:dyDescent="0.3">
      <c r="A76" s="24">
        <v>1075</v>
      </c>
      <c r="B76" s="13" t="s">
        <v>5341</v>
      </c>
      <c r="C76" s="13" t="s">
        <v>114</v>
      </c>
      <c r="D76" s="13" t="s">
        <v>12371</v>
      </c>
      <c r="E76" s="13" t="s">
        <v>12432</v>
      </c>
      <c r="F76" s="13" t="s">
        <v>11498</v>
      </c>
    </row>
    <row r="77" spans="1:6" x14ac:dyDescent="0.3">
      <c r="A77" s="24">
        <v>1076</v>
      </c>
      <c r="B77" s="13" t="s">
        <v>10969</v>
      </c>
      <c r="C77" s="13" t="s">
        <v>99</v>
      </c>
      <c r="D77" s="13" t="s">
        <v>12371</v>
      </c>
      <c r="E77" s="13" t="s">
        <v>12433</v>
      </c>
      <c r="F77" s="13" t="s">
        <v>11694</v>
      </c>
    </row>
    <row r="78" spans="1:6" x14ac:dyDescent="0.3">
      <c r="A78" s="24">
        <v>1077</v>
      </c>
      <c r="B78" s="13" t="s">
        <v>10970</v>
      </c>
      <c r="C78" s="13" t="s">
        <v>99</v>
      </c>
      <c r="D78" s="13" t="s">
        <v>12371</v>
      </c>
      <c r="E78" s="13" t="s">
        <v>12434</v>
      </c>
      <c r="F78" s="13" t="s">
        <v>11695</v>
      </c>
    </row>
    <row r="79" spans="1:6" x14ac:dyDescent="0.3">
      <c r="A79" s="24">
        <v>1078</v>
      </c>
      <c r="B79" s="13" t="s">
        <v>10971</v>
      </c>
      <c r="C79" s="13" t="s">
        <v>99</v>
      </c>
      <c r="D79" s="13" t="s">
        <v>12371</v>
      </c>
      <c r="E79" s="13" t="s">
        <v>12435</v>
      </c>
      <c r="F79" s="13" t="s">
        <v>11696</v>
      </c>
    </row>
    <row r="80" spans="1:6" x14ac:dyDescent="0.3">
      <c r="A80" s="24">
        <v>1079</v>
      </c>
      <c r="B80" s="13" t="s">
        <v>5342</v>
      </c>
      <c r="C80" s="13" t="s">
        <v>99</v>
      </c>
      <c r="D80" s="13" t="s">
        <v>12371</v>
      </c>
      <c r="E80" s="13" t="s">
        <v>12436</v>
      </c>
      <c r="F80" s="13" t="s">
        <v>11697</v>
      </c>
    </row>
    <row r="81" spans="1:6" x14ac:dyDescent="0.3">
      <c r="A81" s="24">
        <v>1080</v>
      </c>
      <c r="B81" s="13" t="s">
        <v>5343</v>
      </c>
      <c r="C81" s="13" t="s">
        <v>99</v>
      </c>
      <c r="D81" s="13" t="s">
        <v>12371</v>
      </c>
      <c r="E81" s="13" t="s">
        <v>12437</v>
      </c>
      <c r="F81" s="13" t="s">
        <v>11698</v>
      </c>
    </row>
    <row r="82" spans="1:6" x14ac:dyDescent="0.3">
      <c r="A82" s="24">
        <v>1081</v>
      </c>
      <c r="B82" s="13" t="s">
        <v>10972</v>
      </c>
      <c r="C82" s="13" t="s">
        <v>99</v>
      </c>
      <c r="D82" s="13" t="s">
        <v>12371</v>
      </c>
      <c r="E82" s="13" t="s">
        <v>12438</v>
      </c>
      <c r="F82" s="13" t="s">
        <v>11699</v>
      </c>
    </row>
    <row r="83" spans="1:6" x14ac:dyDescent="0.3">
      <c r="A83" s="24">
        <v>1082</v>
      </c>
      <c r="B83" s="13" t="s">
        <v>5344</v>
      </c>
      <c r="C83" s="13" t="s">
        <v>99</v>
      </c>
      <c r="D83" s="13" t="s">
        <v>12371</v>
      </c>
      <c r="E83" s="13" t="s">
        <v>12439</v>
      </c>
      <c r="F83" s="13" t="s">
        <v>11700</v>
      </c>
    </row>
    <row r="84" spans="1:6" x14ac:dyDescent="0.3">
      <c r="A84" s="24">
        <v>1083</v>
      </c>
      <c r="B84" s="13" t="s">
        <v>10973</v>
      </c>
      <c r="C84" s="13" t="s">
        <v>99</v>
      </c>
      <c r="D84" s="13" t="s">
        <v>12371</v>
      </c>
      <c r="E84" s="13" t="s">
        <v>12440</v>
      </c>
      <c r="F84" s="13" t="s">
        <v>11701</v>
      </c>
    </row>
    <row r="85" spans="1:6" x14ac:dyDescent="0.3">
      <c r="A85" s="24">
        <v>1084</v>
      </c>
      <c r="B85" s="13" t="s">
        <v>5345</v>
      </c>
      <c r="C85" s="13" t="s">
        <v>99</v>
      </c>
      <c r="D85" s="13" t="s">
        <v>12371</v>
      </c>
      <c r="E85" s="13" t="s">
        <v>12441</v>
      </c>
      <c r="F85" s="13" t="s">
        <v>11702</v>
      </c>
    </row>
    <row r="86" spans="1:6" x14ac:dyDescent="0.3">
      <c r="A86" s="24">
        <v>1085</v>
      </c>
      <c r="B86" s="13" t="s">
        <v>11139</v>
      </c>
      <c r="C86" s="13" t="s">
        <v>94</v>
      </c>
      <c r="D86" s="13" t="s">
        <v>12371</v>
      </c>
      <c r="E86" s="13" t="s">
        <v>12442</v>
      </c>
      <c r="F86" s="13" t="s">
        <v>12043</v>
      </c>
    </row>
    <row r="87" spans="1:6" x14ac:dyDescent="0.3">
      <c r="A87" s="24">
        <v>1086</v>
      </c>
      <c r="B87" s="13" t="s">
        <v>5346</v>
      </c>
      <c r="C87" s="13" t="s">
        <v>99</v>
      </c>
      <c r="D87" s="13" t="s">
        <v>12371</v>
      </c>
      <c r="E87" s="13" t="s">
        <v>12443</v>
      </c>
      <c r="F87" s="13" t="s">
        <v>11703</v>
      </c>
    </row>
    <row r="88" spans="1:6" x14ac:dyDescent="0.3">
      <c r="A88" s="24">
        <v>1087</v>
      </c>
      <c r="B88" s="13" t="s">
        <v>10974</v>
      </c>
      <c r="C88" s="13" t="s">
        <v>99</v>
      </c>
      <c r="D88" s="13" t="s">
        <v>12371</v>
      </c>
      <c r="E88" s="13" t="s">
        <v>12444</v>
      </c>
      <c r="F88" s="13" t="s">
        <v>11704</v>
      </c>
    </row>
    <row r="89" spans="1:6" x14ac:dyDescent="0.3">
      <c r="A89" s="24">
        <v>1088</v>
      </c>
      <c r="B89" s="13" t="s">
        <v>5347</v>
      </c>
      <c r="C89" s="13" t="s">
        <v>103</v>
      </c>
      <c r="D89" s="13" t="s">
        <v>95</v>
      </c>
      <c r="E89" s="13" t="s">
        <v>13104</v>
      </c>
      <c r="F89" s="13" t="s">
        <v>11631</v>
      </c>
    </row>
    <row r="90" spans="1:6" x14ac:dyDescent="0.3">
      <c r="A90" s="24">
        <v>1089</v>
      </c>
      <c r="B90" s="13" t="s">
        <v>5348</v>
      </c>
      <c r="C90" s="13" t="s">
        <v>99</v>
      </c>
      <c r="D90" s="13" t="s">
        <v>12371</v>
      </c>
      <c r="E90" s="13" t="s">
        <v>12445</v>
      </c>
      <c r="F90" s="13" t="s">
        <v>11705</v>
      </c>
    </row>
    <row r="91" spans="1:6" x14ac:dyDescent="0.3">
      <c r="A91" s="24">
        <v>1090</v>
      </c>
      <c r="B91" s="13" t="s">
        <v>5349</v>
      </c>
      <c r="C91" s="13" t="s">
        <v>103</v>
      </c>
      <c r="D91" s="13" t="s">
        <v>95</v>
      </c>
      <c r="E91" s="13" t="s">
        <v>13105</v>
      </c>
      <c r="F91" s="13" t="s">
        <v>11632</v>
      </c>
    </row>
    <row r="92" spans="1:6" x14ac:dyDescent="0.3">
      <c r="A92" s="24">
        <v>1091</v>
      </c>
      <c r="B92" s="13" t="s">
        <v>5350</v>
      </c>
      <c r="C92" s="13" t="s">
        <v>94</v>
      </c>
      <c r="D92" s="13" t="s">
        <v>95</v>
      </c>
      <c r="E92" s="13" t="s">
        <v>12446</v>
      </c>
      <c r="F92" s="13" t="s">
        <v>12044</v>
      </c>
    </row>
    <row r="93" spans="1:6" x14ac:dyDescent="0.3">
      <c r="A93" s="24">
        <v>1092</v>
      </c>
      <c r="B93" s="13" t="s">
        <v>5351</v>
      </c>
      <c r="C93" s="13" t="s">
        <v>94</v>
      </c>
      <c r="D93" s="13" t="s">
        <v>12371</v>
      </c>
      <c r="E93" s="13" t="s">
        <v>12447</v>
      </c>
      <c r="F93" s="13" t="s">
        <v>12045</v>
      </c>
    </row>
    <row r="94" spans="1:6" x14ac:dyDescent="0.3">
      <c r="A94" s="24">
        <v>1093</v>
      </c>
      <c r="B94" s="13" t="s">
        <v>5352</v>
      </c>
      <c r="C94" s="13" t="s">
        <v>99</v>
      </c>
      <c r="D94" s="13" t="s">
        <v>95</v>
      </c>
      <c r="E94" s="13" t="s">
        <v>12448</v>
      </c>
      <c r="F94" s="13" t="s">
        <v>11706</v>
      </c>
    </row>
    <row r="95" spans="1:6" x14ac:dyDescent="0.3">
      <c r="A95" s="24">
        <v>1094</v>
      </c>
      <c r="B95" s="13" t="s">
        <v>5353</v>
      </c>
      <c r="C95" s="13" t="s">
        <v>103</v>
      </c>
      <c r="D95" s="13" t="s">
        <v>95</v>
      </c>
      <c r="E95" s="13" t="s">
        <v>12449</v>
      </c>
      <c r="F95" s="13" t="s">
        <v>11633</v>
      </c>
    </row>
    <row r="96" spans="1:6" x14ac:dyDescent="0.3">
      <c r="A96" s="24">
        <v>1095</v>
      </c>
      <c r="B96" s="13" t="s">
        <v>5354</v>
      </c>
      <c r="C96" s="13" t="s">
        <v>99</v>
      </c>
      <c r="D96" s="13" t="s">
        <v>12371</v>
      </c>
      <c r="E96" s="13" t="s">
        <v>12450</v>
      </c>
      <c r="F96" s="13" t="s">
        <v>11707</v>
      </c>
    </row>
    <row r="97" spans="1:6" x14ac:dyDescent="0.3">
      <c r="A97" s="24">
        <v>1096</v>
      </c>
      <c r="B97" s="13" t="s">
        <v>5355</v>
      </c>
      <c r="C97" s="13" t="s">
        <v>99</v>
      </c>
      <c r="D97" s="13" t="s">
        <v>12371</v>
      </c>
      <c r="E97" s="13" t="s">
        <v>12451</v>
      </c>
      <c r="F97" s="13" t="s">
        <v>11708</v>
      </c>
    </row>
    <row r="98" spans="1:6" x14ac:dyDescent="0.3">
      <c r="A98" s="24">
        <v>1097</v>
      </c>
      <c r="B98" s="13" t="s">
        <v>10975</v>
      </c>
      <c r="C98" s="13" t="s">
        <v>99</v>
      </c>
      <c r="D98" s="13" t="s">
        <v>12371</v>
      </c>
      <c r="E98" s="13" t="s">
        <v>12452</v>
      </c>
      <c r="F98" s="13" t="s">
        <v>11709</v>
      </c>
    </row>
    <row r="99" spans="1:6" x14ac:dyDescent="0.3">
      <c r="A99" s="24">
        <v>1098</v>
      </c>
      <c r="B99" s="13" t="s">
        <v>5356</v>
      </c>
      <c r="C99" s="13" t="s">
        <v>99</v>
      </c>
      <c r="D99" s="13" t="s">
        <v>12371</v>
      </c>
      <c r="E99" s="13" t="s">
        <v>12453</v>
      </c>
      <c r="F99" s="13" t="s">
        <v>11710</v>
      </c>
    </row>
    <row r="100" spans="1:6" x14ac:dyDescent="0.3">
      <c r="A100" s="24">
        <v>1099</v>
      </c>
      <c r="B100" s="13" t="s">
        <v>5357</v>
      </c>
      <c r="C100" s="13" t="s">
        <v>94</v>
      </c>
      <c r="D100" s="13" t="s">
        <v>12371</v>
      </c>
      <c r="E100" s="13" t="s">
        <v>12454</v>
      </c>
      <c r="F100" s="13" t="s">
        <v>12046</v>
      </c>
    </row>
    <row r="101" spans="1:6" x14ac:dyDescent="0.3">
      <c r="A101" s="24">
        <v>1100</v>
      </c>
      <c r="B101" s="13" t="s">
        <v>10916</v>
      </c>
      <c r="C101" s="13" t="s">
        <v>114</v>
      </c>
      <c r="D101" s="13" t="s">
        <v>12371</v>
      </c>
      <c r="E101" s="13" t="s">
        <v>12455</v>
      </c>
      <c r="F101" s="13" t="s">
        <v>11499</v>
      </c>
    </row>
    <row r="102" spans="1:6" x14ac:dyDescent="0.3">
      <c r="A102" s="24">
        <v>1101</v>
      </c>
      <c r="B102" s="13" t="s">
        <v>5358</v>
      </c>
      <c r="C102" s="13" t="s">
        <v>114</v>
      </c>
      <c r="D102" s="13" t="s">
        <v>12371</v>
      </c>
      <c r="E102" s="13" t="s">
        <v>12456</v>
      </c>
      <c r="F102" s="13" t="s">
        <v>11500</v>
      </c>
    </row>
    <row r="103" spans="1:6" x14ac:dyDescent="0.3">
      <c r="A103" s="24">
        <v>1102</v>
      </c>
      <c r="B103" s="13" t="s">
        <v>5359</v>
      </c>
      <c r="C103" s="13" t="s">
        <v>114</v>
      </c>
      <c r="D103" s="13" t="s">
        <v>12371</v>
      </c>
      <c r="E103" s="13" t="s">
        <v>12457</v>
      </c>
      <c r="F103" s="13" t="s">
        <v>11501</v>
      </c>
    </row>
    <row r="104" spans="1:6" x14ac:dyDescent="0.3">
      <c r="A104" s="24">
        <v>1103</v>
      </c>
      <c r="B104" s="13" t="s">
        <v>10976</v>
      </c>
      <c r="C104" s="13" t="s">
        <v>99</v>
      </c>
      <c r="D104" s="13" t="s">
        <v>12371</v>
      </c>
      <c r="E104" s="13" t="s">
        <v>12458</v>
      </c>
      <c r="F104" s="13" t="s">
        <v>11711</v>
      </c>
    </row>
    <row r="105" spans="1:6" x14ac:dyDescent="0.3">
      <c r="A105" s="24">
        <v>1104</v>
      </c>
      <c r="B105" s="13" t="s">
        <v>5360</v>
      </c>
      <c r="C105" s="13" t="s">
        <v>99</v>
      </c>
      <c r="D105" s="13" t="s">
        <v>12371</v>
      </c>
      <c r="E105" s="13" t="s">
        <v>12459</v>
      </c>
      <c r="F105" s="13" t="s">
        <v>11712</v>
      </c>
    </row>
    <row r="106" spans="1:6" x14ac:dyDescent="0.3">
      <c r="A106" s="24">
        <v>1105</v>
      </c>
      <c r="B106" s="13" t="s">
        <v>10977</v>
      </c>
      <c r="C106" s="13" t="s">
        <v>99</v>
      </c>
      <c r="D106" s="13" t="s">
        <v>12371</v>
      </c>
      <c r="E106" s="13" t="s">
        <v>12460</v>
      </c>
      <c r="F106" s="13" t="s">
        <v>11713</v>
      </c>
    </row>
    <row r="107" spans="1:6" x14ac:dyDescent="0.3">
      <c r="A107" s="24">
        <v>1106</v>
      </c>
      <c r="B107" s="13" t="s">
        <v>5361</v>
      </c>
      <c r="C107" s="13" t="s">
        <v>5338</v>
      </c>
      <c r="D107" s="13" t="s">
        <v>95</v>
      </c>
      <c r="E107" s="13" t="s">
        <v>12461</v>
      </c>
      <c r="F107" s="13" t="s">
        <v>11478</v>
      </c>
    </row>
    <row r="108" spans="1:6" x14ac:dyDescent="0.3">
      <c r="A108" s="24">
        <v>1107</v>
      </c>
      <c r="B108" s="13" t="s">
        <v>10978</v>
      </c>
      <c r="C108" s="13" t="s">
        <v>99</v>
      </c>
      <c r="D108" s="13" t="s">
        <v>12371</v>
      </c>
      <c r="E108" s="13" t="s">
        <v>12462</v>
      </c>
      <c r="F108" s="13" t="s">
        <v>11714</v>
      </c>
    </row>
    <row r="109" spans="1:6" x14ac:dyDescent="0.3">
      <c r="A109" s="24">
        <v>1108</v>
      </c>
      <c r="B109" s="13" t="s">
        <v>10979</v>
      </c>
      <c r="C109" s="13" t="s">
        <v>99</v>
      </c>
      <c r="D109" s="13" t="s">
        <v>12371</v>
      </c>
      <c r="E109" s="13" t="s">
        <v>12463</v>
      </c>
      <c r="F109" s="13" t="s">
        <v>11715</v>
      </c>
    </row>
    <row r="110" spans="1:6" x14ac:dyDescent="0.3">
      <c r="A110" s="24">
        <v>1109</v>
      </c>
      <c r="B110" s="13" t="s">
        <v>5362</v>
      </c>
      <c r="C110" s="13" t="s">
        <v>5362</v>
      </c>
      <c r="D110" s="13" t="s">
        <v>95</v>
      </c>
      <c r="E110" s="13" t="s">
        <v>13106</v>
      </c>
      <c r="F110" s="13" t="s">
        <v>11474</v>
      </c>
    </row>
    <row r="111" spans="1:6" x14ac:dyDescent="0.3">
      <c r="A111" s="24">
        <v>1110</v>
      </c>
      <c r="B111" s="13" t="s">
        <v>5363</v>
      </c>
      <c r="C111" s="13" t="s">
        <v>99</v>
      </c>
      <c r="D111" s="13" t="s">
        <v>95</v>
      </c>
      <c r="E111" s="13" t="s">
        <v>13107</v>
      </c>
      <c r="F111" s="13" t="s">
        <v>11716</v>
      </c>
    </row>
    <row r="112" spans="1:6" x14ac:dyDescent="0.3">
      <c r="A112" s="24">
        <v>1111</v>
      </c>
      <c r="B112" s="13" t="s">
        <v>10980</v>
      </c>
      <c r="C112" s="13" t="s">
        <v>99</v>
      </c>
      <c r="D112" s="13" t="s">
        <v>12371</v>
      </c>
      <c r="E112" s="13" t="s">
        <v>12464</v>
      </c>
      <c r="F112" s="13" t="s">
        <v>11717</v>
      </c>
    </row>
    <row r="113" spans="1:6" x14ac:dyDescent="0.3">
      <c r="A113" s="24">
        <v>1112</v>
      </c>
      <c r="B113" s="13" t="s">
        <v>5364</v>
      </c>
      <c r="C113" s="13" t="s">
        <v>94</v>
      </c>
      <c r="D113" s="13" t="s">
        <v>12371</v>
      </c>
      <c r="E113" s="13" t="s">
        <v>12465</v>
      </c>
      <c r="F113" s="13" t="s">
        <v>12047</v>
      </c>
    </row>
    <row r="114" spans="1:6" x14ac:dyDescent="0.3">
      <c r="A114" s="24">
        <v>1113</v>
      </c>
      <c r="B114" s="13" t="s">
        <v>11127</v>
      </c>
      <c r="C114" s="13" t="s">
        <v>5365</v>
      </c>
      <c r="D114" s="13" t="s">
        <v>12371</v>
      </c>
      <c r="E114" s="13" t="s">
        <v>12466</v>
      </c>
      <c r="F114" s="13" t="s">
        <v>12016</v>
      </c>
    </row>
    <row r="115" spans="1:6" x14ac:dyDescent="0.3">
      <c r="A115" s="24">
        <v>1114</v>
      </c>
      <c r="B115" s="13" t="s">
        <v>11128</v>
      </c>
      <c r="C115" s="13" t="s">
        <v>5365</v>
      </c>
      <c r="D115" s="13" t="s">
        <v>12371</v>
      </c>
      <c r="E115" s="13" t="s">
        <v>12467</v>
      </c>
      <c r="F115" s="13" t="s">
        <v>12017</v>
      </c>
    </row>
    <row r="116" spans="1:6" x14ac:dyDescent="0.3">
      <c r="A116" s="24">
        <v>1115</v>
      </c>
      <c r="B116" s="13" t="s">
        <v>11140</v>
      </c>
      <c r="C116" s="13" t="s">
        <v>94</v>
      </c>
      <c r="D116" s="13" t="s">
        <v>12371</v>
      </c>
      <c r="E116" s="13" t="s">
        <v>12468</v>
      </c>
      <c r="F116" s="13" t="s">
        <v>12048</v>
      </c>
    </row>
    <row r="117" spans="1:6" x14ac:dyDescent="0.3">
      <c r="A117" s="24">
        <v>1116</v>
      </c>
      <c r="B117" s="13" t="s">
        <v>5366</v>
      </c>
      <c r="C117" s="13" t="s">
        <v>94</v>
      </c>
      <c r="D117" s="13" t="s">
        <v>12371</v>
      </c>
      <c r="E117" s="13" t="s">
        <v>12469</v>
      </c>
      <c r="F117" s="13" t="s">
        <v>12049</v>
      </c>
    </row>
    <row r="118" spans="1:6" x14ac:dyDescent="0.3">
      <c r="A118" s="24">
        <v>1117</v>
      </c>
      <c r="B118" s="13" t="s">
        <v>5367</v>
      </c>
      <c r="C118" s="13" t="s">
        <v>5365</v>
      </c>
      <c r="D118" s="13" t="s">
        <v>12371</v>
      </c>
      <c r="E118" s="13" t="s">
        <v>12470</v>
      </c>
      <c r="F118" s="13" t="s">
        <v>12018</v>
      </c>
    </row>
    <row r="119" spans="1:6" x14ac:dyDescent="0.3">
      <c r="A119" s="24">
        <v>1118</v>
      </c>
      <c r="B119" s="13" t="s">
        <v>5368</v>
      </c>
      <c r="C119" s="13" t="s">
        <v>5368</v>
      </c>
      <c r="D119" s="13" t="s">
        <v>95</v>
      </c>
      <c r="E119" s="13" t="s">
        <v>12471</v>
      </c>
      <c r="F119" s="13" t="s">
        <v>11475</v>
      </c>
    </row>
    <row r="120" spans="1:6" x14ac:dyDescent="0.3">
      <c r="A120" s="24">
        <v>1119</v>
      </c>
      <c r="B120" s="13" t="s">
        <v>5369</v>
      </c>
      <c r="C120" s="13" t="s">
        <v>99</v>
      </c>
      <c r="D120" s="13" t="s">
        <v>12371</v>
      </c>
      <c r="E120" s="13" t="s">
        <v>12472</v>
      </c>
      <c r="F120" s="13" t="s">
        <v>11718</v>
      </c>
    </row>
    <row r="121" spans="1:6" x14ac:dyDescent="0.3">
      <c r="A121" s="24">
        <v>1120</v>
      </c>
      <c r="B121" s="13" t="s">
        <v>5370</v>
      </c>
      <c r="C121" s="13" t="s">
        <v>94</v>
      </c>
      <c r="D121" s="13" t="s">
        <v>12371</v>
      </c>
      <c r="E121" s="13" t="s">
        <v>12473</v>
      </c>
      <c r="F121" s="13" t="s">
        <v>12050</v>
      </c>
    </row>
    <row r="122" spans="1:6" x14ac:dyDescent="0.3">
      <c r="A122" s="24">
        <v>1121</v>
      </c>
      <c r="B122" s="13" t="s">
        <v>10917</v>
      </c>
      <c r="C122" s="13" t="s">
        <v>114</v>
      </c>
      <c r="D122" s="13" t="s">
        <v>12371</v>
      </c>
      <c r="E122" s="13" t="s">
        <v>12474</v>
      </c>
      <c r="F122" s="13" t="s">
        <v>11502</v>
      </c>
    </row>
    <row r="123" spans="1:6" x14ac:dyDescent="0.3">
      <c r="A123" s="24">
        <v>1122</v>
      </c>
      <c r="B123" s="13" t="s">
        <v>5371</v>
      </c>
      <c r="C123" s="13" t="s">
        <v>5338</v>
      </c>
      <c r="D123" s="13" t="s">
        <v>12371</v>
      </c>
      <c r="E123" s="13" t="s">
        <v>12475</v>
      </c>
      <c r="F123" s="13" t="s">
        <v>11479</v>
      </c>
    </row>
    <row r="124" spans="1:6" x14ac:dyDescent="0.3">
      <c r="A124" s="24">
        <v>1123</v>
      </c>
      <c r="B124" s="13" t="s">
        <v>5372</v>
      </c>
      <c r="C124" s="13" t="s">
        <v>111</v>
      </c>
      <c r="D124" s="13" t="s">
        <v>95</v>
      </c>
      <c r="E124" s="13" t="s">
        <v>13108</v>
      </c>
      <c r="F124" s="13" t="s">
        <v>11935</v>
      </c>
    </row>
    <row r="125" spans="1:6" x14ac:dyDescent="0.3">
      <c r="A125" s="24">
        <v>1124</v>
      </c>
      <c r="B125" s="13" t="s">
        <v>5373</v>
      </c>
      <c r="C125" s="13" t="s">
        <v>111</v>
      </c>
      <c r="D125" s="13" t="s">
        <v>12371</v>
      </c>
      <c r="E125" s="13" t="s">
        <v>12476</v>
      </c>
      <c r="F125" s="13" t="s">
        <v>11936</v>
      </c>
    </row>
    <row r="126" spans="1:6" x14ac:dyDescent="0.3">
      <c r="A126" s="24">
        <v>1125</v>
      </c>
      <c r="B126" s="13" t="s">
        <v>5374</v>
      </c>
      <c r="C126" s="13" t="s">
        <v>111</v>
      </c>
      <c r="D126" s="13" t="s">
        <v>95</v>
      </c>
      <c r="E126" s="13" t="s">
        <v>13109</v>
      </c>
      <c r="F126" s="13" t="s">
        <v>11937</v>
      </c>
    </row>
    <row r="127" spans="1:6" x14ac:dyDescent="0.3">
      <c r="A127" s="24">
        <v>1126</v>
      </c>
      <c r="B127" s="13" t="s">
        <v>5375</v>
      </c>
      <c r="C127" s="13" t="s">
        <v>5376</v>
      </c>
      <c r="D127" s="13" t="s">
        <v>12371</v>
      </c>
      <c r="E127" s="13" t="s">
        <v>12477</v>
      </c>
      <c r="F127" s="13" t="s">
        <v>11622</v>
      </c>
    </row>
    <row r="128" spans="1:6" x14ac:dyDescent="0.3">
      <c r="A128" s="24">
        <v>1127</v>
      </c>
      <c r="B128" s="13" t="s">
        <v>10981</v>
      </c>
      <c r="C128" s="13" t="s">
        <v>99</v>
      </c>
      <c r="D128" s="13" t="s">
        <v>12371</v>
      </c>
      <c r="E128" s="13" t="s">
        <v>12478</v>
      </c>
      <c r="F128" s="13" t="s">
        <v>11719</v>
      </c>
    </row>
    <row r="129" spans="1:6" x14ac:dyDescent="0.3">
      <c r="A129" s="24">
        <v>1128</v>
      </c>
      <c r="B129" s="13" t="s">
        <v>5377</v>
      </c>
      <c r="C129" s="13" t="s">
        <v>99</v>
      </c>
      <c r="D129" s="13" t="s">
        <v>95</v>
      </c>
      <c r="E129" s="13" t="s">
        <v>13110</v>
      </c>
      <c r="F129" s="13" t="s">
        <v>11720</v>
      </c>
    </row>
    <row r="130" spans="1:6" x14ac:dyDescent="0.3">
      <c r="A130" s="24">
        <v>1129</v>
      </c>
      <c r="B130" s="13" t="s">
        <v>10982</v>
      </c>
      <c r="C130" s="13" t="s">
        <v>99</v>
      </c>
      <c r="D130" s="13" t="s">
        <v>12371</v>
      </c>
      <c r="E130" s="13" t="s">
        <v>12479</v>
      </c>
      <c r="F130" s="13" t="s">
        <v>11721</v>
      </c>
    </row>
    <row r="131" spans="1:6" x14ac:dyDescent="0.3">
      <c r="A131" s="24">
        <v>1130</v>
      </c>
      <c r="B131" s="13" t="s">
        <v>10983</v>
      </c>
      <c r="C131" s="13" t="s">
        <v>99</v>
      </c>
      <c r="D131" s="13" t="s">
        <v>12371</v>
      </c>
      <c r="E131" s="13" t="s">
        <v>12480</v>
      </c>
      <c r="F131" s="13" t="s">
        <v>11722</v>
      </c>
    </row>
    <row r="132" spans="1:6" x14ac:dyDescent="0.3">
      <c r="A132" s="24">
        <v>1131</v>
      </c>
      <c r="B132" s="13" t="s">
        <v>5378</v>
      </c>
      <c r="C132" s="13" t="s">
        <v>94</v>
      </c>
      <c r="D132" s="13" t="s">
        <v>95</v>
      </c>
      <c r="E132" s="13" t="s">
        <v>13111</v>
      </c>
      <c r="F132" s="13" t="s">
        <v>12051</v>
      </c>
    </row>
    <row r="133" spans="1:6" x14ac:dyDescent="0.3">
      <c r="A133" s="24">
        <v>1132</v>
      </c>
      <c r="B133" s="13" t="s">
        <v>11129</v>
      </c>
      <c r="C133" s="13" t="s">
        <v>5365</v>
      </c>
      <c r="D133" s="13" t="s">
        <v>12371</v>
      </c>
      <c r="E133" s="13" t="s">
        <v>12481</v>
      </c>
      <c r="F133" s="13" t="s">
        <v>12019</v>
      </c>
    </row>
    <row r="134" spans="1:6" x14ac:dyDescent="0.3">
      <c r="A134" s="24">
        <v>1133</v>
      </c>
      <c r="B134" s="13" t="s">
        <v>5379</v>
      </c>
      <c r="C134" s="13" t="s">
        <v>99</v>
      </c>
      <c r="D134" s="13" t="s">
        <v>12371</v>
      </c>
      <c r="E134" s="13" t="s">
        <v>12482</v>
      </c>
      <c r="F134" s="13" t="s">
        <v>11723</v>
      </c>
    </row>
    <row r="135" spans="1:6" x14ac:dyDescent="0.3">
      <c r="A135" s="24">
        <v>1134</v>
      </c>
      <c r="B135" s="13" t="s">
        <v>5380</v>
      </c>
      <c r="C135" s="13" t="s">
        <v>5381</v>
      </c>
      <c r="D135" s="13" t="s">
        <v>12371</v>
      </c>
      <c r="E135" s="13" t="s">
        <v>12483</v>
      </c>
      <c r="F135" s="13" t="s">
        <v>12132</v>
      </c>
    </row>
    <row r="136" spans="1:6" x14ac:dyDescent="0.3">
      <c r="A136" s="24">
        <v>1135</v>
      </c>
      <c r="B136" s="13" t="s">
        <v>5382</v>
      </c>
      <c r="C136" s="13" t="s">
        <v>101</v>
      </c>
      <c r="D136" s="13" t="s">
        <v>12371</v>
      </c>
      <c r="E136" s="13" t="s">
        <v>12484</v>
      </c>
      <c r="F136" s="13" t="s">
        <v>11977</v>
      </c>
    </row>
    <row r="137" spans="1:6" x14ac:dyDescent="0.3">
      <c r="A137" s="24">
        <v>1136</v>
      </c>
      <c r="B137" s="13" t="s">
        <v>5383</v>
      </c>
      <c r="C137" s="13" t="s">
        <v>99</v>
      </c>
      <c r="D137" s="13" t="s">
        <v>12371</v>
      </c>
      <c r="E137" s="13" t="s">
        <v>12485</v>
      </c>
      <c r="F137" s="13" t="s">
        <v>11724</v>
      </c>
    </row>
    <row r="138" spans="1:6" x14ac:dyDescent="0.3">
      <c r="A138" s="24">
        <v>1137</v>
      </c>
      <c r="B138" s="13" t="s">
        <v>5384</v>
      </c>
      <c r="C138" s="13" t="s">
        <v>5381</v>
      </c>
      <c r="D138" s="13" t="s">
        <v>12371</v>
      </c>
      <c r="E138" s="13" t="s">
        <v>12486</v>
      </c>
      <c r="F138" s="13" t="s">
        <v>12133</v>
      </c>
    </row>
    <row r="139" spans="1:6" x14ac:dyDescent="0.3">
      <c r="A139" s="24">
        <v>1138</v>
      </c>
      <c r="B139" s="13" t="s">
        <v>5385</v>
      </c>
      <c r="C139" s="13" t="s">
        <v>111</v>
      </c>
      <c r="D139" s="13" t="s">
        <v>12371</v>
      </c>
      <c r="E139" s="13" t="s">
        <v>12487</v>
      </c>
      <c r="F139" s="13" t="s">
        <v>11938</v>
      </c>
    </row>
    <row r="140" spans="1:6" x14ac:dyDescent="0.3">
      <c r="A140" s="24">
        <v>1139</v>
      </c>
      <c r="B140" s="13" t="s">
        <v>11087</v>
      </c>
      <c r="C140" s="13" t="s">
        <v>111</v>
      </c>
      <c r="D140" s="13" t="s">
        <v>12371</v>
      </c>
      <c r="E140" s="13" t="s">
        <v>12488</v>
      </c>
      <c r="F140" s="13" t="s">
        <v>11939</v>
      </c>
    </row>
    <row r="141" spans="1:6" x14ac:dyDescent="0.3">
      <c r="A141" s="24">
        <v>1140</v>
      </c>
      <c r="B141" s="13" t="s">
        <v>11088</v>
      </c>
      <c r="C141" s="13" t="s">
        <v>111</v>
      </c>
      <c r="D141" s="13" t="s">
        <v>12371</v>
      </c>
      <c r="E141" s="13" t="s">
        <v>12489</v>
      </c>
      <c r="F141" s="13" t="s">
        <v>11940</v>
      </c>
    </row>
    <row r="142" spans="1:6" x14ac:dyDescent="0.3">
      <c r="A142" s="24">
        <v>1141</v>
      </c>
      <c r="B142" s="13" t="s">
        <v>11089</v>
      </c>
      <c r="C142" s="13" t="s">
        <v>111</v>
      </c>
      <c r="D142" s="13" t="s">
        <v>12371</v>
      </c>
      <c r="E142" s="13" t="s">
        <v>12490</v>
      </c>
      <c r="F142" s="13" t="s">
        <v>11941</v>
      </c>
    </row>
    <row r="143" spans="1:6" x14ac:dyDescent="0.3">
      <c r="A143" s="24">
        <v>1142</v>
      </c>
      <c r="B143" s="13" t="s">
        <v>5386</v>
      </c>
      <c r="C143" s="13" t="s">
        <v>94</v>
      </c>
      <c r="D143" s="13" t="s">
        <v>95</v>
      </c>
      <c r="E143" s="13" t="s">
        <v>13112</v>
      </c>
      <c r="F143" s="13" t="s">
        <v>12052</v>
      </c>
    </row>
    <row r="144" spans="1:6" x14ac:dyDescent="0.3">
      <c r="A144" s="24">
        <v>1143</v>
      </c>
      <c r="B144" s="13" t="s">
        <v>5387</v>
      </c>
      <c r="C144" s="13" t="s">
        <v>5387</v>
      </c>
      <c r="D144" s="13" t="s">
        <v>95</v>
      </c>
      <c r="E144" s="13" t="s">
        <v>13113</v>
      </c>
      <c r="F144" s="13" t="s">
        <v>11476</v>
      </c>
    </row>
    <row r="145" spans="1:6" x14ac:dyDescent="0.3">
      <c r="A145" s="24">
        <v>1144</v>
      </c>
      <c r="B145" s="13" t="s">
        <v>10984</v>
      </c>
      <c r="C145" s="13" t="s">
        <v>99</v>
      </c>
      <c r="D145" s="13" t="s">
        <v>12371</v>
      </c>
      <c r="E145" s="13" t="s">
        <v>12491</v>
      </c>
      <c r="F145" s="13" t="s">
        <v>11725</v>
      </c>
    </row>
    <row r="146" spans="1:6" x14ac:dyDescent="0.3">
      <c r="A146" s="24">
        <v>1145</v>
      </c>
      <c r="B146" s="13" t="s">
        <v>5388</v>
      </c>
      <c r="C146" s="13" t="s">
        <v>99</v>
      </c>
      <c r="D146" s="13" t="s">
        <v>12371</v>
      </c>
      <c r="E146" s="13" t="s">
        <v>12492</v>
      </c>
      <c r="F146" s="13" t="s">
        <v>11726</v>
      </c>
    </row>
    <row r="147" spans="1:6" x14ac:dyDescent="0.3">
      <c r="A147" s="24">
        <v>1146</v>
      </c>
      <c r="B147" s="13" t="s">
        <v>5389</v>
      </c>
      <c r="C147" s="13" t="s">
        <v>99</v>
      </c>
      <c r="D147" s="13" t="s">
        <v>95</v>
      </c>
      <c r="E147" s="13" t="s">
        <v>13114</v>
      </c>
      <c r="F147" s="13" t="s">
        <v>11727</v>
      </c>
    </row>
    <row r="148" spans="1:6" x14ac:dyDescent="0.3">
      <c r="A148" s="24">
        <v>1147</v>
      </c>
      <c r="B148" s="13" t="s">
        <v>10985</v>
      </c>
      <c r="C148" s="13" t="s">
        <v>99</v>
      </c>
      <c r="D148" s="13" t="s">
        <v>12371</v>
      </c>
      <c r="E148" s="13" t="s">
        <v>12493</v>
      </c>
      <c r="F148" s="13" t="s">
        <v>11728</v>
      </c>
    </row>
    <row r="149" spans="1:6" x14ac:dyDescent="0.3">
      <c r="A149" s="24">
        <v>1148</v>
      </c>
      <c r="B149" s="13" t="s">
        <v>5390</v>
      </c>
      <c r="C149" s="13" t="s">
        <v>99</v>
      </c>
      <c r="D149" s="13" t="s">
        <v>12371</v>
      </c>
      <c r="E149" s="13" t="s">
        <v>12494</v>
      </c>
      <c r="F149" s="13" t="s">
        <v>11729</v>
      </c>
    </row>
    <row r="150" spans="1:6" x14ac:dyDescent="0.3">
      <c r="A150" s="24">
        <v>1149</v>
      </c>
      <c r="B150" s="13" t="s">
        <v>10986</v>
      </c>
      <c r="C150" s="13" t="s">
        <v>99</v>
      </c>
      <c r="D150" s="13" t="s">
        <v>12371</v>
      </c>
      <c r="E150" s="13" t="s">
        <v>12495</v>
      </c>
      <c r="F150" s="13" t="s">
        <v>11730</v>
      </c>
    </row>
    <row r="151" spans="1:6" x14ac:dyDescent="0.3">
      <c r="A151" s="24">
        <v>1150</v>
      </c>
      <c r="B151" s="13" t="s">
        <v>10987</v>
      </c>
      <c r="C151" s="13" t="s">
        <v>99</v>
      </c>
      <c r="D151" s="13" t="s">
        <v>12371</v>
      </c>
      <c r="E151" s="13" t="s">
        <v>12496</v>
      </c>
      <c r="F151" s="13" t="s">
        <v>11731</v>
      </c>
    </row>
    <row r="152" spans="1:6" x14ac:dyDescent="0.3">
      <c r="A152" s="24">
        <v>1151</v>
      </c>
      <c r="B152" s="13" t="s">
        <v>10988</v>
      </c>
      <c r="C152" s="13" t="s">
        <v>99</v>
      </c>
      <c r="D152" s="13" t="s">
        <v>12371</v>
      </c>
      <c r="E152" s="13" t="s">
        <v>12497</v>
      </c>
      <c r="F152" s="13" t="s">
        <v>11732</v>
      </c>
    </row>
    <row r="153" spans="1:6" x14ac:dyDescent="0.3">
      <c r="A153" s="24">
        <v>1152</v>
      </c>
      <c r="B153" s="13" t="s">
        <v>5391</v>
      </c>
      <c r="C153" s="13" t="s">
        <v>103</v>
      </c>
      <c r="D153" s="13" t="s">
        <v>95</v>
      </c>
      <c r="E153" s="13" t="s">
        <v>13115</v>
      </c>
      <c r="F153" s="13" t="s">
        <v>11634</v>
      </c>
    </row>
    <row r="154" spans="1:6" x14ac:dyDescent="0.3">
      <c r="A154" s="24">
        <v>1153</v>
      </c>
      <c r="B154" s="13" t="s">
        <v>10989</v>
      </c>
      <c r="C154" s="13" t="s">
        <v>99</v>
      </c>
      <c r="D154" s="13" t="s">
        <v>12371</v>
      </c>
      <c r="E154" s="13" t="s">
        <v>12498</v>
      </c>
      <c r="F154" s="13" t="s">
        <v>11733</v>
      </c>
    </row>
    <row r="155" spans="1:6" x14ac:dyDescent="0.3">
      <c r="A155" s="24">
        <v>1154</v>
      </c>
      <c r="B155" s="13" t="s">
        <v>5392</v>
      </c>
      <c r="C155" s="13" t="s">
        <v>99</v>
      </c>
      <c r="D155" s="13" t="s">
        <v>12371</v>
      </c>
      <c r="E155" s="13" t="s">
        <v>12499</v>
      </c>
      <c r="F155" s="13" t="s">
        <v>11734</v>
      </c>
    </row>
    <row r="156" spans="1:6" x14ac:dyDescent="0.3">
      <c r="A156" s="24">
        <v>1155</v>
      </c>
      <c r="B156" s="13" t="s">
        <v>5393</v>
      </c>
      <c r="C156" s="13" t="s">
        <v>99</v>
      </c>
      <c r="D156" s="13" t="s">
        <v>12371</v>
      </c>
      <c r="E156" s="13" t="s">
        <v>12500</v>
      </c>
      <c r="F156" s="13" t="s">
        <v>11735</v>
      </c>
    </row>
    <row r="157" spans="1:6" x14ac:dyDescent="0.3">
      <c r="A157" s="24">
        <v>1156</v>
      </c>
      <c r="B157" s="13" t="s">
        <v>12501</v>
      </c>
      <c r="C157" s="13" t="s">
        <v>5376</v>
      </c>
      <c r="D157" s="13" t="s">
        <v>95</v>
      </c>
      <c r="E157" s="13" t="s">
        <v>13116</v>
      </c>
      <c r="F157" s="13" t="s">
        <v>12502</v>
      </c>
    </row>
    <row r="158" spans="1:6" x14ac:dyDescent="0.3">
      <c r="A158" s="24">
        <v>1157</v>
      </c>
      <c r="B158" s="13" t="s">
        <v>5394</v>
      </c>
      <c r="C158" s="13" t="s">
        <v>5381</v>
      </c>
      <c r="D158" s="13" t="s">
        <v>12371</v>
      </c>
      <c r="E158" s="13" t="s">
        <v>12503</v>
      </c>
      <c r="F158" s="13" t="s">
        <v>12134</v>
      </c>
    </row>
    <row r="159" spans="1:6" x14ac:dyDescent="0.3">
      <c r="A159" s="24">
        <v>1158</v>
      </c>
      <c r="B159" s="13" t="s">
        <v>5395</v>
      </c>
      <c r="C159" s="13" t="s">
        <v>99</v>
      </c>
      <c r="D159" s="13" t="s">
        <v>12371</v>
      </c>
      <c r="E159" s="13" t="s">
        <v>12504</v>
      </c>
      <c r="F159" s="13" t="s">
        <v>11736</v>
      </c>
    </row>
    <row r="160" spans="1:6" x14ac:dyDescent="0.3">
      <c r="A160" s="24">
        <v>1159</v>
      </c>
      <c r="B160" s="13" t="s">
        <v>5396</v>
      </c>
      <c r="C160" s="13" t="s">
        <v>103</v>
      </c>
      <c r="D160" s="13" t="s">
        <v>95</v>
      </c>
      <c r="E160" s="13" t="s">
        <v>13117</v>
      </c>
      <c r="F160" s="13" t="s">
        <v>11635</v>
      </c>
    </row>
    <row r="161" spans="1:6" x14ac:dyDescent="0.3">
      <c r="A161" s="24">
        <v>1160</v>
      </c>
      <c r="B161" s="13" t="s">
        <v>5397</v>
      </c>
      <c r="C161" s="13" t="s">
        <v>5381</v>
      </c>
      <c r="D161" s="13" t="s">
        <v>12371</v>
      </c>
      <c r="E161" s="13" t="s">
        <v>12505</v>
      </c>
      <c r="F161" s="13" t="s">
        <v>12135</v>
      </c>
    </row>
    <row r="162" spans="1:6" x14ac:dyDescent="0.3">
      <c r="A162" s="24">
        <v>1161</v>
      </c>
      <c r="B162" s="13" t="s">
        <v>5398</v>
      </c>
      <c r="C162" s="13" t="s">
        <v>99</v>
      </c>
      <c r="D162" s="13" t="s">
        <v>95</v>
      </c>
      <c r="E162" s="13" t="s">
        <v>13118</v>
      </c>
      <c r="F162" s="13" t="s">
        <v>11737</v>
      </c>
    </row>
    <row r="163" spans="1:6" x14ac:dyDescent="0.3">
      <c r="A163" s="24">
        <v>1162</v>
      </c>
      <c r="B163" s="13" t="s">
        <v>5399</v>
      </c>
      <c r="C163" s="13" t="s">
        <v>99</v>
      </c>
      <c r="D163" s="13" t="s">
        <v>12371</v>
      </c>
      <c r="E163" s="13" t="s">
        <v>12506</v>
      </c>
      <c r="F163" s="13" t="s">
        <v>11738</v>
      </c>
    </row>
    <row r="164" spans="1:6" x14ac:dyDescent="0.3">
      <c r="A164" s="24">
        <v>1163</v>
      </c>
      <c r="B164" s="13" t="s">
        <v>5400</v>
      </c>
      <c r="C164" s="13" t="s">
        <v>5381</v>
      </c>
      <c r="D164" s="13" t="s">
        <v>95</v>
      </c>
      <c r="E164" s="13" t="s">
        <v>13119</v>
      </c>
      <c r="F164" s="13" t="s">
        <v>12136</v>
      </c>
    </row>
    <row r="165" spans="1:6" x14ac:dyDescent="0.3">
      <c r="A165" s="24">
        <v>1164</v>
      </c>
      <c r="B165" s="13" t="s">
        <v>5401</v>
      </c>
      <c r="C165" s="13" t="s">
        <v>99</v>
      </c>
      <c r="D165" s="13" t="s">
        <v>95</v>
      </c>
      <c r="E165" s="13" t="s">
        <v>12507</v>
      </c>
      <c r="F165" s="13" t="s">
        <v>11739</v>
      </c>
    </row>
    <row r="166" spans="1:6" x14ac:dyDescent="0.3">
      <c r="A166" s="24">
        <v>1165</v>
      </c>
      <c r="B166" s="13" t="s">
        <v>5402</v>
      </c>
      <c r="C166" s="13" t="s">
        <v>103</v>
      </c>
      <c r="D166" s="13" t="s">
        <v>12371</v>
      </c>
      <c r="E166" s="13" t="s">
        <v>12508</v>
      </c>
      <c r="F166" s="13" t="s">
        <v>11636</v>
      </c>
    </row>
    <row r="167" spans="1:6" x14ac:dyDescent="0.3">
      <c r="A167" s="24">
        <v>1166</v>
      </c>
      <c r="B167" s="13" t="s">
        <v>5403</v>
      </c>
      <c r="C167" s="13" t="s">
        <v>5338</v>
      </c>
      <c r="D167" s="13" t="s">
        <v>95</v>
      </c>
      <c r="E167" s="13" t="s">
        <v>13120</v>
      </c>
      <c r="F167" s="13" t="s">
        <v>11480</v>
      </c>
    </row>
    <row r="168" spans="1:6" x14ac:dyDescent="0.3">
      <c r="A168" s="24">
        <v>1167</v>
      </c>
      <c r="B168" s="13" t="s">
        <v>11141</v>
      </c>
      <c r="C168" s="13" t="s">
        <v>94</v>
      </c>
      <c r="D168" s="13" t="s">
        <v>12371</v>
      </c>
      <c r="E168" s="13" t="s">
        <v>12509</v>
      </c>
      <c r="F168" s="13" t="s">
        <v>12053</v>
      </c>
    </row>
    <row r="169" spans="1:6" x14ac:dyDescent="0.3">
      <c r="A169" s="24">
        <v>1168</v>
      </c>
      <c r="B169" s="13" t="s">
        <v>5404</v>
      </c>
      <c r="C169" s="13" t="s">
        <v>99</v>
      </c>
      <c r="D169" s="13" t="s">
        <v>12371</v>
      </c>
      <c r="E169" s="13" t="s">
        <v>12510</v>
      </c>
      <c r="F169" s="13" t="s">
        <v>11740</v>
      </c>
    </row>
    <row r="170" spans="1:6" x14ac:dyDescent="0.3">
      <c r="A170" s="24">
        <v>1169</v>
      </c>
      <c r="B170" s="13" t="s">
        <v>11142</v>
      </c>
      <c r="C170" s="13" t="s">
        <v>94</v>
      </c>
      <c r="D170" s="13" t="s">
        <v>12371</v>
      </c>
      <c r="E170" s="13" t="s">
        <v>12511</v>
      </c>
      <c r="F170" s="13" t="s">
        <v>12054</v>
      </c>
    </row>
    <row r="171" spans="1:6" x14ac:dyDescent="0.3">
      <c r="A171" s="24">
        <v>1170</v>
      </c>
      <c r="B171" s="13" t="s">
        <v>5405</v>
      </c>
      <c r="C171" s="13" t="s">
        <v>94</v>
      </c>
      <c r="D171" s="13" t="s">
        <v>12371</v>
      </c>
      <c r="E171" s="13" t="s">
        <v>12512</v>
      </c>
      <c r="F171" s="13" t="s">
        <v>12055</v>
      </c>
    </row>
    <row r="172" spans="1:6" x14ac:dyDescent="0.3">
      <c r="A172" s="24">
        <v>1171</v>
      </c>
      <c r="B172" s="13" t="s">
        <v>11178</v>
      </c>
      <c r="C172" s="13" t="s">
        <v>5381</v>
      </c>
      <c r="D172" s="13" t="s">
        <v>12371</v>
      </c>
      <c r="E172" s="13" t="s">
        <v>12513</v>
      </c>
      <c r="F172" s="13" t="s">
        <v>12137</v>
      </c>
    </row>
    <row r="173" spans="1:6" x14ac:dyDescent="0.3">
      <c r="A173" s="24">
        <v>1172</v>
      </c>
      <c r="B173" s="13" t="s">
        <v>5406</v>
      </c>
      <c r="C173" s="13" t="s">
        <v>5381</v>
      </c>
      <c r="D173" s="13" t="s">
        <v>12371</v>
      </c>
      <c r="E173" s="13" t="s">
        <v>12514</v>
      </c>
      <c r="F173" s="13" t="s">
        <v>12138</v>
      </c>
    </row>
    <row r="174" spans="1:6" x14ac:dyDescent="0.3">
      <c r="A174" s="24">
        <v>1173</v>
      </c>
      <c r="B174" s="13" t="s">
        <v>5407</v>
      </c>
      <c r="C174" s="13" t="s">
        <v>94</v>
      </c>
      <c r="D174" s="13" t="s">
        <v>12371</v>
      </c>
      <c r="E174" s="13" t="s">
        <v>12515</v>
      </c>
      <c r="F174" s="13" t="s">
        <v>12056</v>
      </c>
    </row>
    <row r="175" spans="1:6" x14ac:dyDescent="0.3">
      <c r="A175" s="24">
        <v>1174</v>
      </c>
      <c r="B175" s="13" t="s">
        <v>5408</v>
      </c>
      <c r="C175" s="13" t="s">
        <v>5321</v>
      </c>
      <c r="D175" s="13" t="s">
        <v>95</v>
      </c>
      <c r="E175" s="13" t="s">
        <v>13121</v>
      </c>
      <c r="F175" s="13" t="s">
        <v>11552</v>
      </c>
    </row>
    <row r="176" spans="1:6" x14ac:dyDescent="0.3">
      <c r="A176" s="24">
        <v>1175</v>
      </c>
      <c r="B176" s="13" t="s">
        <v>10990</v>
      </c>
      <c r="C176" s="13" t="s">
        <v>99</v>
      </c>
      <c r="D176" s="13" t="s">
        <v>12371</v>
      </c>
      <c r="E176" s="13" t="s">
        <v>12516</v>
      </c>
      <c r="F176" s="13" t="s">
        <v>11741</v>
      </c>
    </row>
    <row r="177" spans="1:6" x14ac:dyDescent="0.3">
      <c r="A177" s="24">
        <v>1176</v>
      </c>
      <c r="B177" s="13" t="s">
        <v>5409</v>
      </c>
      <c r="C177" s="13" t="s">
        <v>99</v>
      </c>
      <c r="D177" s="13" t="s">
        <v>95</v>
      </c>
      <c r="E177" s="13" t="s">
        <v>12517</v>
      </c>
      <c r="F177" s="13" t="s">
        <v>11742</v>
      </c>
    </row>
    <row r="178" spans="1:6" x14ac:dyDescent="0.3">
      <c r="A178" s="24">
        <v>1177</v>
      </c>
      <c r="B178" s="13" t="s">
        <v>5410</v>
      </c>
      <c r="C178" s="13" t="s">
        <v>5365</v>
      </c>
      <c r="D178" s="13" t="s">
        <v>12371</v>
      </c>
      <c r="E178" s="13" t="s">
        <v>12518</v>
      </c>
      <c r="F178" s="13" t="s">
        <v>12020</v>
      </c>
    </row>
    <row r="179" spans="1:6" x14ac:dyDescent="0.3">
      <c r="A179" s="24">
        <v>1178</v>
      </c>
      <c r="B179" s="13" t="s">
        <v>5411</v>
      </c>
      <c r="C179" s="13" t="s">
        <v>114</v>
      </c>
      <c r="D179" s="13" t="s">
        <v>12371</v>
      </c>
      <c r="E179" s="13" t="s">
        <v>12519</v>
      </c>
      <c r="F179" s="13" t="s">
        <v>11503</v>
      </c>
    </row>
    <row r="180" spans="1:6" x14ac:dyDescent="0.3">
      <c r="A180" s="24">
        <v>1179</v>
      </c>
      <c r="B180" s="13" t="s">
        <v>5412</v>
      </c>
      <c r="C180" s="13" t="s">
        <v>5365</v>
      </c>
      <c r="D180" s="13" t="s">
        <v>12371</v>
      </c>
      <c r="E180" s="13" t="s">
        <v>12520</v>
      </c>
      <c r="F180" s="13" t="s">
        <v>12021</v>
      </c>
    </row>
    <row r="181" spans="1:6" x14ac:dyDescent="0.3">
      <c r="A181" s="24">
        <v>1180</v>
      </c>
      <c r="B181" s="13" t="s">
        <v>10918</v>
      </c>
      <c r="C181" s="13" t="s">
        <v>114</v>
      </c>
      <c r="D181" s="13" t="s">
        <v>12371</v>
      </c>
      <c r="E181" s="13" t="s">
        <v>12521</v>
      </c>
      <c r="F181" s="13" t="s">
        <v>11504</v>
      </c>
    </row>
    <row r="182" spans="1:6" x14ac:dyDescent="0.3">
      <c r="A182" s="24">
        <v>1181</v>
      </c>
      <c r="B182" s="13" t="s">
        <v>5413</v>
      </c>
      <c r="C182" s="13" t="s">
        <v>5338</v>
      </c>
      <c r="D182" s="13" t="s">
        <v>12371</v>
      </c>
      <c r="E182" s="13" t="s">
        <v>12522</v>
      </c>
      <c r="F182" s="13" t="s">
        <v>11481</v>
      </c>
    </row>
    <row r="183" spans="1:6" x14ac:dyDescent="0.3">
      <c r="A183" s="24">
        <v>1182</v>
      </c>
      <c r="B183" s="13" t="s">
        <v>5414</v>
      </c>
      <c r="C183" s="13" t="s">
        <v>94</v>
      </c>
      <c r="D183" s="13" t="s">
        <v>95</v>
      </c>
      <c r="E183" s="13" t="s">
        <v>12523</v>
      </c>
      <c r="F183" s="13" t="s">
        <v>12057</v>
      </c>
    </row>
    <row r="184" spans="1:6" x14ac:dyDescent="0.3">
      <c r="A184" s="24">
        <v>1183</v>
      </c>
      <c r="B184" s="13" t="s">
        <v>5415</v>
      </c>
      <c r="C184" s="13" t="s">
        <v>94</v>
      </c>
      <c r="D184" s="13" t="s">
        <v>95</v>
      </c>
      <c r="E184" s="13" t="s">
        <v>12524</v>
      </c>
      <c r="F184" s="13" t="s">
        <v>12058</v>
      </c>
    </row>
    <row r="185" spans="1:6" x14ac:dyDescent="0.3">
      <c r="A185" s="24">
        <v>1184</v>
      </c>
      <c r="B185" s="13" t="s">
        <v>5416</v>
      </c>
      <c r="C185" s="13" t="s">
        <v>94</v>
      </c>
      <c r="D185" s="13" t="s">
        <v>95</v>
      </c>
      <c r="E185" s="13" t="s">
        <v>12525</v>
      </c>
      <c r="F185" s="13" t="s">
        <v>12059</v>
      </c>
    </row>
    <row r="186" spans="1:6" x14ac:dyDescent="0.3">
      <c r="A186" s="24">
        <v>1185</v>
      </c>
      <c r="B186" s="13" t="s">
        <v>5417</v>
      </c>
      <c r="C186" s="13" t="s">
        <v>94</v>
      </c>
      <c r="D186" s="13" t="s">
        <v>95</v>
      </c>
      <c r="E186" s="13" t="s">
        <v>12526</v>
      </c>
      <c r="F186" s="13" t="s">
        <v>12060</v>
      </c>
    </row>
    <row r="187" spans="1:6" x14ac:dyDescent="0.3">
      <c r="A187" s="24">
        <v>1186</v>
      </c>
      <c r="B187" s="13" t="s">
        <v>11143</v>
      </c>
      <c r="C187" s="13" t="s">
        <v>94</v>
      </c>
      <c r="D187" s="13" t="s">
        <v>12371</v>
      </c>
      <c r="E187" s="13" t="s">
        <v>12527</v>
      </c>
      <c r="F187" s="13" t="s">
        <v>12061</v>
      </c>
    </row>
    <row r="188" spans="1:6" x14ac:dyDescent="0.3">
      <c r="A188" s="24">
        <v>1187</v>
      </c>
      <c r="B188" s="13" t="s">
        <v>5418</v>
      </c>
      <c r="C188" s="13" t="s">
        <v>99</v>
      </c>
      <c r="D188" s="13" t="s">
        <v>12371</v>
      </c>
      <c r="E188" s="13" t="s">
        <v>12528</v>
      </c>
      <c r="F188" s="13" t="s">
        <v>11743</v>
      </c>
    </row>
    <row r="189" spans="1:6" x14ac:dyDescent="0.3">
      <c r="A189" s="24">
        <v>1188</v>
      </c>
      <c r="B189" s="13" t="s">
        <v>10991</v>
      </c>
      <c r="C189" s="13" t="s">
        <v>99</v>
      </c>
      <c r="D189" s="13" t="s">
        <v>12371</v>
      </c>
      <c r="E189" s="13" t="s">
        <v>12529</v>
      </c>
      <c r="F189" s="13" t="s">
        <v>11744</v>
      </c>
    </row>
    <row r="190" spans="1:6" x14ac:dyDescent="0.3">
      <c r="A190" s="24">
        <v>1189</v>
      </c>
      <c r="B190" s="13" t="s">
        <v>5419</v>
      </c>
      <c r="C190" s="13" t="s">
        <v>103</v>
      </c>
      <c r="D190" s="13" t="s">
        <v>95</v>
      </c>
      <c r="E190" s="13" t="s">
        <v>13122</v>
      </c>
      <c r="F190" s="13" t="s">
        <v>11637</v>
      </c>
    </row>
    <row r="191" spans="1:6" x14ac:dyDescent="0.3">
      <c r="A191" s="24">
        <v>1190</v>
      </c>
      <c r="B191" s="13" t="s">
        <v>5420</v>
      </c>
      <c r="C191" s="13" t="s">
        <v>99</v>
      </c>
      <c r="D191" s="13" t="s">
        <v>12371</v>
      </c>
      <c r="E191" s="13" t="s">
        <v>12530</v>
      </c>
      <c r="F191" s="13" t="s">
        <v>11745</v>
      </c>
    </row>
    <row r="192" spans="1:6" x14ac:dyDescent="0.3">
      <c r="A192" s="24">
        <v>1191</v>
      </c>
      <c r="B192" s="13" t="s">
        <v>5421</v>
      </c>
      <c r="C192" s="13" t="s">
        <v>94</v>
      </c>
      <c r="D192" s="13" t="s">
        <v>95</v>
      </c>
      <c r="E192" s="13" t="s">
        <v>12531</v>
      </c>
      <c r="F192" s="13" t="s">
        <v>12062</v>
      </c>
    </row>
    <row r="193" spans="1:6" x14ac:dyDescent="0.3">
      <c r="A193" s="24">
        <v>1192</v>
      </c>
      <c r="B193" s="13" t="s">
        <v>5422</v>
      </c>
      <c r="C193" s="13" t="s">
        <v>94</v>
      </c>
      <c r="D193" s="13" t="s">
        <v>95</v>
      </c>
      <c r="E193" s="13" t="s">
        <v>12532</v>
      </c>
      <c r="F193" s="13" t="s">
        <v>12063</v>
      </c>
    </row>
    <row r="194" spans="1:6" x14ac:dyDescent="0.3">
      <c r="A194" s="24">
        <v>1193</v>
      </c>
      <c r="B194" s="13" t="s">
        <v>5423</v>
      </c>
      <c r="C194" s="13" t="s">
        <v>94</v>
      </c>
      <c r="D194" s="13" t="s">
        <v>95</v>
      </c>
      <c r="E194" s="13" t="s">
        <v>12533</v>
      </c>
      <c r="F194" s="13" t="s">
        <v>12064</v>
      </c>
    </row>
    <row r="195" spans="1:6" x14ac:dyDescent="0.3">
      <c r="A195" s="24">
        <v>1194</v>
      </c>
      <c r="B195" s="13" t="s">
        <v>5424</v>
      </c>
      <c r="C195" s="13" t="s">
        <v>5328</v>
      </c>
      <c r="D195" s="13" t="s">
        <v>95</v>
      </c>
      <c r="E195" s="13" t="s">
        <v>13123</v>
      </c>
      <c r="F195" s="13" t="s">
        <v>11534</v>
      </c>
    </row>
    <row r="196" spans="1:6" x14ac:dyDescent="0.3">
      <c r="A196" s="24">
        <v>1195</v>
      </c>
      <c r="B196" s="13" t="s">
        <v>5425</v>
      </c>
      <c r="C196" s="13" t="s">
        <v>5425</v>
      </c>
      <c r="D196" s="13" t="s">
        <v>95</v>
      </c>
      <c r="E196" s="13" t="s">
        <v>13124</v>
      </c>
      <c r="F196" s="13" t="s">
        <v>11529</v>
      </c>
    </row>
    <row r="197" spans="1:6" x14ac:dyDescent="0.3">
      <c r="A197" s="24">
        <v>1196</v>
      </c>
      <c r="B197" s="13" t="s">
        <v>5426</v>
      </c>
      <c r="C197" s="13" t="s">
        <v>101</v>
      </c>
      <c r="D197" s="13" t="s">
        <v>12371</v>
      </c>
      <c r="E197" s="13" t="s">
        <v>12534</v>
      </c>
      <c r="F197" s="13" t="s">
        <v>11978</v>
      </c>
    </row>
    <row r="198" spans="1:6" x14ac:dyDescent="0.3">
      <c r="A198" s="24">
        <v>1197</v>
      </c>
      <c r="B198" s="13" t="s">
        <v>5427</v>
      </c>
      <c r="C198" s="13" t="s">
        <v>101</v>
      </c>
      <c r="D198" s="13" t="s">
        <v>95</v>
      </c>
      <c r="E198" s="13" t="s">
        <v>13125</v>
      </c>
      <c r="F198" s="13" t="s">
        <v>11979</v>
      </c>
    </row>
    <row r="199" spans="1:6" x14ac:dyDescent="0.3">
      <c r="A199" s="24">
        <v>1198</v>
      </c>
      <c r="B199" s="13" t="s">
        <v>5428</v>
      </c>
      <c r="C199" s="13" t="s">
        <v>5321</v>
      </c>
      <c r="D199" s="13" t="s">
        <v>12371</v>
      </c>
      <c r="E199" s="13" t="s">
        <v>12535</v>
      </c>
      <c r="F199" s="13" t="s">
        <v>11553</v>
      </c>
    </row>
    <row r="200" spans="1:6" x14ac:dyDescent="0.3">
      <c r="A200" s="24">
        <v>1199</v>
      </c>
      <c r="B200" s="13" t="s">
        <v>5429</v>
      </c>
      <c r="C200" s="13" t="s">
        <v>5321</v>
      </c>
      <c r="D200" s="13" t="s">
        <v>12371</v>
      </c>
      <c r="E200" s="13" t="s">
        <v>12536</v>
      </c>
      <c r="F200" s="13" t="s">
        <v>11554</v>
      </c>
    </row>
    <row r="201" spans="1:6" x14ac:dyDescent="0.3">
      <c r="A201" s="24">
        <v>1200</v>
      </c>
      <c r="B201" s="13" t="s">
        <v>5430</v>
      </c>
      <c r="C201" s="13" t="s">
        <v>5321</v>
      </c>
      <c r="D201" s="13" t="s">
        <v>95</v>
      </c>
      <c r="E201" s="13" t="s">
        <v>13126</v>
      </c>
      <c r="F201" s="13" t="s">
        <v>11555</v>
      </c>
    </row>
    <row r="202" spans="1:6" x14ac:dyDescent="0.3">
      <c r="A202" s="24">
        <v>1201</v>
      </c>
      <c r="B202" s="13" t="s">
        <v>5431</v>
      </c>
      <c r="C202" s="13" t="s">
        <v>5321</v>
      </c>
      <c r="D202" s="13" t="s">
        <v>95</v>
      </c>
      <c r="E202" s="13" t="s">
        <v>13127</v>
      </c>
      <c r="F202" s="13" t="s">
        <v>11558</v>
      </c>
    </row>
    <row r="203" spans="1:6" x14ac:dyDescent="0.3">
      <c r="A203" s="24">
        <v>1202</v>
      </c>
      <c r="B203" s="13" t="s">
        <v>5432</v>
      </c>
      <c r="C203" s="13" t="s">
        <v>5321</v>
      </c>
      <c r="D203" s="13" t="s">
        <v>95</v>
      </c>
      <c r="E203" s="13" t="s">
        <v>13128</v>
      </c>
      <c r="F203" s="13" t="s">
        <v>11559</v>
      </c>
    </row>
    <row r="204" spans="1:6" x14ac:dyDescent="0.3">
      <c r="A204" s="24">
        <v>1203</v>
      </c>
      <c r="B204" s="13" t="s">
        <v>5433</v>
      </c>
      <c r="C204" s="13" t="s">
        <v>5321</v>
      </c>
      <c r="D204" s="13" t="s">
        <v>12371</v>
      </c>
      <c r="E204" s="13" t="s">
        <v>12537</v>
      </c>
      <c r="F204" s="13" t="s">
        <v>11557</v>
      </c>
    </row>
    <row r="205" spans="1:6" x14ac:dyDescent="0.3">
      <c r="A205" s="24">
        <v>1204</v>
      </c>
      <c r="B205" s="13" t="s">
        <v>5434</v>
      </c>
      <c r="C205" s="13" t="s">
        <v>5321</v>
      </c>
      <c r="D205" s="13" t="s">
        <v>95</v>
      </c>
      <c r="E205" s="13" t="s">
        <v>13129</v>
      </c>
      <c r="F205" s="13" t="s">
        <v>11556</v>
      </c>
    </row>
    <row r="206" spans="1:6" x14ac:dyDescent="0.3">
      <c r="A206" s="24">
        <v>1205</v>
      </c>
      <c r="B206" s="13" t="s">
        <v>5435</v>
      </c>
      <c r="C206" s="13" t="s">
        <v>5435</v>
      </c>
      <c r="D206" s="13" t="s">
        <v>95</v>
      </c>
      <c r="E206" s="13" t="s">
        <v>13130</v>
      </c>
      <c r="F206" s="13" t="s">
        <v>11530</v>
      </c>
    </row>
    <row r="207" spans="1:6" x14ac:dyDescent="0.3">
      <c r="A207" s="24">
        <v>1206</v>
      </c>
      <c r="B207" s="13" t="s">
        <v>5436</v>
      </c>
      <c r="C207" s="13" t="s">
        <v>5436</v>
      </c>
      <c r="D207" s="13" t="s">
        <v>95</v>
      </c>
      <c r="E207" s="13" t="s">
        <v>13131</v>
      </c>
      <c r="F207" s="13" t="s">
        <v>11531</v>
      </c>
    </row>
    <row r="208" spans="1:6" x14ac:dyDescent="0.3">
      <c r="A208" s="24">
        <v>1207</v>
      </c>
      <c r="B208" s="13" t="s">
        <v>5437</v>
      </c>
      <c r="C208" s="13" t="s">
        <v>5328</v>
      </c>
      <c r="D208" s="13" t="s">
        <v>95</v>
      </c>
      <c r="E208" s="13" t="s">
        <v>12538</v>
      </c>
      <c r="F208" s="13" t="s">
        <v>11535</v>
      </c>
    </row>
    <row r="209" spans="1:6" x14ac:dyDescent="0.3">
      <c r="A209" s="24">
        <v>1208</v>
      </c>
      <c r="B209" s="13" t="s">
        <v>5438</v>
      </c>
      <c r="C209" s="13" t="s">
        <v>5321</v>
      </c>
      <c r="D209" s="13" t="s">
        <v>95</v>
      </c>
      <c r="E209" s="13" t="s">
        <v>13132</v>
      </c>
      <c r="F209" s="13" t="s">
        <v>11560</v>
      </c>
    </row>
    <row r="210" spans="1:6" x14ac:dyDescent="0.3">
      <c r="A210" s="24">
        <v>1209</v>
      </c>
      <c r="B210" s="13" t="s">
        <v>5439</v>
      </c>
      <c r="C210" s="13" t="s">
        <v>5328</v>
      </c>
      <c r="D210" s="13" t="s">
        <v>95</v>
      </c>
      <c r="E210" s="13" t="s">
        <v>13133</v>
      </c>
      <c r="F210" s="13" t="s">
        <v>11536</v>
      </c>
    </row>
    <row r="211" spans="1:6" x14ac:dyDescent="0.3">
      <c r="A211" s="24">
        <v>1210</v>
      </c>
      <c r="B211" s="13" t="s">
        <v>5440</v>
      </c>
      <c r="C211" s="13" t="s">
        <v>99</v>
      </c>
      <c r="D211" s="13" t="s">
        <v>12371</v>
      </c>
      <c r="E211" s="13" t="s">
        <v>12539</v>
      </c>
      <c r="F211" s="13" t="s">
        <v>11746</v>
      </c>
    </row>
    <row r="212" spans="1:6" x14ac:dyDescent="0.3">
      <c r="A212" s="24">
        <v>1211</v>
      </c>
      <c r="B212" s="13" t="s">
        <v>11104</v>
      </c>
      <c r="C212" s="13" t="s">
        <v>101</v>
      </c>
      <c r="D212" s="13" t="s">
        <v>12371</v>
      </c>
      <c r="E212" s="13" t="s">
        <v>12540</v>
      </c>
      <c r="F212" s="13" t="s">
        <v>11980</v>
      </c>
    </row>
    <row r="213" spans="1:6" x14ac:dyDescent="0.3">
      <c r="A213" s="24">
        <v>1212</v>
      </c>
      <c r="B213" s="13" t="s">
        <v>5441</v>
      </c>
      <c r="C213" s="13" t="s">
        <v>99</v>
      </c>
      <c r="D213" s="13" t="s">
        <v>12371</v>
      </c>
      <c r="E213" s="13" t="s">
        <v>12541</v>
      </c>
      <c r="F213" s="13" t="s">
        <v>11747</v>
      </c>
    </row>
    <row r="214" spans="1:6" x14ac:dyDescent="0.3">
      <c r="A214" s="24">
        <v>1213</v>
      </c>
      <c r="B214" s="13" t="s">
        <v>5442</v>
      </c>
      <c r="C214" s="13" t="s">
        <v>103</v>
      </c>
      <c r="D214" s="13" t="s">
        <v>95</v>
      </c>
      <c r="E214" s="13" t="s">
        <v>13134</v>
      </c>
      <c r="F214" s="13" t="s">
        <v>11638</v>
      </c>
    </row>
    <row r="215" spans="1:6" x14ac:dyDescent="0.3">
      <c r="A215" s="24">
        <v>1214</v>
      </c>
      <c r="B215" s="13" t="s">
        <v>10992</v>
      </c>
      <c r="C215" s="13" t="s">
        <v>99</v>
      </c>
      <c r="D215" s="13" t="s">
        <v>12371</v>
      </c>
      <c r="E215" s="13" t="s">
        <v>12542</v>
      </c>
      <c r="F215" s="13" t="s">
        <v>11748</v>
      </c>
    </row>
    <row r="216" spans="1:6" x14ac:dyDescent="0.3">
      <c r="A216" s="24">
        <v>1215</v>
      </c>
      <c r="B216" s="13" t="s">
        <v>10993</v>
      </c>
      <c r="C216" s="13" t="s">
        <v>99</v>
      </c>
      <c r="D216" s="13" t="s">
        <v>12371</v>
      </c>
      <c r="E216" s="13" t="s">
        <v>12543</v>
      </c>
      <c r="F216" s="13" t="s">
        <v>11749</v>
      </c>
    </row>
    <row r="217" spans="1:6" x14ac:dyDescent="0.3">
      <c r="A217" s="24">
        <v>1216</v>
      </c>
      <c r="B217" s="13" t="s">
        <v>5443</v>
      </c>
      <c r="C217" s="13" t="s">
        <v>5321</v>
      </c>
      <c r="D217" s="13" t="s">
        <v>12371</v>
      </c>
      <c r="E217" s="13" t="s">
        <v>12544</v>
      </c>
      <c r="F217" s="13" t="s">
        <v>11561</v>
      </c>
    </row>
    <row r="218" spans="1:6" x14ac:dyDescent="0.3">
      <c r="A218" s="24">
        <v>1217</v>
      </c>
      <c r="B218" s="13" t="s">
        <v>5444</v>
      </c>
      <c r="C218" s="13" t="s">
        <v>5321</v>
      </c>
      <c r="D218" s="13" t="s">
        <v>12371</v>
      </c>
      <c r="E218" s="13" t="s">
        <v>12545</v>
      </c>
      <c r="F218" s="13" t="s">
        <v>11562</v>
      </c>
    </row>
    <row r="219" spans="1:6" x14ac:dyDescent="0.3">
      <c r="A219" s="24">
        <v>1218</v>
      </c>
      <c r="B219" s="13" t="s">
        <v>5445</v>
      </c>
      <c r="C219" s="13" t="s">
        <v>5328</v>
      </c>
      <c r="D219" s="13" t="s">
        <v>95</v>
      </c>
      <c r="E219" s="13" t="s">
        <v>13135</v>
      </c>
      <c r="F219" s="13" t="s">
        <v>11537</v>
      </c>
    </row>
    <row r="220" spans="1:6" x14ac:dyDescent="0.3">
      <c r="A220" s="24">
        <v>1219</v>
      </c>
      <c r="B220" s="13" t="s">
        <v>5446</v>
      </c>
      <c r="C220" s="13" t="s">
        <v>5321</v>
      </c>
      <c r="D220" s="13" t="s">
        <v>12371</v>
      </c>
      <c r="E220" s="13" t="s">
        <v>12546</v>
      </c>
      <c r="F220" s="13" t="s">
        <v>11563</v>
      </c>
    </row>
    <row r="221" spans="1:6" x14ac:dyDescent="0.3">
      <c r="A221" s="24">
        <v>1220</v>
      </c>
      <c r="B221" s="13" t="s">
        <v>5447</v>
      </c>
      <c r="C221" s="13" t="s">
        <v>5321</v>
      </c>
      <c r="D221" s="13" t="s">
        <v>12371</v>
      </c>
      <c r="E221" s="13" t="s">
        <v>12547</v>
      </c>
      <c r="F221" s="13" t="s">
        <v>11564</v>
      </c>
    </row>
    <row r="222" spans="1:6" x14ac:dyDescent="0.3">
      <c r="A222" s="24">
        <v>1221</v>
      </c>
      <c r="B222" s="13" t="s">
        <v>5448</v>
      </c>
      <c r="C222" s="13" t="s">
        <v>5321</v>
      </c>
      <c r="D222" s="13" t="s">
        <v>12371</v>
      </c>
      <c r="E222" s="13" t="s">
        <v>12548</v>
      </c>
      <c r="F222" s="13" t="s">
        <v>11565</v>
      </c>
    </row>
    <row r="223" spans="1:6" x14ac:dyDescent="0.3">
      <c r="A223" s="24">
        <v>1222</v>
      </c>
      <c r="B223" s="13" t="s">
        <v>5449</v>
      </c>
      <c r="C223" s="13" t="s">
        <v>5321</v>
      </c>
      <c r="D223" s="13" t="s">
        <v>12371</v>
      </c>
      <c r="E223" s="13" t="s">
        <v>12549</v>
      </c>
      <c r="F223" s="13" t="s">
        <v>11566</v>
      </c>
    </row>
    <row r="224" spans="1:6" x14ac:dyDescent="0.3">
      <c r="A224" s="24">
        <v>1223</v>
      </c>
      <c r="B224" s="13" t="s">
        <v>5450</v>
      </c>
      <c r="C224" s="13" t="s">
        <v>5321</v>
      </c>
      <c r="D224" s="13" t="s">
        <v>12371</v>
      </c>
      <c r="E224" s="13" t="s">
        <v>12550</v>
      </c>
      <c r="F224" s="13" t="s">
        <v>11567</v>
      </c>
    </row>
    <row r="225" spans="1:6" x14ac:dyDescent="0.3">
      <c r="A225" s="24">
        <v>1224</v>
      </c>
      <c r="B225" s="13" t="s">
        <v>5451</v>
      </c>
      <c r="C225" s="13" t="s">
        <v>5328</v>
      </c>
      <c r="D225" s="13" t="s">
        <v>12371</v>
      </c>
      <c r="E225" s="13" t="s">
        <v>12551</v>
      </c>
      <c r="F225" s="13" t="s">
        <v>11538</v>
      </c>
    </row>
    <row r="226" spans="1:6" x14ac:dyDescent="0.3">
      <c r="A226" s="24">
        <v>1225</v>
      </c>
      <c r="B226" s="13" t="s">
        <v>5452</v>
      </c>
      <c r="C226" s="13" t="s">
        <v>5321</v>
      </c>
      <c r="D226" s="13" t="s">
        <v>12371</v>
      </c>
      <c r="E226" s="13" t="s">
        <v>12552</v>
      </c>
      <c r="F226" s="13" t="s">
        <v>11568</v>
      </c>
    </row>
    <row r="227" spans="1:6" x14ac:dyDescent="0.3">
      <c r="A227" s="24">
        <v>1226</v>
      </c>
      <c r="B227" s="13" t="s">
        <v>10930</v>
      </c>
      <c r="C227" s="13" t="s">
        <v>5321</v>
      </c>
      <c r="D227" s="13" t="s">
        <v>12371</v>
      </c>
      <c r="E227" s="13" t="s">
        <v>12553</v>
      </c>
      <c r="F227" s="13" t="s">
        <v>11569</v>
      </c>
    </row>
    <row r="228" spans="1:6" x14ac:dyDescent="0.3">
      <c r="A228" s="24">
        <v>1227</v>
      </c>
      <c r="B228" s="13" t="s">
        <v>5453</v>
      </c>
      <c r="C228" s="13" t="s">
        <v>5321</v>
      </c>
      <c r="D228" s="13" t="s">
        <v>12371</v>
      </c>
      <c r="E228" s="13" t="s">
        <v>12554</v>
      </c>
      <c r="F228" s="13" t="s">
        <v>11570</v>
      </c>
    </row>
    <row r="229" spans="1:6" x14ac:dyDescent="0.3">
      <c r="A229" s="24">
        <v>1228</v>
      </c>
      <c r="B229" s="13" t="s">
        <v>5454</v>
      </c>
      <c r="C229" s="13" t="s">
        <v>5321</v>
      </c>
      <c r="D229" s="13" t="s">
        <v>95</v>
      </c>
      <c r="E229" s="13" t="s">
        <v>13136</v>
      </c>
      <c r="F229" s="13" t="s">
        <v>11571</v>
      </c>
    </row>
    <row r="230" spans="1:6" x14ac:dyDescent="0.3">
      <c r="A230" s="24">
        <v>1229</v>
      </c>
      <c r="B230" s="13" t="s">
        <v>5455</v>
      </c>
      <c r="C230" s="13" t="s">
        <v>5321</v>
      </c>
      <c r="D230" s="13" t="s">
        <v>12371</v>
      </c>
      <c r="E230" s="13" t="s">
        <v>12555</v>
      </c>
      <c r="F230" s="13" t="s">
        <v>11572</v>
      </c>
    </row>
    <row r="231" spans="1:6" x14ac:dyDescent="0.3">
      <c r="A231" s="24">
        <v>1230</v>
      </c>
      <c r="B231" s="13" t="s">
        <v>5456</v>
      </c>
      <c r="C231" s="13" t="s">
        <v>5321</v>
      </c>
      <c r="D231" s="13" t="s">
        <v>12371</v>
      </c>
      <c r="E231" s="13" t="s">
        <v>12556</v>
      </c>
      <c r="F231" s="13" t="s">
        <v>11573</v>
      </c>
    </row>
    <row r="232" spans="1:6" x14ac:dyDescent="0.3">
      <c r="A232" s="24">
        <v>1231</v>
      </c>
      <c r="B232" s="13" t="s">
        <v>5457</v>
      </c>
      <c r="C232" s="13" t="s">
        <v>5457</v>
      </c>
      <c r="D232" s="13" t="s">
        <v>95</v>
      </c>
      <c r="E232" s="13" t="s">
        <v>13137</v>
      </c>
      <c r="F232" s="13" t="s">
        <v>11620</v>
      </c>
    </row>
    <row r="233" spans="1:6" x14ac:dyDescent="0.3">
      <c r="A233" s="24">
        <v>1232</v>
      </c>
      <c r="B233" s="13" t="s">
        <v>5458</v>
      </c>
      <c r="C233" s="13" t="s">
        <v>5458</v>
      </c>
      <c r="D233" s="13" t="s">
        <v>95</v>
      </c>
      <c r="E233" s="13" t="s">
        <v>12557</v>
      </c>
      <c r="F233" s="13" t="s">
        <v>11621</v>
      </c>
    </row>
    <row r="234" spans="1:6" x14ac:dyDescent="0.3">
      <c r="A234" s="24">
        <v>1233</v>
      </c>
      <c r="B234" s="13" t="s">
        <v>5459</v>
      </c>
      <c r="C234" s="13" t="s">
        <v>111</v>
      </c>
      <c r="D234" s="13" t="s">
        <v>12371</v>
      </c>
      <c r="E234" s="13" t="s">
        <v>12558</v>
      </c>
      <c r="F234" s="13" t="s">
        <v>11942</v>
      </c>
    </row>
    <row r="235" spans="1:6" x14ac:dyDescent="0.3">
      <c r="A235" s="24">
        <v>1234</v>
      </c>
      <c r="B235" s="13" t="s">
        <v>11090</v>
      </c>
      <c r="C235" s="13" t="s">
        <v>111</v>
      </c>
      <c r="D235" s="13" t="s">
        <v>12371</v>
      </c>
      <c r="E235" s="13" t="s">
        <v>12559</v>
      </c>
      <c r="F235" s="13" t="s">
        <v>11943</v>
      </c>
    </row>
    <row r="236" spans="1:6" x14ac:dyDescent="0.3">
      <c r="A236" s="24">
        <v>1235</v>
      </c>
      <c r="B236" s="13" t="s">
        <v>10950</v>
      </c>
      <c r="C236" s="13" t="s">
        <v>103</v>
      </c>
      <c r="D236" s="13" t="s">
        <v>12371</v>
      </c>
      <c r="E236" s="13" t="s">
        <v>12560</v>
      </c>
      <c r="F236" s="13" t="s">
        <v>11639</v>
      </c>
    </row>
    <row r="237" spans="1:6" x14ac:dyDescent="0.3">
      <c r="A237" s="24">
        <v>1236</v>
      </c>
      <c r="B237" s="13" t="s">
        <v>10951</v>
      </c>
      <c r="C237" s="13" t="s">
        <v>103</v>
      </c>
      <c r="D237" s="13" t="s">
        <v>12371</v>
      </c>
      <c r="E237" s="13" t="s">
        <v>12561</v>
      </c>
      <c r="F237" s="13" t="s">
        <v>11640</v>
      </c>
    </row>
    <row r="238" spans="1:6" x14ac:dyDescent="0.3">
      <c r="A238" s="24">
        <v>1237</v>
      </c>
      <c r="B238" s="13" t="s">
        <v>10952</v>
      </c>
      <c r="C238" s="13" t="s">
        <v>103</v>
      </c>
      <c r="D238" s="13" t="s">
        <v>12371</v>
      </c>
      <c r="E238" s="13" t="s">
        <v>12562</v>
      </c>
      <c r="F238" s="13" t="s">
        <v>11641</v>
      </c>
    </row>
    <row r="239" spans="1:6" x14ac:dyDescent="0.3">
      <c r="A239" s="24">
        <v>1238</v>
      </c>
      <c r="B239" s="13" t="s">
        <v>10994</v>
      </c>
      <c r="C239" s="13" t="s">
        <v>99</v>
      </c>
      <c r="D239" s="13" t="s">
        <v>12371</v>
      </c>
      <c r="E239" s="13" t="s">
        <v>12563</v>
      </c>
      <c r="F239" s="13" t="s">
        <v>11750</v>
      </c>
    </row>
    <row r="240" spans="1:6" x14ac:dyDescent="0.3">
      <c r="A240" s="24">
        <v>1239</v>
      </c>
      <c r="B240" s="13" t="s">
        <v>5460</v>
      </c>
      <c r="C240" s="13" t="s">
        <v>101</v>
      </c>
      <c r="D240" s="13" t="s">
        <v>12371</v>
      </c>
      <c r="E240" s="13" t="s">
        <v>12564</v>
      </c>
      <c r="F240" s="13" t="s">
        <v>11981</v>
      </c>
    </row>
    <row r="241" spans="1:6" x14ac:dyDescent="0.3">
      <c r="A241" s="24">
        <v>1240</v>
      </c>
      <c r="B241" s="13" t="s">
        <v>11105</v>
      </c>
      <c r="C241" s="13" t="s">
        <v>101</v>
      </c>
      <c r="D241" s="13" t="s">
        <v>12371</v>
      </c>
      <c r="E241" s="13" t="s">
        <v>12565</v>
      </c>
      <c r="F241" s="13" t="s">
        <v>11982</v>
      </c>
    </row>
    <row r="242" spans="1:6" x14ac:dyDescent="0.3">
      <c r="A242" s="24">
        <v>1241</v>
      </c>
      <c r="B242" s="13" t="s">
        <v>11106</v>
      </c>
      <c r="C242" s="13" t="s">
        <v>101</v>
      </c>
      <c r="D242" s="13" t="s">
        <v>12371</v>
      </c>
      <c r="E242" s="13" t="s">
        <v>12566</v>
      </c>
      <c r="F242" s="13" t="s">
        <v>11983</v>
      </c>
    </row>
    <row r="243" spans="1:6" x14ac:dyDescent="0.3">
      <c r="A243" s="24">
        <v>1242</v>
      </c>
      <c r="B243" s="13" t="s">
        <v>5461</v>
      </c>
      <c r="C243" s="13" t="s">
        <v>5365</v>
      </c>
      <c r="D243" s="13" t="s">
        <v>12371</v>
      </c>
      <c r="E243" s="13" t="s">
        <v>12567</v>
      </c>
      <c r="F243" s="13" t="s">
        <v>12022</v>
      </c>
    </row>
    <row r="244" spans="1:6" x14ac:dyDescent="0.3">
      <c r="A244" s="24">
        <v>1243</v>
      </c>
      <c r="B244" s="13" t="s">
        <v>5462</v>
      </c>
      <c r="C244" s="13" t="s">
        <v>99</v>
      </c>
      <c r="D244" s="13" t="s">
        <v>12371</v>
      </c>
      <c r="E244" s="13" t="s">
        <v>12568</v>
      </c>
      <c r="F244" s="13" t="s">
        <v>11751</v>
      </c>
    </row>
    <row r="245" spans="1:6" x14ac:dyDescent="0.3">
      <c r="A245" s="24">
        <v>1244</v>
      </c>
      <c r="B245" s="13" t="s">
        <v>5463</v>
      </c>
      <c r="C245" s="13" t="s">
        <v>94</v>
      </c>
      <c r="D245" s="13" t="s">
        <v>12371</v>
      </c>
      <c r="E245" s="13" t="s">
        <v>12569</v>
      </c>
      <c r="F245" s="13" t="s">
        <v>12065</v>
      </c>
    </row>
    <row r="246" spans="1:6" x14ac:dyDescent="0.3">
      <c r="A246" s="24">
        <v>1245</v>
      </c>
      <c r="B246" s="13" t="s">
        <v>10995</v>
      </c>
      <c r="C246" s="13" t="s">
        <v>99</v>
      </c>
      <c r="D246" s="13" t="s">
        <v>12371</v>
      </c>
      <c r="E246" s="13" t="s">
        <v>12570</v>
      </c>
      <c r="F246" s="13" t="s">
        <v>11752</v>
      </c>
    </row>
    <row r="247" spans="1:6" x14ac:dyDescent="0.3">
      <c r="A247" s="24">
        <v>1246</v>
      </c>
      <c r="B247" s="13" t="s">
        <v>5464</v>
      </c>
      <c r="C247" s="13" t="s">
        <v>99</v>
      </c>
      <c r="D247" s="13" t="s">
        <v>12371</v>
      </c>
      <c r="E247" s="13" t="s">
        <v>12571</v>
      </c>
      <c r="F247" s="13" t="s">
        <v>11753</v>
      </c>
    </row>
    <row r="248" spans="1:6" x14ac:dyDescent="0.3">
      <c r="A248" s="24">
        <v>1247</v>
      </c>
      <c r="B248" s="13" t="s">
        <v>10996</v>
      </c>
      <c r="C248" s="13" t="s">
        <v>99</v>
      </c>
      <c r="D248" s="13" t="s">
        <v>12371</v>
      </c>
      <c r="E248" s="13" t="s">
        <v>12572</v>
      </c>
      <c r="F248" s="13" t="s">
        <v>11754</v>
      </c>
    </row>
    <row r="249" spans="1:6" x14ac:dyDescent="0.3">
      <c r="A249" s="24">
        <v>1248</v>
      </c>
      <c r="B249" s="13" t="s">
        <v>10997</v>
      </c>
      <c r="C249" s="13" t="s">
        <v>99</v>
      </c>
      <c r="D249" s="13" t="s">
        <v>12371</v>
      </c>
      <c r="E249" s="13" t="s">
        <v>12573</v>
      </c>
      <c r="F249" s="13" t="s">
        <v>11755</v>
      </c>
    </row>
    <row r="250" spans="1:6" x14ac:dyDescent="0.3">
      <c r="A250" s="24">
        <v>1249</v>
      </c>
      <c r="B250" s="13" t="s">
        <v>10998</v>
      </c>
      <c r="C250" s="13" t="s">
        <v>99</v>
      </c>
      <c r="D250" s="13" t="s">
        <v>12371</v>
      </c>
      <c r="E250" s="13" t="s">
        <v>12574</v>
      </c>
      <c r="F250" s="13" t="s">
        <v>11756</v>
      </c>
    </row>
    <row r="251" spans="1:6" x14ac:dyDescent="0.3">
      <c r="A251" s="24">
        <v>1250</v>
      </c>
      <c r="B251" s="13" t="s">
        <v>10999</v>
      </c>
      <c r="C251" s="13" t="s">
        <v>99</v>
      </c>
      <c r="D251" s="13" t="s">
        <v>12371</v>
      </c>
      <c r="E251" s="13" t="s">
        <v>12575</v>
      </c>
      <c r="F251" s="13" t="s">
        <v>11757</v>
      </c>
    </row>
    <row r="252" spans="1:6" x14ac:dyDescent="0.3">
      <c r="A252" s="24">
        <v>1251</v>
      </c>
      <c r="B252" s="13" t="s">
        <v>5465</v>
      </c>
      <c r="C252" s="13" t="s">
        <v>99</v>
      </c>
      <c r="D252" s="13" t="s">
        <v>95</v>
      </c>
      <c r="E252" s="13" t="s">
        <v>13138</v>
      </c>
      <c r="F252" s="13" t="s">
        <v>11758</v>
      </c>
    </row>
    <row r="253" spans="1:6" x14ac:dyDescent="0.3">
      <c r="A253" s="24">
        <v>1252</v>
      </c>
      <c r="B253" s="13" t="s">
        <v>5466</v>
      </c>
      <c r="C253" s="13" t="s">
        <v>5321</v>
      </c>
      <c r="D253" s="13" t="s">
        <v>95</v>
      </c>
      <c r="E253" s="13" t="s">
        <v>13139</v>
      </c>
      <c r="F253" s="13" t="s">
        <v>11574</v>
      </c>
    </row>
    <row r="254" spans="1:6" x14ac:dyDescent="0.3">
      <c r="A254" s="24">
        <v>1253</v>
      </c>
      <c r="B254" s="13" t="s">
        <v>5467</v>
      </c>
      <c r="C254" s="13" t="s">
        <v>5381</v>
      </c>
      <c r="D254" s="13" t="s">
        <v>12371</v>
      </c>
      <c r="E254" s="13" t="s">
        <v>12576</v>
      </c>
      <c r="F254" s="13" t="s">
        <v>12139</v>
      </c>
    </row>
    <row r="255" spans="1:6" x14ac:dyDescent="0.3">
      <c r="A255" s="24">
        <v>1254</v>
      </c>
      <c r="B255" s="13" t="s">
        <v>11179</v>
      </c>
      <c r="C255" s="13" t="s">
        <v>5381</v>
      </c>
      <c r="D255" s="13" t="s">
        <v>12371</v>
      </c>
      <c r="E255" s="13" t="s">
        <v>12577</v>
      </c>
      <c r="F255" s="13" t="s">
        <v>12140</v>
      </c>
    </row>
    <row r="256" spans="1:6" x14ac:dyDescent="0.3">
      <c r="A256" s="24">
        <v>1255</v>
      </c>
      <c r="B256" s="13" t="s">
        <v>5468</v>
      </c>
      <c r="C256" s="13" t="s">
        <v>5381</v>
      </c>
      <c r="D256" s="13" t="s">
        <v>12371</v>
      </c>
      <c r="E256" s="13" t="s">
        <v>12578</v>
      </c>
      <c r="F256" s="13" t="s">
        <v>12141</v>
      </c>
    </row>
    <row r="257" spans="1:6" x14ac:dyDescent="0.3">
      <c r="A257" s="24">
        <v>1256</v>
      </c>
      <c r="B257" s="13" t="s">
        <v>5469</v>
      </c>
      <c r="C257" s="13" t="s">
        <v>99</v>
      </c>
      <c r="D257" s="13" t="s">
        <v>95</v>
      </c>
      <c r="E257" s="13" t="s">
        <v>12579</v>
      </c>
      <c r="F257" s="13" t="s">
        <v>11759</v>
      </c>
    </row>
    <row r="258" spans="1:6" x14ac:dyDescent="0.3">
      <c r="A258" s="24">
        <v>1257</v>
      </c>
      <c r="B258" s="13" t="s">
        <v>5470</v>
      </c>
      <c r="C258" s="13" t="s">
        <v>5381</v>
      </c>
      <c r="D258" s="13" t="s">
        <v>12371</v>
      </c>
      <c r="E258" s="13" t="s">
        <v>12580</v>
      </c>
      <c r="F258" s="13" t="s">
        <v>12142</v>
      </c>
    </row>
    <row r="259" spans="1:6" x14ac:dyDescent="0.3">
      <c r="A259" s="24">
        <v>1258</v>
      </c>
      <c r="B259" s="13" t="s">
        <v>5471</v>
      </c>
      <c r="C259" s="13" t="s">
        <v>5381</v>
      </c>
      <c r="D259" s="13" t="s">
        <v>12371</v>
      </c>
      <c r="E259" s="13" t="s">
        <v>12581</v>
      </c>
      <c r="F259" s="13" t="s">
        <v>12143</v>
      </c>
    </row>
    <row r="260" spans="1:6" x14ac:dyDescent="0.3">
      <c r="A260" s="24">
        <v>1259</v>
      </c>
      <c r="B260" s="13" t="s">
        <v>5472</v>
      </c>
      <c r="C260" s="13" t="s">
        <v>99</v>
      </c>
      <c r="D260" s="13" t="s">
        <v>12371</v>
      </c>
      <c r="E260" s="13" t="s">
        <v>12582</v>
      </c>
      <c r="F260" s="13" t="s">
        <v>11760</v>
      </c>
    </row>
    <row r="261" spans="1:6" x14ac:dyDescent="0.3">
      <c r="A261" s="24">
        <v>1260</v>
      </c>
      <c r="B261" s="13" t="s">
        <v>5473</v>
      </c>
      <c r="C261" s="13" t="s">
        <v>99</v>
      </c>
      <c r="D261" s="13" t="s">
        <v>12371</v>
      </c>
      <c r="E261" s="13" t="s">
        <v>12583</v>
      </c>
      <c r="F261" s="13" t="s">
        <v>11761</v>
      </c>
    </row>
    <row r="262" spans="1:6" x14ac:dyDescent="0.3">
      <c r="A262" s="24">
        <v>1261</v>
      </c>
      <c r="B262" s="13" t="s">
        <v>5474</v>
      </c>
      <c r="C262" s="13" t="s">
        <v>99</v>
      </c>
      <c r="D262" s="13" t="s">
        <v>12371</v>
      </c>
      <c r="E262" s="13" t="s">
        <v>12584</v>
      </c>
      <c r="F262" s="13" t="s">
        <v>11762</v>
      </c>
    </row>
    <row r="263" spans="1:6" x14ac:dyDescent="0.3">
      <c r="A263" s="24">
        <v>1262</v>
      </c>
      <c r="B263" s="13" t="s">
        <v>5475</v>
      </c>
      <c r="C263" s="13" t="s">
        <v>5381</v>
      </c>
      <c r="D263" s="13" t="s">
        <v>12371</v>
      </c>
      <c r="E263" s="13" t="s">
        <v>12585</v>
      </c>
      <c r="F263" s="13" t="s">
        <v>12144</v>
      </c>
    </row>
    <row r="264" spans="1:6" x14ac:dyDescent="0.3">
      <c r="A264" s="24">
        <v>1263</v>
      </c>
      <c r="B264" s="13" t="s">
        <v>11180</v>
      </c>
      <c r="C264" s="13" t="s">
        <v>5381</v>
      </c>
      <c r="D264" s="13" t="s">
        <v>12371</v>
      </c>
      <c r="E264" s="13" t="s">
        <v>12586</v>
      </c>
      <c r="F264" s="13" t="s">
        <v>12145</v>
      </c>
    </row>
    <row r="265" spans="1:6" x14ac:dyDescent="0.3">
      <c r="A265" s="24">
        <v>1264</v>
      </c>
      <c r="B265" s="13" t="s">
        <v>11181</v>
      </c>
      <c r="C265" s="13" t="s">
        <v>5381</v>
      </c>
      <c r="D265" s="13" t="s">
        <v>12371</v>
      </c>
      <c r="E265" s="13" t="s">
        <v>12587</v>
      </c>
      <c r="F265" s="13" t="s">
        <v>12146</v>
      </c>
    </row>
    <row r="266" spans="1:6" x14ac:dyDescent="0.3">
      <c r="A266" s="24">
        <v>1265</v>
      </c>
      <c r="B266" s="13" t="s">
        <v>10931</v>
      </c>
      <c r="C266" s="13" t="s">
        <v>5321</v>
      </c>
      <c r="D266" s="13" t="s">
        <v>12371</v>
      </c>
      <c r="E266" s="13" t="s">
        <v>12588</v>
      </c>
      <c r="F266" s="13" t="s">
        <v>11575</v>
      </c>
    </row>
    <row r="267" spans="1:6" x14ac:dyDescent="0.3">
      <c r="A267" s="24">
        <v>1266</v>
      </c>
      <c r="B267" s="13" t="s">
        <v>5476</v>
      </c>
      <c r="C267" s="13" t="s">
        <v>5328</v>
      </c>
      <c r="D267" s="13" t="s">
        <v>12371</v>
      </c>
      <c r="E267" s="13" t="s">
        <v>12589</v>
      </c>
      <c r="F267" s="13" t="s">
        <v>11539</v>
      </c>
    </row>
    <row r="268" spans="1:6" x14ac:dyDescent="0.3">
      <c r="A268" s="24">
        <v>1267</v>
      </c>
      <c r="B268" s="13" t="s">
        <v>5477</v>
      </c>
      <c r="C268" s="13" t="s">
        <v>99</v>
      </c>
      <c r="D268" s="13" t="s">
        <v>12371</v>
      </c>
      <c r="E268" s="13" t="s">
        <v>12590</v>
      </c>
      <c r="F268" s="13" t="s">
        <v>11763</v>
      </c>
    </row>
    <row r="269" spans="1:6" x14ac:dyDescent="0.3">
      <c r="A269" s="24">
        <v>1268</v>
      </c>
      <c r="B269" s="13" t="s">
        <v>10953</v>
      </c>
      <c r="C269" s="13" t="s">
        <v>103</v>
      </c>
      <c r="D269" s="13" t="s">
        <v>12371</v>
      </c>
      <c r="E269" s="13" t="s">
        <v>12591</v>
      </c>
      <c r="F269" s="13" t="s">
        <v>11642</v>
      </c>
    </row>
    <row r="270" spans="1:6" x14ac:dyDescent="0.3">
      <c r="A270" s="24">
        <v>1269</v>
      </c>
      <c r="B270" s="13" t="s">
        <v>5478</v>
      </c>
      <c r="C270" s="13" t="s">
        <v>99</v>
      </c>
      <c r="D270" s="13" t="s">
        <v>12371</v>
      </c>
      <c r="E270" s="13" t="s">
        <v>12592</v>
      </c>
      <c r="F270" s="13" t="s">
        <v>11764</v>
      </c>
    </row>
    <row r="271" spans="1:6" x14ac:dyDescent="0.3">
      <c r="A271" s="24">
        <v>1270</v>
      </c>
      <c r="B271" s="13" t="s">
        <v>5479</v>
      </c>
      <c r="C271" s="13" t="s">
        <v>101</v>
      </c>
      <c r="D271" s="13" t="s">
        <v>12371</v>
      </c>
      <c r="E271" s="13" t="s">
        <v>12593</v>
      </c>
      <c r="F271" s="13" t="s">
        <v>11984</v>
      </c>
    </row>
    <row r="272" spans="1:6" x14ac:dyDescent="0.3">
      <c r="A272" s="24">
        <v>1271</v>
      </c>
      <c r="B272" s="13" t="s">
        <v>5480</v>
      </c>
      <c r="C272" s="13" t="s">
        <v>99</v>
      </c>
      <c r="D272" s="13" t="s">
        <v>12371</v>
      </c>
      <c r="E272" s="13" t="s">
        <v>12594</v>
      </c>
      <c r="F272" s="13" t="s">
        <v>11765</v>
      </c>
    </row>
    <row r="273" spans="1:6" x14ac:dyDescent="0.3">
      <c r="A273" s="24">
        <v>1272</v>
      </c>
      <c r="B273" s="13" t="s">
        <v>5481</v>
      </c>
      <c r="C273" s="13" t="s">
        <v>99</v>
      </c>
      <c r="D273" s="13" t="s">
        <v>12371</v>
      </c>
      <c r="E273" s="13" t="s">
        <v>12595</v>
      </c>
      <c r="F273" s="13" t="s">
        <v>11766</v>
      </c>
    </row>
    <row r="274" spans="1:6" x14ac:dyDescent="0.3">
      <c r="A274" s="24">
        <v>1273</v>
      </c>
      <c r="B274" s="13" t="s">
        <v>5482</v>
      </c>
      <c r="C274" s="13" t="s">
        <v>103</v>
      </c>
      <c r="D274" s="13" t="s">
        <v>12371</v>
      </c>
      <c r="E274" s="13" t="s">
        <v>12596</v>
      </c>
      <c r="F274" s="13" t="s">
        <v>11643</v>
      </c>
    </row>
    <row r="275" spans="1:6" x14ac:dyDescent="0.3">
      <c r="A275" s="24">
        <v>1274</v>
      </c>
      <c r="B275" s="13" t="s">
        <v>5483</v>
      </c>
      <c r="C275" s="13" t="s">
        <v>99</v>
      </c>
      <c r="D275" s="13" t="s">
        <v>12371</v>
      </c>
      <c r="E275" s="13" t="s">
        <v>12597</v>
      </c>
      <c r="F275" s="13" t="s">
        <v>11767</v>
      </c>
    </row>
    <row r="276" spans="1:6" x14ac:dyDescent="0.3">
      <c r="A276" s="24">
        <v>1275</v>
      </c>
      <c r="B276" s="13" t="s">
        <v>11000</v>
      </c>
      <c r="C276" s="13" t="s">
        <v>99</v>
      </c>
      <c r="D276" s="13" t="s">
        <v>12371</v>
      </c>
      <c r="E276" s="13" t="s">
        <v>12598</v>
      </c>
      <c r="F276" s="13" t="s">
        <v>11768</v>
      </c>
    </row>
    <row r="277" spans="1:6" x14ac:dyDescent="0.3">
      <c r="A277" s="24">
        <v>1276</v>
      </c>
      <c r="B277" s="13" t="s">
        <v>5484</v>
      </c>
      <c r="C277" s="13" t="s">
        <v>99</v>
      </c>
      <c r="D277" s="13" t="s">
        <v>95</v>
      </c>
      <c r="E277" s="13" t="s">
        <v>13140</v>
      </c>
      <c r="F277" s="13" t="s">
        <v>11769</v>
      </c>
    </row>
    <row r="278" spans="1:6" x14ac:dyDescent="0.3">
      <c r="A278" s="24">
        <v>1277</v>
      </c>
      <c r="B278" s="13" t="s">
        <v>11001</v>
      </c>
      <c r="C278" s="13" t="s">
        <v>99</v>
      </c>
      <c r="D278" s="13" t="s">
        <v>12371</v>
      </c>
      <c r="E278" s="13" t="s">
        <v>12599</v>
      </c>
      <c r="F278" s="13" t="s">
        <v>11770</v>
      </c>
    </row>
    <row r="279" spans="1:6" x14ac:dyDescent="0.3">
      <c r="A279" s="24">
        <v>1278</v>
      </c>
      <c r="B279" s="13" t="s">
        <v>5485</v>
      </c>
      <c r="C279" s="13" t="s">
        <v>99</v>
      </c>
      <c r="D279" s="13" t="s">
        <v>12371</v>
      </c>
      <c r="E279" s="13" t="s">
        <v>12600</v>
      </c>
      <c r="F279" s="13" t="s">
        <v>11771</v>
      </c>
    </row>
    <row r="280" spans="1:6" x14ac:dyDescent="0.3">
      <c r="A280" s="24">
        <v>1279</v>
      </c>
      <c r="B280" s="13" t="s">
        <v>5486</v>
      </c>
      <c r="C280" s="13" t="s">
        <v>99</v>
      </c>
      <c r="D280" s="13" t="s">
        <v>12371</v>
      </c>
      <c r="E280" s="13" t="s">
        <v>12601</v>
      </c>
      <c r="F280" s="13" t="s">
        <v>11772</v>
      </c>
    </row>
    <row r="281" spans="1:6" x14ac:dyDescent="0.3">
      <c r="A281" s="24">
        <v>1280</v>
      </c>
      <c r="B281" s="13" t="s">
        <v>11107</v>
      </c>
      <c r="C281" s="13" t="s">
        <v>101</v>
      </c>
      <c r="D281" s="13" t="s">
        <v>12371</v>
      </c>
      <c r="E281" s="13" t="s">
        <v>12602</v>
      </c>
      <c r="F281" s="13" t="s">
        <v>11985</v>
      </c>
    </row>
    <row r="282" spans="1:6" x14ac:dyDescent="0.3">
      <c r="A282" s="24">
        <v>1281</v>
      </c>
      <c r="B282" s="13" t="s">
        <v>5487</v>
      </c>
      <c r="C282" s="13" t="s">
        <v>94</v>
      </c>
      <c r="D282" s="13" t="s">
        <v>12371</v>
      </c>
      <c r="E282" s="13" t="s">
        <v>12603</v>
      </c>
      <c r="F282" s="13" t="s">
        <v>12066</v>
      </c>
    </row>
    <row r="283" spans="1:6" x14ac:dyDescent="0.3">
      <c r="A283" s="24">
        <v>1282</v>
      </c>
      <c r="B283" s="13" t="s">
        <v>11144</v>
      </c>
      <c r="C283" s="13" t="s">
        <v>94</v>
      </c>
      <c r="D283" s="13" t="s">
        <v>12371</v>
      </c>
      <c r="E283" s="13" t="s">
        <v>12604</v>
      </c>
      <c r="F283" s="13" t="s">
        <v>12067</v>
      </c>
    </row>
    <row r="284" spans="1:6" x14ac:dyDescent="0.3">
      <c r="A284" s="24">
        <v>1283</v>
      </c>
      <c r="B284" s="13" t="s">
        <v>11002</v>
      </c>
      <c r="C284" s="13" t="s">
        <v>99</v>
      </c>
      <c r="D284" s="13" t="s">
        <v>12371</v>
      </c>
      <c r="E284" s="13" t="s">
        <v>12605</v>
      </c>
      <c r="F284" s="13" t="s">
        <v>11773</v>
      </c>
    </row>
    <row r="285" spans="1:6" x14ac:dyDescent="0.3">
      <c r="A285" s="24">
        <v>1284</v>
      </c>
      <c r="B285" s="13" t="s">
        <v>5488</v>
      </c>
      <c r="C285" s="13" t="s">
        <v>94</v>
      </c>
      <c r="D285" s="13" t="s">
        <v>12371</v>
      </c>
      <c r="E285" s="13" t="s">
        <v>12606</v>
      </c>
      <c r="F285" s="13" t="s">
        <v>12068</v>
      </c>
    </row>
    <row r="286" spans="1:6" x14ac:dyDescent="0.3">
      <c r="A286" s="24">
        <v>1285</v>
      </c>
      <c r="B286" s="13" t="s">
        <v>11145</v>
      </c>
      <c r="C286" s="13" t="s">
        <v>94</v>
      </c>
      <c r="D286" s="13" t="s">
        <v>12371</v>
      </c>
      <c r="E286" s="13" t="s">
        <v>12607</v>
      </c>
      <c r="F286" s="13" t="s">
        <v>12069</v>
      </c>
    </row>
    <row r="287" spans="1:6" x14ac:dyDescent="0.3">
      <c r="A287" s="24">
        <v>1286</v>
      </c>
      <c r="B287" s="13" t="s">
        <v>11146</v>
      </c>
      <c r="C287" s="13" t="s">
        <v>94</v>
      </c>
      <c r="D287" s="13" t="s">
        <v>12371</v>
      </c>
      <c r="E287" s="13" t="s">
        <v>12608</v>
      </c>
      <c r="F287" s="13" t="s">
        <v>12070</v>
      </c>
    </row>
    <row r="288" spans="1:6" x14ac:dyDescent="0.3">
      <c r="A288" s="24">
        <v>1287</v>
      </c>
      <c r="B288" s="13" t="s">
        <v>11147</v>
      </c>
      <c r="C288" s="13" t="s">
        <v>94</v>
      </c>
      <c r="D288" s="13" t="s">
        <v>12371</v>
      </c>
      <c r="E288" s="13" t="s">
        <v>12609</v>
      </c>
      <c r="F288" s="13" t="s">
        <v>12071</v>
      </c>
    </row>
    <row r="289" spans="1:6" x14ac:dyDescent="0.3">
      <c r="A289" s="24">
        <v>1288</v>
      </c>
      <c r="B289" s="13" t="s">
        <v>5489</v>
      </c>
      <c r="C289" s="13" t="s">
        <v>5381</v>
      </c>
      <c r="D289" s="13" t="s">
        <v>12371</v>
      </c>
      <c r="E289" s="13" t="s">
        <v>12610</v>
      </c>
      <c r="F289" s="13" t="s">
        <v>12147</v>
      </c>
    </row>
    <row r="290" spans="1:6" x14ac:dyDescent="0.3">
      <c r="A290" s="24">
        <v>1289</v>
      </c>
      <c r="B290" s="13" t="s">
        <v>5490</v>
      </c>
      <c r="C290" s="13" t="s">
        <v>5381</v>
      </c>
      <c r="D290" s="13" t="s">
        <v>12371</v>
      </c>
      <c r="E290" s="13" t="s">
        <v>12611</v>
      </c>
      <c r="F290" s="13" t="s">
        <v>12148</v>
      </c>
    </row>
    <row r="291" spans="1:6" x14ac:dyDescent="0.3">
      <c r="A291" s="24">
        <v>1290</v>
      </c>
      <c r="B291" s="13" t="s">
        <v>5491</v>
      </c>
      <c r="C291" s="13" t="s">
        <v>5381</v>
      </c>
      <c r="D291" s="13" t="s">
        <v>12371</v>
      </c>
      <c r="E291" s="13" t="s">
        <v>12612</v>
      </c>
      <c r="F291" s="13" t="s">
        <v>12150</v>
      </c>
    </row>
    <row r="292" spans="1:6" x14ac:dyDescent="0.3">
      <c r="A292" s="24">
        <v>1291</v>
      </c>
      <c r="B292" s="13" t="s">
        <v>5492</v>
      </c>
      <c r="C292" s="13" t="s">
        <v>5381</v>
      </c>
      <c r="D292" s="13" t="s">
        <v>95</v>
      </c>
      <c r="E292" s="13" t="s">
        <v>12613</v>
      </c>
      <c r="F292" s="13" t="s">
        <v>12149</v>
      </c>
    </row>
    <row r="293" spans="1:6" x14ac:dyDescent="0.3">
      <c r="A293" s="24">
        <v>1292</v>
      </c>
      <c r="B293" s="13" t="s">
        <v>11003</v>
      </c>
      <c r="C293" s="13" t="s">
        <v>99</v>
      </c>
      <c r="D293" s="13" t="s">
        <v>12371</v>
      </c>
      <c r="E293" s="13" t="s">
        <v>12614</v>
      </c>
      <c r="F293" s="13" t="s">
        <v>11774</v>
      </c>
    </row>
    <row r="294" spans="1:6" x14ac:dyDescent="0.3">
      <c r="A294" s="24">
        <v>1293</v>
      </c>
      <c r="B294" s="13" t="s">
        <v>10932</v>
      </c>
      <c r="C294" s="13" t="s">
        <v>5321</v>
      </c>
      <c r="D294" s="13" t="s">
        <v>12371</v>
      </c>
      <c r="E294" s="13" t="s">
        <v>12615</v>
      </c>
      <c r="F294" s="13" t="s">
        <v>11576</v>
      </c>
    </row>
    <row r="295" spans="1:6" x14ac:dyDescent="0.3">
      <c r="A295" s="24">
        <v>1294</v>
      </c>
      <c r="B295" s="13" t="s">
        <v>5493</v>
      </c>
      <c r="C295" s="13" t="s">
        <v>99</v>
      </c>
      <c r="D295" s="13" t="s">
        <v>12371</v>
      </c>
      <c r="E295" s="13" t="s">
        <v>12616</v>
      </c>
      <c r="F295" s="13" t="s">
        <v>11775</v>
      </c>
    </row>
    <row r="296" spans="1:6" x14ac:dyDescent="0.3">
      <c r="A296" s="24">
        <v>1295</v>
      </c>
      <c r="B296" s="13" t="s">
        <v>5494</v>
      </c>
      <c r="C296" s="13" t="s">
        <v>111</v>
      </c>
      <c r="D296" s="13" t="s">
        <v>12371</v>
      </c>
      <c r="E296" s="13" t="s">
        <v>12617</v>
      </c>
      <c r="F296" s="13" t="s">
        <v>11944</v>
      </c>
    </row>
    <row r="297" spans="1:6" x14ac:dyDescent="0.3">
      <c r="A297" s="24">
        <v>1296</v>
      </c>
      <c r="B297" s="13" t="s">
        <v>5495</v>
      </c>
      <c r="C297" s="13" t="s">
        <v>103</v>
      </c>
      <c r="D297" s="13" t="s">
        <v>95</v>
      </c>
      <c r="E297" s="13" t="s">
        <v>13141</v>
      </c>
      <c r="F297" s="13" t="s">
        <v>11644</v>
      </c>
    </row>
    <row r="298" spans="1:6" x14ac:dyDescent="0.3">
      <c r="A298" s="24">
        <v>1297</v>
      </c>
      <c r="B298" s="13" t="s">
        <v>5496</v>
      </c>
      <c r="C298" s="13" t="s">
        <v>99</v>
      </c>
      <c r="D298" s="13" t="s">
        <v>12371</v>
      </c>
      <c r="E298" s="13" t="s">
        <v>12618</v>
      </c>
      <c r="F298" s="13" t="s">
        <v>11776</v>
      </c>
    </row>
    <row r="299" spans="1:6" x14ac:dyDescent="0.3">
      <c r="A299" s="24">
        <v>1298</v>
      </c>
      <c r="B299" s="13" t="s">
        <v>5497</v>
      </c>
      <c r="C299" s="13" t="s">
        <v>103</v>
      </c>
      <c r="D299" s="13" t="s">
        <v>12371</v>
      </c>
      <c r="E299" s="13" t="s">
        <v>12619</v>
      </c>
      <c r="F299" s="13" t="s">
        <v>11645</v>
      </c>
    </row>
    <row r="300" spans="1:6" x14ac:dyDescent="0.3">
      <c r="A300" s="24">
        <v>1299</v>
      </c>
      <c r="B300" s="13" t="s">
        <v>11004</v>
      </c>
      <c r="C300" s="13" t="s">
        <v>99</v>
      </c>
      <c r="D300" s="13" t="s">
        <v>12371</v>
      </c>
      <c r="E300" s="13" t="s">
        <v>12620</v>
      </c>
      <c r="F300" s="13" t="s">
        <v>11777</v>
      </c>
    </row>
    <row r="301" spans="1:6" x14ac:dyDescent="0.3">
      <c r="A301" s="24">
        <v>1300</v>
      </c>
      <c r="B301" s="13" t="s">
        <v>5498</v>
      </c>
      <c r="C301" s="13" t="s">
        <v>99</v>
      </c>
      <c r="D301" s="13" t="s">
        <v>12371</v>
      </c>
      <c r="E301" s="13" t="s">
        <v>12621</v>
      </c>
      <c r="F301" s="13" t="s">
        <v>11778</v>
      </c>
    </row>
    <row r="302" spans="1:6" x14ac:dyDescent="0.3">
      <c r="A302" s="24">
        <v>1301</v>
      </c>
      <c r="B302" s="13" t="s">
        <v>5499</v>
      </c>
      <c r="C302" s="13" t="s">
        <v>99</v>
      </c>
      <c r="D302" s="13" t="s">
        <v>12371</v>
      </c>
      <c r="E302" s="13" t="s">
        <v>12622</v>
      </c>
      <c r="F302" s="13" t="s">
        <v>11779</v>
      </c>
    </row>
    <row r="303" spans="1:6" x14ac:dyDescent="0.3">
      <c r="A303" s="24">
        <v>1302</v>
      </c>
      <c r="B303" s="13" t="s">
        <v>5500</v>
      </c>
      <c r="C303" s="13" t="s">
        <v>99</v>
      </c>
      <c r="D303" s="13" t="s">
        <v>12371</v>
      </c>
      <c r="E303" s="13" t="s">
        <v>12623</v>
      </c>
      <c r="F303" s="13" t="s">
        <v>11780</v>
      </c>
    </row>
    <row r="304" spans="1:6" x14ac:dyDescent="0.3">
      <c r="A304" s="24">
        <v>1303</v>
      </c>
      <c r="B304" s="13" t="s">
        <v>11005</v>
      </c>
      <c r="C304" s="13" t="s">
        <v>99</v>
      </c>
      <c r="D304" s="13" t="s">
        <v>12371</v>
      </c>
      <c r="E304" s="13" t="s">
        <v>12624</v>
      </c>
      <c r="F304" s="13" t="s">
        <v>11781</v>
      </c>
    </row>
    <row r="305" spans="1:6" x14ac:dyDescent="0.3">
      <c r="A305" s="24">
        <v>1304</v>
      </c>
      <c r="B305" s="13" t="s">
        <v>11006</v>
      </c>
      <c r="C305" s="13" t="s">
        <v>99</v>
      </c>
      <c r="D305" s="13" t="s">
        <v>12371</v>
      </c>
      <c r="E305" s="13" t="s">
        <v>12625</v>
      </c>
      <c r="F305" s="13" t="s">
        <v>11782</v>
      </c>
    </row>
    <row r="306" spans="1:6" x14ac:dyDescent="0.3">
      <c r="A306" s="24">
        <v>1305</v>
      </c>
      <c r="B306" s="13" t="s">
        <v>5501</v>
      </c>
      <c r="C306" s="13" t="s">
        <v>5321</v>
      </c>
      <c r="D306" s="13" t="s">
        <v>12371</v>
      </c>
      <c r="E306" s="13" t="s">
        <v>12626</v>
      </c>
      <c r="F306" s="13" t="s">
        <v>11577</v>
      </c>
    </row>
    <row r="307" spans="1:6" x14ac:dyDescent="0.3">
      <c r="A307" s="24">
        <v>1306</v>
      </c>
      <c r="B307" s="13" t="s">
        <v>11182</v>
      </c>
      <c r="C307" s="13" t="s">
        <v>5381</v>
      </c>
      <c r="D307" s="13" t="s">
        <v>12371</v>
      </c>
      <c r="E307" s="13" t="s">
        <v>12627</v>
      </c>
      <c r="F307" s="13" t="s">
        <v>12151</v>
      </c>
    </row>
    <row r="308" spans="1:6" x14ac:dyDescent="0.3">
      <c r="A308" s="24">
        <v>1307</v>
      </c>
      <c r="B308" s="13" t="s">
        <v>11183</v>
      </c>
      <c r="C308" s="13" t="s">
        <v>5381</v>
      </c>
      <c r="D308" s="13" t="s">
        <v>12371</v>
      </c>
      <c r="E308" s="13" t="s">
        <v>12628</v>
      </c>
      <c r="F308" s="13" t="s">
        <v>12152</v>
      </c>
    </row>
    <row r="309" spans="1:6" x14ac:dyDescent="0.3">
      <c r="A309" s="24">
        <v>1308</v>
      </c>
      <c r="B309" s="13" t="s">
        <v>11130</v>
      </c>
      <c r="C309" s="13" t="s">
        <v>5365</v>
      </c>
      <c r="D309" s="13" t="s">
        <v>12371</v>
      </c>
      <c r="E309" s="13" t="s">
        <v>12629</v>
      </c>
      <c r="F309" s="13" t="s">
        <v>12023</v>
      </c>
    </row>
    <row r="310" spans="1:6" x14ac:dyDescent="0.3">
      <c r="A310" s="24">
        <v>1309</v>
      </c>
      <c r="B310" s="13" t="s">
        <v>5502</v>
      </c>
      <c r="C310" s="13" t="s">
        <v>94</v>
      </c>
      <c r="D310" s="13" t="s">
        <v>12371</v>
      </c>
      <c r="E310" s="13" t="s">
        <v>12630</v>
      </c>
      <c r="F310" s="13" t="s">
        <v>12072</v>
      </c>
    </row>
    <row r="311" spans="1:6" x14ac:dyDescent="0.3">
      <c r="A311" s="24">
        <v>1310</v>
      </c>
      <c r="B311" s="13" t="s">
        <v>11148</v>
      </c>
      <c r="C311" s="13" t="s">
        <v>94</v>
      </c>
      <c r="D311" s="13" t="s">
        <v>12371</v>
      </c>
      <c r="E311" s="13" t="s">
        <v>12631</v>
      </c>
      <c r="F311" s="13" t="s">
        <v>12073</v>
      </c>
    </row>
    <row r="312" spans="1:6" x14ac:dyDescent="0.3">
      <c r="A312" s="24">
        <v>1311</v>
      </c>
      <c r="B312" s="13" t="s">
        <v>5503</v>
      </c>
      <c r="C312" s="13" t="s">
        <v>99</v>
      </c>
      <c r="D312" s="13" t="s">
        <v>12371</v>
      </c>
      <c r="E312" s="13" t="s">
        <v>12632</v>
      </c>
      <c r="F312" s="13" t="s">
        <v>11783</v>
      </c>
    </row>
    <row r="313" spans="1:6" x14ac:dyDescent="0.3">
      <c r="A313" s="24">
        <v>1312</v>
      </c>
      <c r="B313" s="13" t="s">
        <v>11149</v>
      </c>
      <c r="C313" s="13" t="s">
        <v>94</v>
      </c>
      <c r="D313" s="13" t="s">
        <v>12371</v>
      </c>
      <c r="E313" s="13" t="s">
        <v>12633</v>
      </c>
      <c r="F313" s="13" t="s">
        <v>12074</v>
      </c>
    </row>
    <row r="314" spans="1:6" x14ac:dyDescent="0.3">
      <c r="A314" s="24">
        <v>1313</v>
      </c>
      <c r="B314" s="13" t="s">
        <v>11007</v>
      </c>
      <c r="C314" s="13" t="s">
        <v>99</v>
      </c>
      <c r="D314" s="13" t="s">
        <v>12371</v>
      </c>
      <c r="E314" s="13" t="s">
        <v>12634</v>
      </c>
      <c r="F314" s="13" t="s">
        <v>11784</v>
      </c>
    </row>
    <row r="315" spans="1:6" x14ac:dyDescent="0.3">
      <c r="A315" s="24">
        <v>1314</v>
      </c>
      <c r="B315" s="13" t="s">
        <v>11008</v>
      </c>
      <c r="C315" s="13" t="s">
        <v>99</v>
      </c>
      <c r="D315" s="13" t="s">
        <v>12371</v>
      </c>
      <c r="E315" s="13" t="s">
        <v>12635</v>
      </c>
      <c r="F315" s="13" t="s">
        <v>11785</v>
      </c>
    </row>
    <row r="316" spans="1:6" x14ac:dyDescent="0.3">
      <c r="A316" s="24">
        <v>1315</v>
      </c>
      <c r="B316" s="13" t="s">
        <v>5504</v>
      </c>
      <c r="C316" s="13" t="s">
        <v>99</v>
      </c>
      <c r="D316" s="13" t="s">
        <v>12371</v>
      </c>
      <c r="E316" s="13" t="s">
        <v>12636</v>
      </c>
      <c r="F316" s="13" t="s">
        <v>11786</v>
      </c>
    </row>
    <row r="317" spans="1:6" x14ac:dyDescent="0.3">
      <c r="A317" s="24">
        <v>1316</v>
      </c>
      <c r="B317" s="13" t="s">
        <v>5505</v>
      </c>
      <c r="C317" s="13" t="s">
        <v>94</v>
      </c>
      <c r="D317" s="13" t="s">
        <v>95</v>
      </c>
      <c r="E317" s="13" t="s">
        <v>12637</v>
      </c>
      <c r="F317" s="13" t="s">
        <v>12075</v>
      </c>
    </row>
    <row r="318" spans="1:6" x14ac:dyDescent="0.3">
      <c r="A318" s="24">
        <v>1317</v>
      </c>
      <c r="B318" s="13" t="s">
        <v>5506</v>
      </c>
      <c r="C318" s="13" t="s">
        <v>94</v>
      </c>
      <c r="D318" s="13" t="s">
        <v>95</v>
      </c>
      <c r="E318" s="13" t="s">
        <v>12638</v>
      </c>
      <c r="F318" s="13" t="s">
        <v>12076</v>
      </c>
    </row>
    <row r="319" spans="1:6" x14ac:dyDescent="0.3">
      <c r="A319" s="24">
        <v>1318</v>
      </c>
      <c r="B319" s="13" t="s">
        <v>5507</v>
      </c>
      <c r="C319" s="13" t="s">
        <v>94</v>
      </c>
      <c r="D319" s="13" t="s">
        <v>95</v>
      </c>
      <c r="E319" s="13" t="s">
        <v>12639</v>
      </c>
      <c r="F319" s="13" t="s">
        <v>12077</v>
      </c>
    </row>
    <row r="320" spans="1:6" x14ac:dyDescent="0.3">
      <c r="A320" s="24">
        <v>1319</v>
      </c>
      <c r="B320" s="13" t="s">
        <v>11009</v>
      </c>
      <c r="C320" s="13" t="s">
        <v>99</v>
      </c>
      <c r="D320" s="13" t="s">
        <v>95</v>
      </c>
      <c r="E320" s="13" t="s">
        <v>12640</v>
      </c>
      <c r="F320" s="13" t="s">
        <v>11787</v>
      </c>
    </row>
    <row r="321" spans="1:6" x14ac:dyDescent="0.3">
      <c r="A321" s="24">
        <v>1320</v>
      </c>
      <c r="B321" s="13" t="s">
        <v>5508</v>
      </c>
      <c r="C321" s="13" t="s">
        <v>94</v>
      </c>
      <c r="D321" s="13" t="s">
        <v>95</v>
      </c>
      <c r="E321" s="13" t="s">
        <v>12641</v>
      </c>
      <c r="F321" s="13" t="s">
        <v>12078</v>
      </c>
    </row>
    <row r="322" spans="1:6" x14ac:dyDescent="0.3">
      <c r="A322" s="24">
        <v>1321</v>
      </c>
      <c r="B322" s="13" t="s">
        <v>5509</v>
      </c>
      <c r="C322" s="13" t="s">
        <v>94</v>
      </c>
      <c r="D322" s="13" t="s">
        <v>95</v>
      </c>
      <c r="E322" s="13" t="s">
        <v>12642</v>
      </c>
      <c r="F322" s="13" t="s">
        <v>12079</v>
      </c>
    </row>
    <row r="323" spans="1:6" x14ac:dyDescent="0.3">
      <c r="A323" s="24">
        <v>1322</v>
      </c>
      <c r="B323" s="13" t="s">
        <v>11010</v>
      </c>
      <c r="C323" s="13" t="s">
        <v>99</v>
      </c>
      <c r="D323" s="13" t="s">
        <v>12371</v>
      </c>
      <c r="E323" s="13" t="s">
        <v>12643</v>
      </c>
      <c r="F323" s="13" t="s">
        <v>11788</v>
      </c>
    </row>
    <row r="324" spans="1:6" x14ac:dyDescent="0.3">
      <c r="A324" s="24">
        <v>1323</v>
      </c>
      <c r="B324" s="13" t="s">
        <v>5510</v>
      </c>
      <c r="C324" s="13" t="s">
        <v>99</v>
      </c>
      <c r="D324" s="13" t="s">
        <v>12371</v>
      </c>
      <c r="E324" s="13" t="s">
        <v>12644</v>
      </c>
      <c r="F324" s="13" t="s">
        <v>11789</v>
      </c>
    </row>
    <row r="325" spans="1:6" x14ac:dyDescent="0.3">
      <c r="A325" s="24">
        <v>1324</v>
      </c>
      <c r="B325" s="13" t="s">
        <v>5511</v>
      </c>
      <c r="C325" s="13" t="s">
        <v>99</v>
      </c>
      <c r="D325" s="13" t="s">
        <v>12371</v>
      </c>
      <c r="E325" s="13" t="s">
        <v>12645</v>
      </c>
      <c r="F325" s="13" t="s">
        <v>11790</v>
      </c>
    </row>
    <row r="326" spans="1:6" x14ac:dyDescent="0.3">
      <c r="A326" s="24">
        <v>1325</v>
      </c>
      <c r="B326" s="13" t="s">
        <v>5512</v>
      </c>
      <c r="C326" s="13" t="s">
        <v>5376</v>
      </c>
      <c r="D326" s="13" t="s">
        <v>95</v>
      </c>
      <c r="E326" s="13" t="s">
        <v>13142</v>
      </c>
      <c r="F326" s="13" t="s">
        <v>11623</v>
      </c>
    </row>
    <row r="327" spans="1:6" x14ac:dyDescent="0.3">
      <c r="A327" s="24">
        <v>1326</v>
      </c>
      <c r="B327" s="13" t="s">
        <v>5513</v>
      </c>
      <c r="C327" s="13" t="s">
        <v>103</v>
      </c>
      <c r="D327" s="13" t="s">
        <v>95</v>
      </c>
      <c r="E327" s="13" t="s">
        <v>13143</v>
      </c>
      <c r="F327" s="13" t="s">
        <v>11646</v>
      </c>
    </row>
    <row r="328" spans="1:6" x14ac:dyDescent="0.3">
      <c r="A328" s="24">
        <v>1327</v>
      </c>
      <c r="B328" s="13" t="s">
        <v>11011</v>
      </c>
      <c r="C328" s="13" t="s">
        <v>99</v>
      </c>
      <c r="D328" s="13" t="s">
        <v>12371</v>
      </c>
      <c r="E328" s="13" t="s">
        <v>12646</v>
      </c>
      <c r="F328" s="13" t="s">
        <v>11791</v>
      </c>
    </row>
    <row r="329" spans="1:6" x14ac:dyDescent="0.3">
      <c r="A329" s="24">
        <v>1328</v>
      </c>
      <c r="B329" s="13" t="s">
        <v>5514</v>
      </c>
      <c r="C329" s="13" t="s">
        <v>99</v>
      </c>
      <c r="D329" s="13" t="s">
        <v>95</v>
      </c>
      <c r="E329" s="13" t="s">
        <v>13144</v>
      </c>
      <c r="F329" s="13" t="s">
        <v>11792</v>
      </c>
    </row>
    <row r="330" spans="1:6" x14ac:dyDescent="0.3">
      <c r="A330" s="24">
        <v>1329</v>
      </c>
      <c r="B330" s="13" t="s">
        <v>5515</v>
      </c>
      <c r="C330" s="13" t="s">
        <v>99</v>
      </c>
      <c r="D330" s="13" t="s">
        <v>12371</v>
      </c>
      <c r="E330" s="13" t="s">
        <v>12647</v>
      </c>
      <c r="F330" s="13" t="s">
        <v>11793</v>
      </c>
    </row>
    <row r="331" spans="1:6" x14ac:dyDescent="0.3">
      <c r="A331" s="24">
        <v>1330</v>
      </c>
      <c r="B331" s="13" t="s">
        <v>5516</v>
      </c>
      <c r="C331" s="13" t="s">
        <v>99</v>
      </c>
      <c r="D331" s="13" t="s">
        <v>12371</v>
      </c>
      <c r="E331" s="13" t="s">
        <v>12648</v>
      </c>
      <c r="F331" s="13" t="s">
        <v>11794</v>
      </c>
    </row>
    <row r="332" spans="1:6" x14ac:dyDescent="0.3">
      <c r="A332" s="24">
        <v>1331</v>
      </c>
      <c r="B332" s="13" t="s">
        <v>11012</v>
      </c>
      <c r="C332" s="13" t="s">
        <v>99</v>
      </c>
      <c r="D332" s="13" t="s">
        <v>12371</v>
      </c>
      <c r="E332" s="13" t="s">
        <v>12649</v>
      </c>
      <c r="F332" s="13" t="s">
        <v>11795</v>
      </c>
    </row>
    <row r="333" spans="1:6" x14ac:dyDescent="0.3">
      <c r="A333" s="24">
        <v>1332</v>
      </c>
      <c r="B333" s="13" t="s">
        <v>5517</v>
      </c>
      <c r="C333" s="13" t="s">
        <v>99</v>
      </c>
      <c r="D333" s="13" t="s">
        <v>12371</v>
      </c>
      <c r="E333" s="13" t="s">
        <v>12650</v>
      </c>
      <c r="F333" s="13" t="s">
        <v>11796</v>
      </c>
    </row>
    <row r="334" spans="1:6" x14ac:dyDescent="0.3">
      <c r="A334" s="24">
        <v>1333</v>
      </c>
      <c r="B334" s="13" t="s">
        <v>5518</v>
      </c>
      <c r="C334" s="13" t="s">
        <v>101</v>
      </c>
      <c r="D334" s="13" t="s">
        <v>12371</v>
      </c>
      <c r="E334" s="13" t="s">
        <v>12651</v>
      </c>
      <c r="F334" s="13" t="s">
        <v>11986</v>
      </c>
    </row>
    <row r="335" spans="1:6" x14ac:dyDescent="0.3">
      <c r="A335" s="24">
        <v>1334</v>
      </c>
      <c r="B335" s="13" t="s">
        <v>5519</v>
      </c>
      <c r="C335" s="13" t="s">
        <v>99</v>
      </c>
      <c r="D335" s="13" t="s">
        <v>12371</v>
      </c>
      <c r="E335" s="13" t="s">
        <v>12652</v>
      </c>
      <c r="F335" s="13" t="s">
        <v>11797</v>
      </c>
    </row>
    <row r="336" spans="1:6" x14ac:dyDescent="0.3">
      <c r="A336" s="24">
        <v>1335</v>
      </c>
      <c r="B336" s="13" t="s">
        <v>5520</v>
      </c>
      <c r="C336" s="13" t="s">
        <v>94</v>
      </c>
      <c r="D336" s="13" t="s">
        <v>12371</v>
      </c>
      <c r="E336" s="13" t="s">
        <v>12653</v>
      </c>
      <c r="F336" s="13" t="s">
        <v>12080</v>
      </c>
    </row>
    <row r="337" spans="1:6" x14ac:dyDescent="0.3">
      <c r="A337" s="24">
        <v>1336</v>
      </c>
      <c r="B337" s="13" t="s">
        <v>11150</v>
      </c>
      <c r="C337" s="13" t="s">
        <v>94</v>
      </c>
      <c r="D337" s="13" t="s">
        <v>12371</v>
      </c>
      <c r="E337" s="13" t="s">
        <v>12654</v>
      </c>
      <c r="F337" s="13" t="s">
        <v>12081</v>
      </c>
    </row>
    <row r="338" spans="1:6" x14ac:dyDescent="0.3">
      <c r="A338" s="24">
        <v>1337</v>
      </c>
      <c r="B338" s="13" t="s">
        <v>11013</v>
      </c>
      <c r="C338" s="13" t="s">
        <v>99</v>
      </c>
      <c r="D338" s="13" t="s">
        <v>12371</v>
      </c>
      <c r="E338" s="13" t="s">
        <v>12655</v>
      </c>
      <c r="F338" s="13" t="s">
        <v>11798</v>
      </c>
    </row>
    <row r="339" spans="1:6" x14ac:dyDescent="0.3">
      <c r="A339" s="24">
        <v>1338</v>
      </c>
      <c r="B339" s="13" t="s">
        <v>11014</v>
      </c>
      <c r="C339" s="13" t="s">
        <v>99</v>
      </c>
      <c r="D339" s="13" t="s">
        <v>12371</v>
      </c>
      <c r="E339" s="13" t="s">
        <v>12656</v>
      </c>
      <c r="F339" s="13" t="s">
        <v>11799</v>
      </c>
    </row>
    <row r="340" spans="1:6" x14ac:dyDescent="0.3">
      <c r="A340" s="24">
        <v>1339</v>
      </c>
      <c r="B340" s="13" t="s">
        <v>11015</v>
      </c>
      <c r="C340" s="13" t="s">
        <v>99</v>
      </c>
      <c r="D340" s="13" t="s">
        <v>12371</v>
      </c>
      <c r="E340" s="13" t="s">
        <v>12657</v>
      </c>
      <c r="F340" s="13" t="s">
        <v>11800</v>
      </c>
    </row>
    <row r="341" spans="1:6" x14ac:dyDescent="0.3">
      <c r="A341" s="24">
        <v>1340</v>
      </c>
      <c r="B341" s="13" t="s">
        <v>11016</v>
      </c>
      <c r="C341" s="13" t="s">
        <v>99</v>
      </c>
      <c r="D341" s="13" t="s">
        <v>12371</v>
      </c>
      <c r="E341" s="13" t="s">
        <v>12658</v>
      </c>
      <c r="F341" s="13" t="s">
        <v>11801</v>
      </c>
    </row>
    <row r="342" spans="1:6" x14ac:dyDescent="0.3">
      <c r="A342" s="24">
        <v>1341</v>
      </c>
      <c r="B342" s="13" t="s">
        <v>11017</v>
      </c>
      <c r="C342" s="13" t="s">
        <v>99</v>
      </c>
      <c r="D342" s="13" t="s">
        <v>12371</v>
      </c>
      <c r="E342" s="13" t="s">
        <v>12659</v>
      </c>
      <c r="F342" s="13" t="s">
        <v>11802</v>
      </c>
    </row>
    <row r="343" spans="1:6" x14ac:dyDescent="0.3">
      <c r="A343" s="24">
        <v>1342</v>
      </c>
      <c r="B343" s="13" t="s">
        <v>5521</v>
      </c>
      <c r="C343" s="13" t="s">
        <v>99</v>
      </c>
      <c r="D343" s="13" t="s">
        <v>12371</v>
      </c>
      <c r="E343" s="13" t="s">
        <v>12660</v>
      </c>
      <c r="F343" s="13" t="s">
        <v>11803</v>
      </c>
    </row>
    <row r="344" spans="1:6" x14ac:dyDescent="0.3">
      <c r="A344" s="24">
        <v>1343</v>
      </c>
      <c r="B344" s="13" t="s">
        <v>11184</v>
      </c>
      <c r="C344" s="13" t="s">
        <v>5381</v>
      </c>
      <c r="D344" s="13" t="s">
        <v>12371</v>
      </c>
      <c r="E344" s="13" t="s">
        <v>12661</v>
      </c>
      <c r="F344" s="13" t="s">
        <v>12153</v>
      </c>
    </row>
    <row r="345" spans="1:6" x14ac:dyDescent="0.3">
      <c r="A345" s="24">
        <v>1344</v>
      </c>
      <c r="B345" s="13" t="s">
        <v>5522</v>
      </c>
      <c r="C345" s="13" t="s">
        <v>99</v>
      </c>
      <c r="D345" s="13" t="s">
        <v>12371</v>
      </c>
      <c r="E345" s="13" t="s">
        <v>12662</v>
      </c>
      <c r="F345" s="13" t="s">
        <v>11804</v>
      </c>
    </row>
    <row r="346" spans="1:6" x14ac:dyDescent="0.3">
      <c r="A346" s="24">
        <v>1345</v>
      </c>
      <c r="B346" s="13" t="s">
        <v>5523</v>
      </c>
      <c r="C346" s="13" t="s">
        <v>99</v>
      </c>
      <c r="D346" s="13" t="s">
        <v>12371</v>
      </c>
      <c r="E346" s="13" t="s">
        <v>12663</v>
      </c>
      <c r="F346" s="13" t="s">
        <v>11805</v>
      </c>
    </row>
    <row r="347" spans="1:6" x14ac:dyDescent="0.3">
      <c r="A347" s="24">
        <v>1346</v>
      </c>
      <c r="B347" s="13" t="s">
        <v>5524</v>
      </c>
      <c r="C347" s="13" t="s">
        <v>5381</v>
      </c>
      <c r="D347" s="13" t="s">
        <v>12371</v>
      </c>
      <c r="E347" s="13" t="s">
        <v>12664</v>
      </c>
      <c r="F347" s="13" t="s">
        <v>12154</v>
      </c>
    </row>
    <row r="348" spans="1:6" x14ac:dyDescent="0.3">
      <c r="A348" s="24">
        <v>1347</v>
      </c>
      <c r="B348" s="13" t="s">
        <v>11185</v>
      </c>
      <c r="C348" s="13" t="s">
        <v>5381</v>
      </c>
      <c r="D348" s="13" t="s">
        <v>12371</v>
      </c>
      <c r="E348" s="13" t="s">
        <v>12665</v>
      </c>
      <c r="F348" s="13" t="s">
        <v>12155</v>
      </c>
    </row>
    <row r="349" spans="1:6" x14ac:dyDescent="0.3">
      <c r="A349" s="24">
        <v>1348</v>
      </c>
      <c r="B349" s="13" t="s">
        <v>5525</v>
      </c>
      <c r="C349" s="13" t="s">
        <v>99</v>
      </c>
      <c r="D349" s="13" t="s">
        <v>12371</v>
      </c>
      <c r="E349" s="13" t="s">
        <v>12666</v>
      </c>
      <c r="F349" s="13" t="s">
        <v>11806</v>
      </c>
    </row>
    <row r="350" spans="1:6" x14ac:dyDescent="0.3">
      <c r="A350" s="24">
        <v>1349</v>
      </c>
      <c r="B350" s="13" t="s">
        <v>11018</v>
      </c>
      <c r="C350" s="13" t="s">
        <v>99</v>
      </c>
      <c r="D350" s="13" t="s">
        <v>12371</v>
      </c>
      <c r="E350" s="13" t="s">
        <v>12667</v>
      </c>
      <c r="F350" s="13" t="s">
        <v>11807</v>
      </c>
    </row>
    <row r="351" spans="1:6" x14ac:dyDescent="0.3">
      <c r="A351" s="24">
        <v>1350</v>
      </c>
      <c r="B351" s="13" t="s">
        <v>11019</v>
      </c>
      <c r="C351" s="13" t="s">
        <v>99</v>
      </c>
      <c r="D351" s="13" t="s">
        <v>12371</v>
      </c>
      <c r="E351" s="13" t="s">
        <v>12668</v>
      </c>
      <c r="F351" s="13" t="s">
        <v>11808</v>
      </c>
    </row>
    <row r="352" spans="1:6" x14ac:dyDescent="0.3">
      <c r="A352" s="24">
        <v>1351</v>
      </c>
      <c r="B352" s="13" t="s">
        <v>5526</v>
      </c>
      <c r="C352" s="13" t="s">
        <v>99</v>
      </c>
      <c r="D352" s="13" t="s">
        <v>12371</v>
      </c>
      <c r="E352" s="13" t="s">
        <v>12669</v>
      </c>
      <c r="F352" s="13" t="s">
        <v>11809</v>
      </c>
    </row>
    <row r="353" spans="1:6" x14ac:dyDescent="0.3">
      <c r="A353" s="24">
        <v>1352</v>
      </c>
      <c r="B353" s="13" t="s">
        <v>5527</v>
      </c>
      <c r="C353" s="13" t="s">
        <v>114</v>
      </c>
      <c r="D353" s="13" t="s">
        <v>12371</v>
      </c>
      <c r="E353" s="13" t="s">
        <v>12670</v>
      </c>
      <c r="F353" s="13" t="s">
        <v>11505</v>
      </c>
    </row>
    <row r="354" spans="1:6" x14ac:dyDescent="0.3">
      <c r="A354" s="24">
        <v>1353</v>
      </c>
      <c r="B354" s="13" t="s">
        <v>10912</v>
      </c>
      <c r="C354" s="13" t="s">
        <v>5338</v>
      </c>
      <c r="D354" s="13" t="s">
        <v>12371</v>
      </c>
      <c r="E354" s="13" t="s">
        <v>12671</v>
      </c>
      <c r="F354" s="13" t="s">
        <v>11482</v>
      </c>
    </row>
    <row r="355" spans="1:6" x14ac:dyDescent="0.3">
      <c r="A355" s="24">
        <v>1354</v>
      </c>
      <c r="B355" s="13" t="s">
        <v>5528</v>
      </c>
      <c r="C355" s="13" t="s">
        <v>111</v>
      </c>
      <c r="D355" s="13" t="s">
        <v>12371</v>
      </c>
      <c r="E355" s="13" t="s">
        <v>12672</v>
      </c>
      <c r="F355" s="13" t="s">
        <v>11945</v>
      </c>
    </row>
    <row r="356" spans="1:6" x14ac:dyDescent="0.3">
      <c r="A356" s="24">
        <v>1355</v>
      </c>
      <c r="B356" s="13" t="s">
        <v>10919</v>
      </c>
      <c r="C356" s="13" t="s">
        <v>114</v>
      </c>
      <c r="D356" s="13" t="s">
        <v>12371</v>
      </c>
      <c r="E356" s="13" t="s">
        <v>12673</v>
      </c>
      <c r="F356" s="13" t="s">
        <v>11506</v>
      </c>
    </row>
    <row r="357" spans="1:6" x14ac:dyDescent="0.3">
      <c r="A357" s="24">
        <v>1356</v>
      </c>
      <c r="B357" s="13" t="s">
        <v>5529</v>
      </c>
      <c r="C357" s="13" t="s">
        <v>94</v>
      </c>
      <c r="D357" s="13" t="s">
        <v>12371</v>
      </c>
      <c r="E357" s="13" t="s">
        <v>12674</v>
      </c>
      <c r="F357" s="13" t="s">
        <v>12082</v>
      </c>
    </row>
    <row r="358" spans="1:6" x14ac:dyDescent="0.3">
      <c r="A358" s="24">
        <v>1357</v>
      </c>
      <c r="B358" s="13" t="s">
        <v>11151</v>
      </c>
      <c r="C358" s="13" t="s">
        <v>94</v>
      </c>
      <c r="D358" s="13" t="s">
        <v>12371</v>
      </c>
      <c r="E358" s="13" t="s">
        <v>12675</v>
      </c>
      <c r="F358" s="13" t="s">
        <v>12083</v>
      </c>
    </row>
    <row r="359" spans="1:6" x14ac:dyDescent="0.3">
      <c r="A359" s="24">
        <v>1358</v>
      </c>
      <c r="B359" s="13" t="s">
        <v>11020</v>
      </c>
      <c r="C359" s="13" t="s">
        <v>99</v>
      </c>
      <c r="D359" s="13" t="s">
        <v>12371</v>
      </c>
      <c r="E359" s="13" t="s">
        <v>12676</v>
      </c>
      <c r="F359" s="13" t="s">
        <v>11810</v>
      </c>
    </row>
    <row r="360" spans="1:6" x14ac:dyDescent="0.3">
      <c r="A360" s="24">
        <v>1359</v>
      </c>
      <c r="B360" s="13" t="s">
        <v>5530</v>
      </c>
      <c r="C360" s="13" t="s">
        <v>111</v>
      </c>
      <c r="D360" s="13" t="s">
        <v>12371</v>
      </c>
      <c r="E360" s="13" t="s">
        <v>12677</v>
      </c>
      <c r="F360" s="13" t="s">
        <v>11946</v>
      </c>
    </row>
    <row r="361" spans="1:6" x14ac:dyDescent="0.3">
      <c r="A361" s="24">
        <v>1360</v>
      </c>
      <c r="B361" s="13" t="s">
        <v>5531</v>
      </c>
      <c r="C361" s="13" t="s">
        <v>99</v>
      </c>
      <c r="D361" s="13" t="s">
        <v>12371</v>
      </c>
      <c r="E361" s="13" t="s">
        <v>12678</v>
      </c>
      <c r="F361" s="13" t="s">
        <v>11811</v>
      </c>
    </row>
    <row r="362" spans="1:6" x14ac:dyDescent="0.3">
      <c r="A362" s="24">
        <v>1361</v>
      </c>
      <c r="B362" s="13" t="s">
        <v>5532</v>
      </c>
      <c r="C362" s="13" t="s">
        <v>99</v>
      </c>
      <c r="D362" s="13" t="s">
        <v>95</v>
      </c>
      <c r="E362" s="13" t="s">
        <v>12679</v>
      </c>
      <c r="F362" s="13" t="s">
        <v>11812</v>
      </c>
    </row>
    <row r="363" spans="1:6" x14ac:dyDescent="0.3">
      <c r="A363" s="24">
        <v>1362</v>
      </c>
      <c r="B363" s="13" t="s">
        <v>11131</v>
      </c>
      <c r="C363" s="13" t="s">
        <v>5365</v>
      </c>
      <c r="D363" s="13" t="s">
        <v>12371</v>
      </c>
      <c r="E363" s="13" t="s">
        <v>12680</v>
      </c>
      <c r="F363" s="13" t="s">
        <v>12024</v>
      </c>
    </row>
    <row r="364" spans="1:6" x14ac:dyDescent="0.3">
      <c r="A364" s="24">
        <v>1363</v>
      </c>
      <c r="B364" s="13" t="s">
        <v>5533</v>
      </c>
      <c r="C364" s="13" t="s">
        <v>94</v>
      </c>
      <c r="D364" s="13" t="s">
        <v>12371</v>
      </c>
      <c r="E364" s="13" t="s">
        <v>12681</v>
      </c>
      <c r="F364" s="13" t="s">
        <v>12084</v>
      </c>
    </row>
    <row r="365" spans="1:6" x14ac:dyDescent="0.3">
      <c r="A365" s="24">
        <v>1364</v>
      </c>
      <c r="B365" s="13" t="s">
        <v>5534</v>
      </c>
      <c r="C365" s="13" t="s">
        <v>94</v>
      </c>
      <c r="D365" s="13" t="s">
        <v>12371</v>
      </c>
      <c r="E365" s="13" t="s">
        <v>12682</v>
      </c>
      <c r="F365" s="13" t="s">
        <v>12085</v>
      </c>
    </row>
    <row r="366" spans="1:6" x14ac:dyDescent="0.3">
      <c r="A366" s="24">
        <v>1365</v>
      </c>
      <c r="B366" s="13" t="s">
        <v>11152</v>
      </c>
      <c r="C366" s="13" t="s">
        <v>94</v>
      </c>
      <c r="D366" s="13" t="s">
        <v>12371</v>
      </c>
      <c r="E366" s="13" t="s">
        <v>12683</v>
      </c>
      <c r="F366" s="13" t="s">
        <v>12086</v>
      </c>
    </row>
    <row r="367" spans="1:6" x14ac:dyDescent="0.3">
      <c r="A367" s="24">
        <v>1366</v>
      </c>
      <c r="B367" s="13" t="s">
        <v>5535</v>
      </c>
      <c r="C367" s="13" t="s">
        <v>111</v>
      </c>
      <c r="D367" s="13" t="s">
        <v>12371</v>
      </c>
      <c r="E367" s="13" t="s">
        <v>12684</v>
      </c>
      <c r="F367" s="13" t="s">
        <v>11947</v>
      </c>
    </row>
    <row r="368" spans="1:6" x14ac:dyDescent="0.3">
      <c r="A368" s="24">
        <v>1367</v>
      </c>
      <c r="B368" s="13" t="s">
        <v>11108</v>
      </c>
      <c r="C368" s="13" t="s">
        <v>101</v>
      </c>
      <c r="D368" s="13" t="s">
        <v>12371</v>
      </c>
      <c r="E368" s="13" t="s">
        <v>12685</v>
      </c>
      <c r="F368" s="13" t="s">
        <v>11987</v>
      </c>
    </row>
    <row r="369" spans="1:6" x14ac:dyDescent="0.3">
      <c r="A369" s="24">
        <v>1368</v>
      </c>
      <c r="B369" s="13" t="s">
        <v>5536</v>
      </c>
      <c r="C369" s="13" t="s">
        <v>94</v>
      </c>
      <c r="D369" s="13" t="s">
        <v>12371</v>
      </c>
      <c r="E369" s="13" t="s">
        <v>12686</v>
      </c>
      <c r="F369" s="13" t="s">
        <v>12087</v>
      </c>
    </row>
    <row r="370" spans="1:6" x14ac:dyDescent="0.3">
      <c r="A370" s="24">
        <v>1369</v>
      </c>
      <c r="B370" s="13" t="s">
        <v>5537</v>
      </c>
      <c r="C370" s="13" t="s">
        <v>94</v>
      </c>
      <c r="D370" s="13" t="s">
        <v>12371</v>
      </c>
      <c r="E370" s="13" t="s">
        <v>12687</v>
      </c>
      <c r="F370" s="13" t="s">
        <v>12088</v>
      </c>
    </row>
    <row r="371" spans="1:6" x14ac:dyDescent="0.3">
      <c r="A371" s="24">
        <v>1370</v>
      </c>
      <c r="B371" s="13" t="s">
        <v>5538</v>
      </c>
      <c r="C371" s="13" t="s">
        <v>99</v>
      </c>
      <c r="D371" s="13" t="s">
        <v>12371</v>
      </c>
      <c r="E371" s="13" t="s">
        <v>12688</v>
      </c>
      <c r="F371" s="13" t="s">
        <v>11813</v>
      </c>
    </row>
    <row r="372" spans="1:6" x14ac:dyDescent="0.3">
      <c r="A372" s="24">
        <v>1371</v>
      </c>
      <c r="B372" s="13" t="s">
        <v>5539</v>
      </c>
      <c r="C372" s="13" t="s">
        <v>5381</v>
      </c>
      <c r="D372" s="13" t="s">
        <v>12371</v>
      </c>
      <c r="E372" s="13" t="s">
        <v>12689</v>
      </c>
      <c r="F372" s="13" t="s">
        <v>12156</v>
      </c>
    </row>
    <row r="373" spans="1:6" x14ac:dyDescent="0.3">
      <c r="A373" s="24">
        <v>1372</v>
      </c>
      <c r="B373" s="13" t="s">
        <v>5540</v>
      </c>
      <c r="C373" s="13" t="s">
        <v>5321</v>
      </c>
      <c r="D373" s="13" t="s">
        <v>12371</v>
      </c>
      <c r="E373" s="13" t="s">
        <v>12690</v>
      </c>
      <c r="F373" s="13" t="s">
        <v>11578</v>
      </c>
    </row>
    <row r="374" spans="1:6" x14ac:dyDescent="0.3">
      <c r="A374" s="24">
        <v>1373</v>
      </c>
      <c r="B374" s="13" t="s">
        <v>5541</v>
      </c>
      <c r="C374" s="13" t="s">
        <v>5328</v>
      </c>
      <c r="D374" s="13" t="s">
        <v>95</v>
      </c>
      <c r="E374" s="13" t="s">
        <v>13145</v>
      </c>
      <c r="F374" s="13" t="s">
        <v>11540</v>
      </c>
    </row>
    <row r="375" spans="1:6" x14ac:dyDescent="0.3">
      <c r="A375" s="24">
        <v>1374</v>
      </c>
      <c r="B375" s="13" t="s">
        <v>5542</v>
      </c>
      <c r="C375" s="13" t="s">
        <v>5381</v>
      </c>
      <c r="D375" s="13" t="s">
        <v>12371</v>
      </c>
      <c r="E375" s="13" t="s">
        <v>12691</v>
      </c>
      <c r="F375" s="13" t="s">
        <v>12157</v>
      </c>
    </row>
    <row r="376" spans="1:6" x14ac:dyDescent="0.3">
      <c r="A376" s="24">
        <v>1375</v>
      </c>
      <c r="B376" s="13" t="s">
        <v>11021</v>
      </c>
      <c r="C376" s="13" t="s">
        <v>99</v>
      </c>
      <c r="D376" s="13" t="s">
        <v>12371</v>
      </c>
      <c r="E376" s="13" t="s">
        <v>12692</v>
      </c>
      <c r="F376" s="13" t="s">
        <v>11814</v>
      </c>
    </row>
    <row r="377" spans="1:6" x14ac:dyDescent="0.3">
      <c r="A377" s="24">
        <v>1376</v>
      </c>
      <c r="B377" s="13" t="s">
        <v>11022</v>
      </c>
      <c r="C377" s="13" t="s">
        <v>99</v>
      </c>
      <c r="D377" s="13" t="s">
        <v>12371</v>
      </c>
      <c r="E377" s="13" t="s">
        <v>12693</v>
      </c>
      <c r="F377" s="13" t="s">
        <v>11815</v>
      </c>
    </row>
    <row r="378" spans="1:6" x14ac:dyDescent="0.3">
      <c r="A378" s="24">
        <v>1377</v>
      </c>
      <c r="B378" s="13" t="s">
        <v>5543</v>
      </c>
      <c r="C378" s="13" t="s">
        <v>99</v>
      </c>
      <c r="D378" s="13" t="s">
        <v>12371</v>
      </c>
      <c r="E378" s="13" t="s">
        <v>12694</v>
      </c>
      <c r="F378" s="13" t="s">
        <v>11816</v>
      </c>
    </row>
    <row r="379" spans="1:6" x14ac:dyDescent="0.3">
      <c r="A379" s="24">
        <v>1378</v>
      </c>
      <c r="B379" s="13" t="s">
        <v>11023</v>
      </c>
      <c r="C379" s="13" t="s">
        <v>99</v>
      </c>
      <c r="D379" s="13" t="s">
        <v>12371</v>
      </c>
      <c r="E379" s="13" t="s">
        <v>12695</v>
      </c>
      <c r="F379" s="13" t="s">
        <v>11817</v>
      </c>
    </row>
    <row r="380" spans="1:6" x14ac:dyDescent="0.3">
      <c r="A380" s="24">
        <v>1379</v>
      </c>
      <c r="B380" s="13" t="s">
        <v>11024</v>
      </c>
      <c r="C380" s="13" t="s">
        <v>99</v>
      </c>
      <c r="D380" s="13" t="s">
        <v>12371</v>
      </c>
      <c r="E380" s="13" t="s">
        <v>12696</v>
      </c>
      <c r="F380" s="13" t="s">
        <v>11818</v>
      </c>
    </row>
    <row r="381" spans="1:6" x14ac:dyDescent="0.3">
      <c r="A381" s="24">
        <v>1380</v>
      </c>
      <c r="B381" s="13" t="s">
        <v>11025</v>
      </c>
      <c r="C381" s="13" t="s">
        <v>99</v>
      </c>
      <c r="D381" s="13" t="s">
        <v>12371</v>
      </c>
      <c r="E381" s="13" t="s">
        <v>12697</v>
      </c>
      <c r="F381" s="13" t="s">
        <v>11819</v>
      </c>
    </row>
    <row r="382" spans="1:6" x14ac:dyDescent="0.3">
      <c r="A382" s="24">
        <v>1381</v>
      </c>
      <c r="B382" s="13" t="s">
        <v>11026</v>
      </c>
      <c r="C382" s="13" t="s">
        <v>99</v>
      </c>
      <c r="D382" s="13" t="s">
        <v>12371</v>
      </c>
      <c r="E382" s="13" t="s">
        <v>12698</v>
      </c>
      <c r="F382" s="13" t="s">
        <v>11820</v>
      </c>
    </row>
    <row r="383" spans="1:6" x14ac:dyDescent="0.3">
      <c r="A383" s="24">
        <v>1382</v>
      </c>
      <c r="B383" s="13" t="s">
        <v>5544</v>
      </c>
      <c r="C383" s="13" t="s">
        <v>99</v>
      </c>
      <c r="D383" s="13" t="s">
        <v>95</v>
      </c>
      <c r="E383" s="13" t="s">
        <v>13146</v>
      </c>
      <c r="F383" s="13" t="s">
        <v>11821</v>
      </c>
    </row>
    <row r="384" spans="1:6" x14ac:dyDescent="0.3">
      <c r="A384" s="24">
        <v>1383</v>
      </c>
      <c r="B384" s="13" t="s">
        <v>5545</v>
      </c>
      <c r="C384" s="13" t="s">
        <v>99</v>
      </c>
      <c r="D384" s="13" t="s">
        <v>12371</v>
      </c>
      <c r="E384" s="13" t="s">
        <v>12699</v>
      </c>
      <c r="F384" s="13" t="s">
        <v>11822</v>
      </c>
    </row>
    <row r="385" spans="1:6" x14ac:dyDescent="0.3">
      <c r="A385" s="24">
        <v>1384</v>
      </c>
      <c r="B385" s="13" t="s">
        <v>11027</v>
      </c>
      <c r="C385" s="13" t="s">
        <v>99</v>
      </c>
      <c r="D385" s="13" t="s">
        <v>12371</v>
      </c>
      <c r="E385" s="13" t="s">
        <v>12700</v>
      </c>
      <c r="F385" s="13" t="s">
        <v>11823</v>
      </c>
    </row>
    <row r="386" spans="1:6" x14ac:dyDescent="0.3">
      <c r="A386" s="24">
        <v>1385</v>
      </c>
      <c r="B386" s="13" t="s">
        <v>11028</v>
      </c>
      <c r="C386" s="13" t="s">
        <v>99</v>
      </c>
      <c r="D386" s="13" t="s">
        <v>12371</v>
      </c>
      <c r="E386" s="13" t="s">
        <v>12701</v>
      </c>
      <c r="F386" s="13" t="s">
        <v>11824</v>
      </c>
    </row>
    <row r="387" spans="1:6" x14ac:dyDescent="0.3">
      <c r="A387" s="24">
        <v>1386</v>
      </c>
      <c r="B387" s="13" t="s">
        <v>5546</v>
      </c>
      <c r="C387" s="13" t="s">
        <v>99</v>
      </c>
      <c r="D387" s="13" t="s">
        <v>12371</v>
      </c>
      <c r="E387" s="13" t="s">
        <v>12702</v>
      </c>
      <c r="F387" s="13" t="s">
        <v>11825</v>
      </c>
    </row>
    <row r="388" spans="1:6" x14ac:dyDescent="0.3">
      <c r="A388" s="24">
        <v>1387</v>
      </c>
      <c r="B388" s="13" t="s">
        <v>5547</v>
      </c>
      <c r="C388" s="13" t="s">
        <v>111</v>
      </c>
      <c r="D388" s="13" t="s">
        <v>95</v>
      </c>
      <c r="E388" s="13" t="s">
        <v>13147</v>
      </c>
      <c r="F388" s="13" t="s">
        <v>11948</v>
      </c>
    </row>
    <row r="389" spans="1:6" x14ac:dyDescent="0.3">
      <c r="A389" s="24">
        <v>1388</v>
      </c>
      <c r="B389" s="13" t="s">
        <v>11029</v>
      </c>
      <c r="C389" s="13" t="s">
        <v>99</v>
      </c>
      <c r="D389" s="13" t="s">
        <v>12371</v>
      </c>
      <c r="E389" s="13" t="s">
        <v>12703</v>
      </c>
      <c r="F389" s="13" t="s">
        <v>11826</v>
      </c>
    </row>
    <row r="390" spans="1:6" x14ac:dyDescent="0.3">
      <c r="A390" s="24">
        <v>1389</v>
      </c>
      <c r="B390" s="13" t="s">
        <v>11030</v>
      </c>
      <c r="C390" s="13" t="s">
        <v>99</v>
      </c>
      <c r="D390" s="13" t="s">
        <v>12371</v>
      </c>
      <c r="E390" s="13" t="s">
        <v>12704</v>
      </c>
      <c r="F390" s="13" t="s">
        <v>11827</v>
      </c>
    </row>
    <row r="391" spans="1:6" x14ac:dyDescent="0.3">
      <c r="A391" s="24">
        <v>1390</v>
      </c>
      <c r="B391" s="13" t="s">
        <v>11153</v>
      </c>
      <c r="C391" s="13" t="s">
        <v>94</v>
      </c>
      <c r="D391" s="13" t="s">
        <v>12371</v>
      </c>
      <c r="E391" s="13" t="s">
        <v>12705</v>
      </c>
      <c r="F391" s="13" t="s">
        <v>12089</v>
      </c>
    </row>
    <row r="392" spans="1:6" x14ac:dyDescent="0.3">
      <c r="A392" s="24">
        <v>1391</v>
      </c>
      <c r="B392" s="13" t="s">
        <v>5548</v>
      </c>
      <c r="C392" s="13" t="s">
        <v>5381</v>
      </c>
      <c r="D392" s="13" t="s">
        <v>12371</v>
      </c>
      <c r="E392" s="13" t="s">
        <v>12706</v>
      </c>
      <c r="F392" s="13" t="s">
        <v>12158</v>
      </c>
    </row>
    <row r="393" spans="1:6" x14ac:dyDescent="0.3">
      <c r="A393" s="24">
        <v>1392</v>
      </c>
      <c r="B393" s="13" t="s">
        <v>11186</v>
      </c>
      <c r="C393" s="13" t="s">
        <v>5381</v>
      </c>
      <c r="D393" s="13" t="s">
        <v>12371</v>
      </c>
      <c r="E393" s="13" t="s">
        <v>12707</v>
      </c>
      <c r="F393" s="13" t="s">
        <v>12159</v>
      </c>
    </row>
    <row r="394" spans="1:6" x14ac:dyDescent="0.3">
      <c r="A394" s="24">
        <v>1393</v>
      </c>
      <c r="B394" s="13" t="s">
        <v>5549</v>
      </c>
      <c r="C394" s="13" t="s">
        <v>94</v>
      </c>
      <c r="D394" s="13" t="s">
        <v>12371</v>
      </c>
      <c r="E394" s="13" t="s">
        <v>12708</v>
      </c>
      <c r="F394" s="13" t="s">
        <v>12090</v>
      </c>
    </row>
    <row r="395" spans="1:6" x14ac:dyDescent="0.3">
      <c r="A395" s="24">
        <v>1394</v>
      </c>
      <c r="B395" s="13" t="s">
        <v>10933</v>
      </c>
      <c r="C395" s="13" t="s">
        <v>5321</v>
      </c>
      <c r="D395" s="13" t="s">
        <v>12371</v>
      </c>
      <c r="E395" s="13" t="s">
        <v>12709</v>
      </c>
      <c r="F395" s="13" t="s">
        <v>11579</v>
      </c>
    </row>
    <row r="396" spans="1:6" x14ac:dyDescent="0.3">
      <c r="A396" s="24">
        <v>1395</v>
      </c>
      <c r="B396" s="13" t="s">
        <v>11109</v>
      </c>
      <c r="C396" s="13" t="s">
        <v>101</v>
      </c>
      <c r="D396" s="13" t="s">
        <v>12371</v>
      </c>
      <c r="E396" s="13" t="s">
        <v>12710</v>
      </c>
      <c r="F396" s="13" t="s">
        <v>11988</v>
      </c>
    </row>
    <row r="397" spans="1:6" x14ac:dyDescent="0.3">
      <c r="A397" s="24">
        <v>1396</v>
      </c>
      <c r="B397" s="13" t="s">
        <v>5550</v>
      </c>
      <c r="C397" s="13" t="s">
        <v>5321</v>
      </c>
      <c r="D397" s="13" t="s">
        <v>12371</v>
      </c>
      <c r="E397" s="13" t="s">
        <v>12711</v>
      </c>
      <c r="F397" s="13" t="s">
        <v>11580</v>
      </c>
    </row>
    <row r="398" spans="1:6" x14ac:dyDescent="0.3">
      <c r="A398" s="24">
        <v>1397</v>
      </c>
      <c r="B398" s="13" t="s">
        <v>10920</v>
      </c>
      <c r="C398" s="13" t="s">
        <v>114</v>
      </c>
      <c r="D398" s="13" t="s">
        <v>12371</v>
      </c>
      <c r="E398" s="13" t="s">
        <v>12712</v>
      </c>
      <c r="F398" s="13" t="s">
        <v>11507</v>
      </c>
    </row>
    <row r="399" spans="1:6" x14ac:dyDescent="0.3">
      <c r="A399" s="24">
        <v>1398</v>
      </c>
      <c r="B399" s="13" t="s">
        <v>5551</v>
      </c>
      <c r="C399" s="13" t="s">
        <v>94</v>
      </c>
      <c r="D399" s="13" t="s">
        <v>12371</v>
      </c>
      <c r="E399" s="13" t="s">
        <v>12713</v>
      </c>
      <c r="F399" s="13" t="s">
        <v>12091</v>
      </c>
    </row>
    <row r="400" spans="1:6" x14ac:dyDescent="0.3">
      <c r="A400" s="24">
        <v>1399</v>
      </c>
      <c r="B400" s="13" t="s">
        <v>11154</v>
      </c>
      <c r="C400" s="13" t="s">
        <v>94</v>
      </c>
      <c r="D400" s="13" t="s">
        <v>12371</v>
      </c>
      <c r="E400" s="13" t="s">
        <v>12714</v>
      </c>
      <c r="F400" s="13" t="s">
        <v>12092</v>
      </c>
    </row>
    <row r="401" spans="1:6" x14ac:dyDescent="0.3">
      <c r="A401" s="24">
        <v>1400</v>
      </c>
      <c r="B401" s="13" t="s">
        <v>5552</v>
      </c>
      <c r="C401" s="13" t="s">
        <v>5321</v>
      </c>
      <c r="D401" s="13" t="s">
        <v>12371</v>
      </c>
      <c r="E401" s="13" t="s">
        <v>12715</v>
      </c>
      <c r="F401" s="13" t="s">
        <v>11581</v>
      </c>
    </row>
    <row r="402" spans="1:6" x14ac:dyDescent="0.3">
      <c r="A402" s="24">
        <v>1401</v>
      </c>
      <c r="B402" s="13" t="s">
        <v>5553</v>
      </c>
      <c r="C402" s="13" t="s">
        <v>99</v>
      </c>
      <c r="D402" s="13" t="s">
        <v>12371</v>
      </c>
      <c r="E402" s="13" t="s">
        <v>12716</v>
      </c>
      <c r="F402" s="13" t="s">
        <v>11828</v>
      </c>
    </row>
    <row r="403" spans="1:6" x14ac:dyDescent="0.3">
      <c r="A403" s="24">
        <v>1402</v>
      </c>
      <c r="B403" s="13" t="s">
        <v>5554</v>
      </c>
      <c r="C403" s="13" t="s">
        <v>5321</v>
      </c>
      <c r="D403" s="13" t="s">
        <v>12371</v>
      </c>
      <c r="E403" s="13" t="s">
        <v>12717</v>
      </c>
      <c r="F403" s="13" t="s">
        <v>11582</v>
      </c>
    </row>
    <row r="404" spans="1:6" x14ac:dyDescent="0.3">
      <c r="A404" s="24">
        <v>1403</v>
      </c>
      <c r="B404" s="13" t="s">
        <v>11031</v>
      </c>
      <c r="C404" s="13" t="s">
        <v>99</v>
      </c>
      <c r="D404" s="13" t="s">
        <v>12371</v>
      </c>
      <c r="E404" s="13" t="s">
        <v>12718</v>
      </c>
      <c r="F404" s="13" t="s">
        <v>11829</v>
      </c>
    </row>
    <row r="405" spans="1:6" x14ac:dyDescent="0.3">
      <c r="A405" s="24">
        <v>1404</v>
      </c>
      <c r="B405" s="13" t="s">
        <v>10934</v>
      </c>
      <c r="C405" s="13" t="s">
        <v>5321</v>
      </c>
      <c r="D405" s="13" t="s">
        <v>12371</v>
      </c>
      <c r="E405" s="13" t="s">
        <v>12719</v>
      </c>
      <c r="F405" s="13" t="s">
        <v>11583</v>
      </c>
    </row>
    <row r="406" spans="1:6" x14ac:dyDescent="0.3">
      <c r="A406" s="24">
        <v>1405</v>
      </c>
      <c r="B406" s="13" t="s">
        <v>10935</v>
      </c>
      <c r="C406" s="13" t="s">
        <v>5321</v>
      </c>
      <c r="D406" s="13" t="s">
        <v>12371</v>
      </c>
      <c r="E406" s="13" t="s">
        <v>12720</v>
      </c>
      <c r="F406" s="13" t="s">
        <v>11584</v>
      </c>
    </row>
    <row r="407" spans="1:6" x14ac:dyDescent="0.3">
      <c r="A407" s="24">
        <v>1406</v>
      </c>
      <c r="B407" s="13" t="s">
        <v>10936</v>
      </c>
      <c r="C407" s="13" t="s">
        <v>5321</v>
      </c>
      <c r="D407" s="13" t="s">
        <v>12371</v>
      </c>
      <c r="E407" s="13" t="s">
        <v>12721</v>
      </c>
      <c r="F407" s="13" t="s">
        <v>11585</v>
      </c>
    </row>
    <row r="408" spans="1:6" x14ac:dyDescent="0.3">
      <c r="A408" s="24">
        <v>1407</v>
      </c>
      <c r="B408" s="13" t="s">
        <v>5555</v>
      </c>
      <c r="C408" s="13" t="s">
        <v>5321</v>
      </c>
      <c r="D408" s="13" t="s">
        <v>95</v>
      </c>
      <c r="E408" s="13" t="s">
        <v>13148</v>
      </c>
      <c r="F408" s="13" t="s">
        <v>11586</v>
      </c>
    </row>
    <row r="409" spans="1:6" x14ac:dyDescent="0.3">
      <c r="A409" s="24">
        <v>1408</v>
      </c>
      <c r="B409" s="13" t="s">
        <v>5556</v>
      </c>
      <c r="C409" s="13" t="s">
        <v>99</v>
      </c>
      <c r="D409" s="13" t="s">
        <v>12371</v>
      </c>
      <c r="E409" s="13" t="s">
        <v>12722</v>
      </c>
      <c r="F409" s="13" t="s">
        <v>11830</v>
      </c>
    </row>
    <row r="410" spans="1:6" x14ac:dyDescent="0.3">
      <c r="A410" s="24">
        <v>1409</v>
      </c>
      <c r="B410" s="13" t="s">
        <v>11091</v>
      </c>
      <c r="C410" s="13" t="s">
        <v>111</v>
      </c>
      <c r="D410" s="13" t="s">
        <v>12371</v>
      </c>
      <c r="E410" s="13" t="s">
        <v>12723</v>
      </c>
      <c r="F410" s="13" t="s">
        <v>11949</v>
      </c>
    </row>
    <row r="411" spans="1:6" x14ac:dyDescent="0.3">
      <c r="A411" s="24">
        <v>1410</v>
      </c>
      <c r="B411" s="13" t="s">
        <v>5557</v>
      </c>
      <c r="C411" s="13" t="s">
        <v>99</v>
      </c>
      <c r="D411" s="13" t="s">
        <v>95</v>
      </c>
      <c r="E411" s="13" t="s">
        <v>12724</v>
      </c>
      <c r="F411" s="13" t="s">
        <v>11831</v>
      </c>
    </row>
    <row r="412" spans="1:6" x14ac:dyDescent="0.3">
      <c r="A412" s="24">
        <v>1411</v>
      </c>
      <c r="B412" s="13" t="s">
        <v>5558</v>
      </c>
      <c r="C412" s="13" t="s">
        <v>111</v>
      </c>
      <c r="D412" s="13" t="s">
        <v>12371</v>
      </c>
      <c r="E412" s="13" t="s">
        <v>12725</v>
      </c>
      <c r="F412" s="13" t="s">
        <v>11950</v>
      </c>
    </row>
    <row r="413" spans="1:6" x14ac:dyDescent="0.3">
      <c r="A413" s="24">
        <v>1412</v>
      </c>
      <c r="B413" s="13" t="s">
        <v>5559</v>
      </c>
      <c r="C413" s="13" t="s">
        <v>111</v>
      </c>
      <c r="D413" s="13" t="s">
        <v>12371</v>
      </c>
      <c r="E413" s="13" t="s">
        <v>12726</v>
      </c>
      <c r="F413" s="13" t="s">
        <v>11951</v>
      </c>
    </row>
    <row r="414" spans="1:6" x14ac:dyDescent="0.3">
      <c r="A414" s="24">
        <v>1413</v>
      </c>
      <c r="B414" s="13" t="s">
        <v>11092</v>
      </c>
      <c r="C414" s="13" t="s">
        <v>111</v>
      </c>
      <c r="D414" s="13" t="s">
        <v>12371</v>
      </c>
      <c r="E414" s="13" t="s">
        <v>12727</v>
      </c>
      <c r="F414" s="13" t="s">
        <v>11952</v>
      </c>
    </row>
    <row r="415" spans="1:6" x14ac:dyDescent="0.3">
      <c r="A415" s="24">
        <v>1414</v>
      </c>
      <c r="B415" s="13" t="s">
        <v>5560</v>
      </c>
      <c r="C415" s="13" t="s">
        <v>111</v>
      </c>
      <c r="D415" s="13" t="s">
        <v>12371</v>
      </c>
      <c r="E415" s="13" t="s">
        <v>12728</v>
      </c>
      <c r="F415" s="13" t="s">
        <v>11953</v>
      </c>
    </row>
    <row r="416" spans="1:6" x14ac:dyDescent="0.3">
      <c r="A416" s="24">
        <v>1415</v>
      </c>
      <c r="B416" s="13" t="s">
        <v>5561</v>
      </c>
      <c r="C416" s="13" t="s">
        <v>111</v>
      </c>
      <c r="D416" s="13" t="s">
        <v>12371</v>
      </c>
      <c r="E416" s="13" t="s">
        <v>12729</v>
      </c>
      <c r="F416" s="13" t="s">
        <v>11954</v>
      </c>
    </row>
    <row r="417" spans="1:6" x14ac:dyDescent="0.3">
      <c r="A417" s="24">
        <v>1416</v>
      </c>
      <c r="B417" s="13" t="s">
        <v>11093</v>
      </c>
      <c r="C417" s="13" t="s">
        <v>111</v>
      </c>
      <c r="D417" s="13" t="s">
        <v>12371</v>
      </c>
      <c r="E417" s="13" t="s">
        <v>12730</v>
      </c>
      <c r="F417" s="13" t="s">
        <v>11955</v>
      </c>
    </row>
    <row r="418" spans="1:6" x14ac:dyDescent="0.3">
      <c r="A418" s="24">
        <v>1417</v>
      </c>
      <c r="B418" s="13" t="s">
        <v>5562</v>
      </c>
      <c r="C418" s="13" t="s">
        <v>111</v>
      </c>
      <c r="D418" s="13" t="s">
        <v>95</v>
      </c>
      <c r="E418" s="13" t="s">
        <v>13149</v>
      </c>
      <c r="F418" s="13" t="s">
        <v>11956</v>
      </c>
    </row>
    <row r="419" spans="1:6" x14ac:dyDescent="0.3">
      <c r="A419" s="24">
        <v>1418</v>
      </c>
      <c r="B419" s="13" t="s">
        <v>11094</v>
      </c>
      <c r="C419" s="13" t="s">
        <v>111</v>
      </c>
      <c r="D419" s="13" t="s">
        <v>12371</v>
      </c>
      <c r="E419" s="13" t="s">
        <v>12731</v>
      </c>
      <c r="F419" s="13" t="s">
        <v>11957</v>
      </c>
    </row>
    <row r="420" spans="1:6" x14ac:dyDescent="0.3">
      <c r="A420" s="24">
        <v>1419</v>
      </c>
      <c r="B420" s="13" t="s">
        <v>5563</v>
      </c>
      <c r="C420" s="13" t="s">
        <v>111</v>
      </c>
      <c r="D420" s="13" t="s">
        <v>12371</v>
      </c>
      <c r="E420" s="13" t="s">
        <v>12732</v>
      </c>
      <c r="F420" s="13" t="s">
        <v>11958</v>
      </c>
    </row>
    <row r="421" spans="1:6" x14ac:dyDescent="0.3">
      <c r="A421" s="24">
        <v>1420</v>
      </c>
      <c r="B421" s="13" t="s">
        <v>11095</v>
      </c>
      <c r="C421" s="13" t="s">
        <v>111</v>
      </c>
      <c r="D421" s="13" t="s">
        <v>12371</v>
      </c>
      <c r="E421" s="13" t="s">
        <v>12733</v>
      </c>
      <c r="F421" s="13" t="s">
        <v>11959</v>
      </c>
    </row>
    <row r="422" spans="1:6" x14ac:dyDescent="0.3">
      <c r="A422" s="24">
        <v>1421</v>
      </c>
      <c r="B422" s="13" t="s">
        <v>11096</v>
      </c>
      <c r="C422" s="13" t="s">
        <v>111</v>
      </c>
      <c r="D422" s="13" t="s">
        <v>12371</v>
      </c>
      <c r="E422" s="13" t="s">
        <v>12734</v>
      </c>
      <c r="F422" s="13" t="s">
        <v>11960</v>
      </c>
    </row>
    <row r="423" spans="1:6" x14ac:dyDescent="0.3">
      <c r="A423" s="24">
        <v>1422</v>
      </c>
      <c r="B423" s="13" t="s">
        <v>11097</v>
      </c>
      <c r="C423" s="13" t="s">
        <v>111</v>
      </c>
      <c r="D423" s="13" t="s">
        <v>12371</v>
      </c>
      <c r="E423" s="13" t="s">
        <v>12735</v>
      </c>
      <c r="F423" s="13" t="s">
        <v>11961</v>
      </c>
    </row>
    <row r="424" spans="1:6" x14ac:dyDescent="0.3">
      <c r="A424" s="24">
        <v>1423</v>
      </c>
      <c r="B424" s="13" t="s">
        <v>11098</v>
      </c>
      <c r="C424" s="13" t="s">
        <v>111</v>
      </c>
      <c r="D424" s="13" t="s">
        <v>12371</v>
      </c>
      <c r="E424" s="13" t="s">
        <v>12736</v>
      </c>
      <c r="F424" s="13" t="s">
        <v>11962</v>
      </c>
    </row>
    <row r="425" spans="1:6" x14ac:dyDescent="0.3">
      <c r="A425" s="24">
        <v>1424</v>
      </c>
      <c r="B425" s="13" t="s">
        <v>11099</v>
      </c>
      <c r="C425" s="13" t="s">
        <v>111</v>
      </c>
      <c r="D425" s="13" t="s">
        <v>12371</v>
      </c>
      <c r="E425" s="13" t="s">
        <v>12737</v>
      </c>
      <c r="F425" s="13" t="s">
        <v>11963</v>
      </c>
    </row>
    <row r="426" spans="1:6" x14ac:dyDescent="0.3">
      <c r="A426" s="24">
        <v>1425</v>
      </c>
      <c r="B426" s="13" t="s">
        <v>11100</v>
      </c>
      <c r="C426" s="13" t="s">
        <v>111</v>
      </c>
      <c r="D426" s="13" t="s">
        <v>12371</v>
      </c>
      <c r="E426" s="13" t="s">
        <v>12738</v>
      </c>
      <c r="F426" s="13" t="s">
        <v>11964</v>
      </c>
    </row>
    <row r="427" spans="1:6" x14ac:dyDescent="0.3">
      <c r="A427" s="24">
        <v>1426</v>
      </c>
      <c r="B427" s="13" t="s">
        <v>11155</v>
      </c>
      <c r="C427" s="13" t="s">
        <v>94</v>
      </c>
      <c r="D427" s="13" t="s">
        <v>12371</v>
      </c>
      <c r="E427" s="13" t="s">
        <v>12739</v>
      </c>
      <c r="F427" s="13" t="s">
        <v>12093</v>
      </c>
    </row>
    <row r="428" spans="1:6" x14ac:dyDescent="0.3">
      <c r="A428" s="24">
        <v>1427</v>
      </c>
      <c r="B428" s="13" t="s">
        <v>11132</v>
      </c>
      <c r="C428" s="13" t="s">
        <v>5365</v>
      </c>
      <c r="D428" s="13" t="s">
        <v>12371</v>
      </c>
      <c r="E428" s="13" t="s">
        <v>12740</v>
      </c>
      <c r="F428" s="13" t="s">
        <v>12025</v>
      </c>
    </row>
    <row r="429" spans="1:6" x14ac:dyDescent="0.3">
      <c r="A429" s="24">
        <v>1428</v>
      </c>
      <c r="B429" s="13" t="s">
        <v>5564</v>
      </c>
      <c r="C429" s="13" t="s">
        <v>5321</v>
      </c>
      <c r="D429" s="13" t="s">
        <v>95</v>
      </c>
      <c r="E429" s="13" t="s">
        <v>12741</v>
      </c>
      <c r="F429" s="13" t="s">
        <v>11587</v>
      </c>
    </row>
    <row r="430" spans="1:6" x14ac:dyDescent="0.3">
      <c r="A430" s="24">
        <v>1429</v>
      </c>
      <c r="B430" s="13" t="s">
        <v>5565</v>
      </c>
      <c r="C430" s="13" t="s">
        <v>99</v>
      </c>
      <c r="D430" s="13" t="s">
        <v>95</v>
      </c>
      <c r="E430" s="13" t="s">
        <v>12742</v>
      </c>
      <c r="F430" s="13" t="s">
        <v>11832</v>
      </c>
    </row>
    <row r="431" spans="1:6" x14ac:dyDescent="0.3">
      <c r="A431" s="24">
        <v>1430</v>
      </c>
      <c r="B431" s="13" t="s">
        <v>11156</v>
      </c>
      <c r="C431" s="13" t="s">
        <v>94</v>
      </c>
      <c r="D431" s="13" t="s">
        <v>12371</v>
      </c>
      <c r="E431" s="13" t="s">
        <v>12743</v>
      </c>
      <c r="F431" s="13" t="s">
        <v>12094</v>
      </c>
    </row>
    <row r="432" spans="1:6" x14ac:dyDescent="0.3">
      <c r="A432" s="24">
        <v>1431</v>
      </c>
      <c r="B432" s="13" t="s">
        <v>5566</v>
      </c>
      <c r="C432" s="13" t="s">
        <v>99</v>
      </c>
      <c r="D432" s="13" t="s">
        <v>12371</v>
      </c>
      <c r="E432" s="13" t="s">
        <v>12744</v>
      </c>
      <c r="F432" s="13" t="s">
        <v>11833</v>
      </c>
    </row>
    <row r="433" spans="1:6" x14ac:dyDescent="0.3">
      <c r="A433" s="24">
        <v>1432</v>
      </c>
      <c r="B433" s="13" t="s">
        <v>11032</v>
      </c>
      <c r="C433" s="13" t="s">
        <v>99</v>
      </c>
      <c r="D433" s="13" t="s">
        <v>12371</v>
      </c>
      <c r="E433" s="13" t="s">
        <v>12745</v>
      </c>
      <c r="F433" s="13" t="s">
        <v>11834</v>
      </c>
    </row>
    <row r="434" spans="1:6" x14ac:dyDescent="0.3">
      <c r="A434" s="24">
        <v>1433</v>
      </c>
      <c r="B434" s="13" t="s">
        <v>11033</v>
      </c>
      <c r="C434" s="13" t="s">
        <v>99</v>
      </c>
      <c r="D434" s="13" t="s">
        <v>12371</v>
      </c>
      <c r="E434" s="13" t="s">
        <v>12746</v>
      </c>
      <c r="F434" s="13" t="s">
        <v>11835</v>
      </c>
    </row>
    <row r="435" spans="1:6" x14ac:dyDescent="0.3">
      <c r="A435" s="24">
        <v>1434</v>
      </c>
      <c r="B435" s="13" t="s">
        <v>11157</v>
      </c>
      <c r="C435" s="13" t="s">
        <v>94</v>
      </c>
      <c r="D435" s="13" t="s">
        <v>12371</v>
      </c>
      <c r="E435" s="13" t="s">
        <v>12747</v>
      </c>
      <c r="F435" s="13" t="s">
        <v>12095</v>
      </c>
    </row>
    <row r="436" spans="1:6" x14ac:dyDescent="0.3">
      <c r="A436" s="24">
        <v>1435</v>
      </c>
      <c r="B436" s="13" t="s">
        <v>11158</v>
      </c>
      <c r="C436" s="13" t="s">
        <v>94</v>
      </c>
      <c r="D436" s="13" t="s">
        <v>12371</v>
      </c>
      <c r="E436" s="13" t="s">
        <v>12748</v>
      </c>
      <c r="F436" s="13" t="s">
        <v>12096</v>
      </c>
    </row>
    <row r="437" spans="1:6" x14ac:dyDescent="0.3">
      <c r="A437" s="24">
        <v>1436</v>
      </c>
      <c r="B437" s="13" t="s">
        <v>10937</v>
      </c>
      <c r="C437" s="13" t="s">
        <v>5321</v>
      </c>
      <c r="D437" s="13" t="s">
        <v>12371</v>
      </c>
      <c r="E437" s="13" t="s">
        <v>12749</v>
      </c>
      <c r="F437" s="13" t="s">
        <v>11588</v>
      </c>
    </row>
    <row r="438" spans="1:6" x14ac:dyDescent="0.3">
      <c r="A438" s="24">
        <v>1437</v>
      </c>
      <c r="B438" s="13" t="s">
        <v>10938</v>
      </c>
      <c r="C438" s="13" t="s">
        <v>5321</v>
      </c>
      <c r="D438" s="13" t="s">
        <v>12371</v>
      </c>
      <c r="E438" s="13" t="s">
        <v>12750</v>
      </c>
      <c r="F438" s="13" t="s">
        <v>11589</v>
      </c>
    </row>
    <row r="439" spans="1:6" x14ac:dyDescent="0.3">
      <c r="A439" s="24">
        <v>1438</v>
      </c>
      <c r="B439" s="13" t="s">
        <v>11034</v>
      </c>
      <c r="C439" s="13" t="s">
        <v>99</v>
      </c>
      <c r="D439" s="13" t="s">
        <v>12371</v>
      </c>
      <c r="E439" s="13" t="s">
        <v>12751</v>
      </c>
      <c r="F439" s="13" t="s">
        <v>11836</v>
      </c>
    </row>
    <row r="440" spans="1:6" x14ac:dyDescent="0.3">
      <c r="A440" s="24">
        <v>1439</v>
      </c>
      <c r="B440" s="13" t="s">
        <v>5567</v>
      </c>
      <c r="C440" s="13" t="s">
        <v>5381</v>
      </c>
      <c r="D440" s="13" t="s">
        <v>12371</v>
      </c>
      <c r="E440" s="13" t="s">
        <v>12752</v>
      </c>
      <c r="F440" s="13" t="s">
        <v>12160</v>
      </c>
    </row>
    <row r="441" spans="1:6" x14ac:dyDescent="0.3">
      <c r="A441" s="24">
        <v>1440</v>
      </c>
      <c r="B441" s="13" t="s">
        <v>5568</v>
      </c>
      <c r="C441" s="13" t="s">
        <v>103</v>
      </c>
      <c r="D441" s="13" t="s">
        <v>12371</v>
      </c>
      <c r="E441" s="13" t="s">
        <v>12753</v>
      </c>
      <c r="F441" s="13" t="s">
        <v>11647</v>
      </c>
    </row>
    <row r="442" spans="1:6" x14ac:dyDescent="0.3">
      <c r="A442" s="24">
        <v>1441</v>
      </c>
      <c r="B442" s="13" t="s">
        <v>5569</v>
      </c>
      <c r="C442" s="13" t="s">
        <v>99</v>
      </c>
      <c r="D442" s="13" t="s">
        <v>95</v>
      </c>
      <c r="E442" s="13" t="s">
        <v>13150</v>
      </c>
      <c r="F442" s="13" t="s">
        <v>11837</v>
      </c>
    </row>
    <row r="443" spans="1:6" x14ac:dyDescent="0.3">
      <c r="A443" s="24">
        <v>1442</v>
      </c>
      <c r="B443" s="13" t="s">
        <v>5570</v>
      </c>
      <c r="C443" s="13" t="s">
        <v>103</v>
      </c>
      <c r="D443" s="13" t="s">
        <v>12371</v>
      </c>
      <c r="E443" s="13" t="s">
        <v>12754</v>
      </c>
      <c r="F443" s="13" t="s">
        <v>11648</v>
      </c>
    </row>
    <row r="444" spans="1:6" x14ac:dyDescent="0.3">
      <c r="A444" s="24">
        <v>1443</v>
      </c>
      <c r="B444" s="13" t="s">
        <v>5571</v>
      </c>
      <c r="C444" s="13" t="s">
        <v>5321</v>
      </c>
      <c r="D444" s="13" t="s">
        <v>12371</v>
      </c>
      <c r="E444" s="13" t="s">
        <v>12755</v>
      </c>
      <c r="F444" s="13" t="s">
        <v>11590</v>
      </c>
    </row>
    <row r="445" spans="1:6" x14ac:dyDescent="0.3">
      <c r="A445" s="24">
        <v>1444</v>
      </c>
      <c r="B445" s="13" t="s">
        <v>5572</v>
      </c>
      <c r="C445" s="13" t="s">
        <v>5321</v>
      </c>
      <c r="D445" s="13" t="s">
        <v>12371</v>
      </c>
      <c r="E445" s="13" t="s">
        <v>12756</v>
      </c>
      <c r="F445" s="13" t="s">
        <v>11591</v>
      </c>
    </row>
    <row r="446" spans="1:6" x14ac:dyDescent="0.3">
      <c r="A446" s="24">
        <v>1445</v>
      </c>
      <c r="B446" s="13" t="s">
        <v>11159</v>
      </c>
      <c r="C446" s="13" t="s">
        <v>94</v>
      </c>
      <c r="D446" s="13" t="s">
        <v>12371</v>
      </c>
      <c r="E446" s="13" t="s">
        <v>12757</v>
      </c>
      <c r="F446" s="13" t="s">
        <v>12097</v>
      </c>
    </row>
    <row r="447" spans="1:6" x14ac:dyDescent="0.3">
      <c r="A447" s="24">
        <v>1446</v>
      </c>
      <c r="B447" s="13" t="s">
        <v>5573</v>
      </c>
      <c r="C447" s="13" t="s">
        <v>111</v>
      </c>
      <c r="D447" s="13" t="s">
        <v>12371</v>
      </c>
      <c r="E447" s="13" t="s">
        <v>12758</v>
      </c>
      <c r="F447" s="13" t="s">
        <v>11965</v>
      </c>
    </row>
    <row r="448" spans="1:6" x14ac:dyDescent="0.3">
      <c r="A448" s="24">
        <v>1447</v>
      </c>
      <c r="B448" s="13" t="s">
        <v>5574</v>
      </c>
      <c r="C448" s="13" t="s">
        <v>5381</v>
      </c>
      <c r="D448" s="13" t="s">
        <v>12371</v>
      </c>
      <c r="E448" s="13" t="s">
        <v>12759</v>
      </c>
      <c r="F448" s="13" t="s">
        <v>12161</v>
      </c>
    </row>
    <row r="449" spans="1:6" x14ac:dyDescent="0.3">
      <c r="A449" s="24">
        <v>1448</v>
      </c>
      <c r="B449" s="13" t="s">
        <v>11160</v>
      </c>
      <c r="C449" s="13" t="s">
        <v>94</v>
      </c>
      <c r="D449" s="13" t="s">
        <v>12371</v>
      </c>
      <c r="E449" s="13" t="s">
        <v>12760</v>
      </c>
      <c r="F449" s="13" t="s">
        <v>12098</v>
      </c>
    </row>
    <row r="450" spans="1:6" x14ac:dyDescent="0.3">
      <c r="A450" s="24">
        <v>1449</v>
      </c>
      <c r="B450" s="13" t="s">
        <v>11035</v>
      </c>
      <c r="C450" s="13" t="s">
        <v>99</v>
      </c>
      <c r="D450" s="13" t="s">
        <v>12371</v>
      </c>
      <c r="E450" s="13" t="s">
        <v>12761</v>
      </c>
      <c r="F450" s="13" t="s">
        <v>11838</v>
      </c>
    </row>
    <row r="451" spans="1:6" x14ac:dyDescent="0.3">
      <c r="A451" s="24">
        <v>1450</v>
      </c>
      <c r="B451" s="13" t="s">
        <v>5575</v>
      </c>
      <c r="C451" s="13" t="s">
        <v>99</v>
      </c>
      <c r="D451" s="13" t="s">
        <v>12371</v>
      </c>
      <c r="E451" s="13" t="s">
        <v>12762</v>
      </c>
      <c r="F451" s="13" t="s">
        <v>11839</v>
      </c>
    </row>
    <row r="452" spans="1:6" x14ac:dyDescent="0.3">
      <c r="A452" s="24">
        <v>1451</v>
      </c>
      <c r="B452" s="13" t="s">
        <v>5576</v>
      </c>
      <c r="C452" s="13" t="s">
        <v>5338</v>
      </c>
      <c r="D452" s="13" t="s">
        <v>95</v>
      </c>
      <c r="E452" s="13" t="s">
        <v>13151</v>
      </c>
      <c r="F452" s="13" t="s">
        <v>11483</v>
      </c>
    </row>
    <row r="453" spans="1:6" x14ac:dyDescent="0.3">
      <c r="A453" s="24">
        <v>1452</v>
      </c>
      <c r="B453" s="13" t="s">
        <v>5577</v>
      </c>
      <c r="C453" s="13" t="s">
        <v>114</v>
      </c>
      <c r="D453" s="13" t="s">
        <v>12371</v>
      </c>
      <c r="E453" s="13" t="s">
        <v>12763</v>
      </c>
      <c r="F453" s="13" t="s">
        <v>11508</v>
      </c>
    </row>
    <row r="454" spans="1:6" x14ac:dyDescent="0.3">
      <c r="A454" s="24">
        <v>1453</v>
      </c>
      <c r="B454" s="13" t="s">
        <v>11133</v>
      </c>
      <c r="C454" s="13" t="s">
        <v>5365</v>
      </c>
      <c r="D454" s="13" t="s">
        <v>12371</v>
      </c>
      <c r="E454" s="13" t="s">
        <v>12764</v>
      </c>
      <c r="F454" s="13" t="s">
        <v>12026</v>
      </c>
    </row>
    <row r="455" spans="1:6" x14ac:dyDescent="0.3">
      <c r="A455" s="24">
        <v>1454</v>
      </c>
      <c r="B455" s="13" t="s">
        <v>11161</v>
      </c>
      <c r="C455" s="13" t="s">
        <v>94</v>
      </c>
      <c r="D455" s="13" t="s">
        <v>12371</v>
      </c>
      <c r="E455" s="13" t="s">
        <v>12765</v>
      </c>
      <c r="F455" s="13" t="s">
        <v>12099</v>
      </c>
    </row>
    <row r="456" spans="1:6" x14ac:dyDescent="0.3">
      <c r="A456" s="24">
        <v>1455</v>
      </c>
      <c r="B456" s="13" t="s">
        <v>11036</v>
      </c>
      <c r="C456" s="13" t="s">
        <v>99</v>
      </c>
      <c r="D456" s="13" t="s">
        <v>12371</v>
      </c>
      <c r="E456" s="13" t="s">
        <v>12766</v>
      </c>
      <c r="F456" s="13" t="s">
        <v>11840</v>
      </c>
    </row>
    <row r="457" spans="1:6" x14ac:dyDescent="0.3">
      <c r="A457" s="24">
        <v>1456</v>
      </c>
      <c r="B457" s="13" t="s">
        <v>5578</v>
      </c>
      <c r="C457" s="13" t="s">
        <v>5578</v>
      </c>
      <c r="D457" s="13" t="s">
        <v>95</v>
      </c>
      <c r="E457" s="13" t="s">
        <v>13152</v>
      </c>
      <c r="F457" s="13" t="s">
        <v>12014</v>
      </c>
    </row>
    <row r="458" spans="1:6" x14ac:dyDescent="0.3">
      <c r="A458" s="24">
        <v>1457</v>
      </c>
      <c r="B458" s="13" t="s">
        <v>5579</v>
      </c>
      <c r="C458" s="13" t="s">
        <v>99</v>
      </c>
      <c r="D458" s="13" t="s">
        <v>12371</v>
      </c>
      <c r="E458" s="13" t="s">
        <v>12767</v>
      </c>
      <c r="F458" s="13" t="s">
        <v>11841</v>
      </c>
    </row>
    <row r="459" spans="1:6" x14ac:dyDescent="0.3">
      <c r="A459" s="24">
        <v>1458</v>
      </c>
      <c r="B459" s="13" t="s">
        <v>11037</v>
      </c>
      <c r="C459" s="13" t="s">
        <v>99</v>
      </c>
      <c r="D459" s="13" t="s">
        <v>12371</v>
      </c>
      <c r="E459" s="13" t="s">
        <v>12768</v>
      </c>
      <c r="F459" s="13" t="s">
        <v>11842</v>
      </c>
    </row>
    <row r="460" spans="1:6" x14ac:dyDescent="0.3">
      <c r="A460" s="24">
        <v>1459</v>
      </c>
      <c r="B460" s="13" t="s">
        <v>10921</v>
      </c>
      <c r="C460" s="13" t="s">
        <v>114</v>
      </c>
      <c r="D460" s="13" t="s">
        <v>12371</v>
      </c>
      <c r="E460" s="13" t="s">
        <v>12769</v>
      </c>
      <c r="F460" s="13" t="s">
        <v>11509</v>
      </c>
    </row>
    <row r="461" spans="1:6" x14ac:dyDescent="0.3">
      <c r="A461" s="24">
        <v>1460</v>
      </c>
      <c r="B461" s="13" t="s">
        <v>5580</v>
      </c>
      <c r="C461" s="13" t="s">
        <v>94</v>
      </c>
      <c r="D461" s="13" t="s">
        <v>12371</v>
      </c>
      <c r="E461" s="13" t="s">
        <v>12770</v>
      </c>
      <c r="F461" s="13" t="s">
        <v>12100</v>
      </c>
    </row>
    <row r="462" spans="1:6" x14ac:dyDescent="0.3">
      <c r="A462" s="24">
        <v>1461</v>
      </c>
      <c r="B462" s="13" t="s">
        <v>10922</v>
      </c>
      <c r="C462" s="13" t="s">
        <v>114</v>
      </c>
      <c r="D462" s="13" t="s">
        <v>12371</v>
      </c>
      <c r="E462" s="13" t="s">
        <v>12771</v>
      </c>
      <c r="F462" s="13" t="s">
        <v>11510</v>
      </c>
    </row>
    <row r="463" spans="1:6" x14ac:dyDescent="0.3">
      <c r="A463" s="24">
        <v>1462</v>
      </c>
      <c r="B463" s="13" t="s">
        <v>11038</v>
      </c>
      <c r="C463" s="13" t="s">
        <v>99</v>
      </c>
      <c r="D463" s="13" t="s">
        <v>12371</v>
      </c>
      <c r="E463" s="13" t="s">
        <v>12772</v>
      </c>
      <c r="F463" s="13" t="s">
        <v>11843</v>
      </c>
    </row>
    <row r="464" spans="1:6" x14ac:dyDescent="0.3">
      <c r="A464" s="24">
        <v>1463</v>
      </c>
      <c r="B464" s="13" t="s">
        <v>10923</v>
      </c>
      <c r="C464" s="13" t="s">
        <v>114</v>
      </c>
      <c r="D464" s="13" t="s">
        <v>12371</v>
      </c>
      <c r="E464" s="13" t="s">
        <v>12773</v>
      </c>
      <c r="F464" s="13" t="s">
        <v>11511</v>
      </c>
    </row>
    <row r="465" spans="1:6" x14ac:dyDescent="0.3">
      <c r="A465" s="24">
        <v>1464</v>
      </c>
      <c r="B465" s="47" t="s">
        <v>11039</v>
      </c>
      <c r="C465" s="47" t="s">
        <v>99</v>
      </c>
      <c r="D465" s="47" t="s">
        <v>12371</v>
      </c>
      <c r="E465" s="13" t="s">
        <v>12774</v>
      </c>
      <c r="F465" s="13" t="s">
        <v>11844</v>
      </c>
    </row>
    <row r="466" spans="1:6" x14ac:dyDescent="0.3">
      <c r="A466" s="24">
        <v>1465</v>
      </c>
      <c r="B466" s="47" t="s">
        <v>11040</v>
      </c>
      <c r="C466" s="47" t="s">
        <v>99</v>
      </c>
      <c r="D466" s="47" t="s">
        <v>12371</v>
      </c>
      <c r="E466" s="13" t="s">
        <v>12775</v>
      </c>
      <c r="F466" s="13" t="s">
        <v>11845</v>
      </c>
    </row>
    <row r="467" spans="1:6" x14ac:dyDescent="0.3">
      <c r="A467" s="24">
        <v>1466</v>
      </c>
      <c r="B467" s="47" t="s">
        <v>5581</v>
      </c>
      <c r="C467" s="47" t="s">
        <v>99</v>
      </c>
      <c r="D467" s="47" t="s">
        <v>12371</v>
      </c>
      <c r="E467" s="13" t="s">
        <v>12776</v>
      </c>
      <c r="F467" s="13" t="s">
        <v>11846</v>
      </c>
    </row>
    <row r="468" spans="1:6" x14ac:dyDescent="0.3">
      <c r="A468" s="24">
        <v>1467</v>
      </c>
      <c r="B468" s="47" t="s">
        <v>5582</v>
      </c>
      <c r="C468" s="47" t="s">
        <v>94</v>
      </c>
      <c r="D468" s="47" t="s">
        <v>12371</v>
      </c>
      <c r="E468" s="13" t="s">
        <v>12777</v>
      </c>
      <c r="F468" s="13" t="s">
        <v>12101</v>
      </c>
    </row>
    <row r="469" spans="1:6" x14ac:dyDescent="0.3">
      <c r="A469" s="24">
        <v>1468</v>
      </c>
      <c r="B469" s="47" t="s">
        <v>5583</v>
      </c>
      <c r="C469" s="47" t="s">
        <v>101</v>
      </c>
      <c r="D469" s="47" t="s">
        <v>12371</v>
      </c>
      <c r="E469" s="13" t="s">
        <v>12778</v>
      </c>
      <c r="F469" s="13" t="s">
        <v>11989</v>
      </c>
    </row>
    <row r="470" spans="1:6" x14ac:dyDescent="0.3">
      <c r="A470" s="24">
        <v>1469</v>
      </c>
      <c r="B470" s="47" t="s">
        <v>5584</v>
      </c>
      <c r="C470" s="47" t="s">
        <v>94</v>
      </c>
      <c r="D470" s="47" t="s">
        <v>95</v>
      </c>
      <c r="E470" s="13" t="s">
        <v>12779</v>
      </c>
      <c r="F470" s="13" t="s">
        <v>12102</v>
      </c>
    </row>
    <row r="471" spans="1:6" x14ac:dyDescent="0.3">
      <c r="A471" s="24">
        <v>1470</v>
      </c>
      <c r="B471" s="47" t="s">
        <v>5585</v>
      </c>
      <c r="C471" s="47" t="s">
        <v>94</v>
      </c>
      <c r="D471" s="47" t="s">
        <v>95</v>
      </c>
      <c r="E471" s="13" t="s">
        <v>12780</v>
      </c>
      <c r="F471" s="13" t="s">
        <v>12103</v>
      </c>
    </row>
    <row r="472" spans="1:6" x14ac:dyDescent="0.3">
      <c r="A472" s="24">
        <v>1471</v>
      </c>
      <c r="B472" s="47" t="s">
        <v>5586</v>
      </c>
      <c r="C472" s="47" t="s">
        <v>94</v>
      </c>
      <c r="D472" s="47" t="s">
        <v>95</v>
      </c>
      <c r="E472" s="13" t="s">
        <v>12781</v>
      </c>
      <c r="F472" s="13" t="s">
        <v>12104</v>
      </c>
    </row>
    <row r="473" spans="1:6" x14ac:dyDescent="0.3">
      <c r="A473" s="24">
        <v>1472</v>
      </c>
      <c r="B473" s="47" t="s">
        <v>11041</v>
      </c>
      <c r="C473" s="47" t="s">
        <v>99</v>
      </c>
      <c r="D473" s="47" t="s">
        <v>12371</v>
      </c>
      <c r="E473" s="13" t="s">
        <v>12782</v>
      </c>
      <c r="F473" s="13" t="s">
        <v>11847</v>
      </c>
    </row>
    <row r="474" spans="1:6" x14ac:dyDescent="0.3">
      <c r="A474" s="24">
        <v>1473</v>
      </c>
      <c r="B474" s="47" t="s">
        <v>11162</v>
      </c>
      <c r="C474" s="47" t="s">
        <v>94</v>
      </c>
      <c r="D474" s="47" t="s">
        <v>12371</v>
      </c>
      <c r="E474" s="13" t="s">
        <v>12783</v>
      </c>
      <c r="F474" s="13" t="s">
        <v>12105</v>
      </c>
    </row>
    <row r="475" spans="1:6" x14ac:dyDescent="0.3">
      <c r="A475" s="24">
        <v>1474</v>
      </c>
      <c r="B475" s="47" t="s">
        <v>11187</v>
      </c>
      <c r="C475" s="47" t="s">
        <v>5381</v>
      </c>
      <c r="D475" s="47" t="s">
        <v>12371</v>
      </c>
      <c r="E475" s="13" t="s">
        <v>12784</v>
      </c>
      <c r="F475" s="13" t="s">
        <v>12162</v>
      </c>
    </row>
    <row r="476" spans="1:6" x14ac:dyDescent="0.3">
      <c r="A476" s="24">
        <v>1475</v>
      </c>
      <c r="B476" s="47" t="s">
        <v>11042</v>
      </c>
      <c r="C476" s="47" t="s">
        <v>99</v>
      </c>
      <c r="D476" s="47" t="s">
        <v>12371</v>
      </c>
      <c r="E476" s="13" t="s">
        <v>12785</v>
      </c>
      <c r="F476" s="13" t="s">
        <v>11848</v>
      </c>
    </row>
    <row r="477" spans="1:6" x14ac:dyDescent="0.3">
      <c r="A477" s="24">
        <v>1476</v>
      </c>
      <c r="B477" s="47" t="s">
        <v>11188</v>
      </c>
      <c r="C477" s="47" t="s">
        <v>5381</v>
      </c>
      <c r="D477" s="47" t="s">
        <v>12371</v>
      </c>
      <c r="E477" s="13" t="s">
        <v>12786</v>
      </c>
      <c r="F477" s="13" t="s">
        <v>12163</v>
      </c>
    </row>
    <row r="478" spans="1:6" x14ac:dyDescent="0.3">
      <c r="A478" s="24">
        <v>1477</v>
      </c>
      <c r="B478" s="47" t="s">
        <v>11043</v>
      </c>
      <c r="C478" s="47" t="s">
        <v>99</v>
      </c>
      <c r="D478" s="47" t="s">
        <v>12371</v>
      </c>
      <c r="E478" s="13" t="s">
        <v>12787</v>
      </c>
      <c r="F478" s="13" t="s">
        <v>11849</v>
      </c>
    </row>
    <row r="479" spans="1:6" x14ac:dyDescent="0.3">
      <c r="A479" s="24">
        <v>1478</v>
      </c>
      <c r="B479" s="47" t="s">
        <v>11044</v>
      </c>
      <c r="C479" s="47" t="s">
        <v>99</v>
      </c>
      <c r="D479" s="47" t="s">
        <v>12371</v>
      </c>
      <c r="E479" s="13" t="s">
        <v>12788</v>
      </c>
      <c r="F479" s="13" t="s">
        <v>11850</v>
      </c>
    </row>
    <row r="480" spans="1:6" x14ac:dyDescent="0.3">
      <c r="A480" s="24">
        <v>1479</v>
      </c>
      <c r="B480" s="47" t="s">
        <v>11045</v>
      </c>
      <c r="C480" s="47" t="s">
        <v>99</v>
      </c>
      <c r="D480" s="47" t="s">
        <v>12371</v>
      </c>
      <c r="E480" s="13" t="s">
        <v>12789</v>
      </c>
      <c r="F480" s="13" t="s">
        <v>11851</v>
      </c>
    </row>
    <row r="481" spans="1:6" x14ac:dyDescent="0.3">
      <c r="A481" s="24">
        <v>1480</v>
      </c>
      <c r="B481" s="47" t="s">
        <v>11163</v>
      </c>
      <c r="C481" s="47" t="s">
        <v>94</v>
      </c>
      <c r="D481" s="47" t="s">
        <v>12371</v>
      </c>
      <c r="E481" s="13" t="s">
        <v>12790</v>
      </c>
      <c r="F481" s="13" t="s">
        <v>12106</v>
      </c>
    </row>
    <row r="482" spans="1:6" x14ac:dyDescent="0.3">
      <c r="A482" s="24">
        <v>1481</v>
      </c>
      <c r="B482" s="47" t="s">
        <v>11164</v>
      </c>
      <c r="C482" s="47" t="s">
        <v>94</v>
      </c>
      <c r="D482" s="47" t="s">
        <v>12371</v>
      </c>
      <c r="E482" s="13" t="s">
        <v>12791</v>
      </c>
      <c r="F482" s="13" t="s">
        <v>12107</v>
      </c>
    </row>
    <row r="483" spans="1:6" x14ac:dyDescent="0.3">
      <c r="A483" s="24">
        <v>1482</v>
      </c>
      <c r="B483" s="47" t="s">
        <v>5587</v>
      </c>
      <c r="C483" s="47" t="s">
        <v>99</v>
      </c>
      <c r="D483" s="47" t="s">
        <v>12371</v>
      </c>
      <c r="E483" s="13" t="s">
        <v>12792</v>
      </c>
      <c r="F483" s="13" t="s">
        <v>11852</v>
      </c>
    </row>
    <row r="484" spans="1:6" x14ac:dyDescent="0.3">
      <c r="A484" s="24">
        <v>1483</v>
      </c>
      <c r="B484" s="47" t="s">
        <v>5588</v>
      </c>
      <c r="C484" s="47" t="s">
        <v>114</v>
      </c>
      <c r="D484" s="47" t="s">
        <v>12371</v>
      </c>
      <c r="E484" s="13" t="s">
        <v>12793</v>
      </c>
      <c r="F484" s="13" t="s">
        <v>11512</v>
      </c>
    </row>
    <row r="485" spans="1:6" x14ac:dyDescent="0.3">
      <c r="A485" s="24">
        <v>1484</v>
      </c>
      <c r="B485" s="47" t="s">
        <v>5589</v>
      </c>
      <c r="C485" s="47" t="s">
        <v>99</v>
      </c>
      <c r="D485" s="47" t="s">
        <v>12371</v>
      </c>
      <c r="E485" s="13" t="s">
        <v>12794</v>
      </c>
      <c r="F485" s="13" t="s">
        <v>11853</v>
      </c>
    </row>
    <row r="486" spans="1:6" x14ac:dyDescent="0.3">
      <c r="A486" s="24">
        <v>1827</v>
      </c>
      <c r="B486" s="47" t="s">
        <v>5590</v>
      </c>
      <c r="C486" s="47" t="s">
        <v>5590</v>
      </c>
      <c r="D486" s="47" t="s">
        <v>95</v>
      </c>
      <c r="E486" s="13" t="s">
        <v>11326</v>
      </c>
      <c r="F486" s="13" t="s">
        <v>11470</v>
      </c>
    </row>
    <row r="487" spans="1:6" x14ac:dyDescent="0.3">
      <c r="A487" s="24">
        <v>1486</v>
      </c>
      <c r="B487" s="47" t="s">
        <v>5591</v>
      </c>
      <c r="C487" s="47" t="s">
        <v>5381</v>
      </c>
      <c r="D487" s="47" t="s">
        <v>95</v>
      </c>
      <c r="E487" s="13" t="s">
        <v>13153</v>
      </c>
      <c r="F487" s="13" t="s">
        <v>12164</v>
      </c>
    </row>
    <row r="488" spans="1:6" x14ac:dyDescent="0.3">
      <c r="A488" s="24">
        <v>1487</v>
      </c>
      <c r="B488" s="47" t="s">
        <v>11165</v>
      </c>
      <c r="C488" s="47" t="s">
        <v>94</v>
      </c>
      <c r="D488" s="47" t="s">
        <v>12371</v>
      </c>
      <c r="E488" s="13" t="s">
        <v>12795</v>
      </c>
      <c r="F488" s="13" t="s">
        <v>12108</v>
      </c>
    </row>
    <row r="489" spans="1:6" x14ac:dyDescent="0.3">
      <c r="A489" s="24">
        <v>1488</v>
      </c>
      <c r="B489" s="47" t="s">
        <v>11166</v>
      </c>
      <c r="C489" s="47" t="s">
        <v>94</v>
      </c>
      <c r="D489" s="47" t="s">
        <v>12371</v>
      </c>
      <c r="E489" s="13" t="s">
        <v>12796</v>
      </c>
      <c r="F489" s="13" t="s">
        <v>12109</v>
      </c>
    </row>
    <row r="490" spans="1:6" x14ac:dyDescent="0.3">
      <c r="A490" s="24">
        <v>1489</v>
      </c>
      <c r="B490" s="47" t="s">
        <v>5592</v>
      </c>
      <c r="C490" s="47" t="s">
        <v>101</v>
      </c>
      <c r="D490" s="47" t="s">
        <v>95</v>
      </c>
      <c r="E490" s="13" t="s">
        <v>13154</v>
      </c>
      <c r="F490" s="13" t="s">
        <v>11990</v>
      </c>
    </row>
    <row r="491" spans="1:6" x14ac:dyDescent="0.3">
      <c r="A491" s="24">
        <v>1490</v>
      </c>
      <c r="B491" s="47" t="s">
        <v>5593</v>
      </c>
      <c r="C491" s="47" t="s">
        <v>99</v>
      </c>
      <c r="D491" s="47" t="s">
        <v>12371</v>
      </c>
      <c r="E491" s="13" t="s">
        <v>12797</v>
      </c>
      <c r="F491" s="13" t="s">
        <v>11854</v>
      </c>
    </row>
    <row r="492" spans="1:6" x14ac:dyDescent="0.3">
      <c r="A492" s="24">
        <v>1491</v>
      </c>
      <c r="B492" s="47" t="s">
        <v>11046</v>
      </c>
      <c r="C492" s="47" t="s">
        <v>99</v>
      </c>
      <c r="D492" s="47" t="s">
        <v>12371</v>
      </c>
      <c r="E492" s="13" t="s">
        <v>12798</v>
      </c>
      <c r="F492" s="13" t="s">
        <v>11855</v>
      </c>
    </row>
    <row r="493" spans="1:6" x14ac:dyDescent="0.3">
      <c r="A493" s="24">
        <v>1492</v>
      </c>
      <c r="B493" s="47" t="s">
        <v>11047</v>
      </c>
      <c r="C493" s="47" t="s">
        <v>99</v>
      </c>
      <c r="D493" s="47" t="s">
        <v>12371</v>
      </c>
      <c r="E493" s="13" t="s">
        <v>12799</v>
      </c>
      <c r="F493" s="13" t="s">
        <v>11856</v>
      </c>
    </row>
    <row r="494" spans="1:6" x14ac:dyDescent="0.3">
      <c r="A494" s="24">
        <v>1493</v>
      </c>
      <c r="B494" s="47" t="s">
        <v>11048</v>
      </c>
      <c r="C494" s="47" t="s">
        <v>99</v>
      </c>
      <c r="D494" s="47" t="s">
        <v>12371</v>
      </c>
      <c r="E494" s="13" t="s">
        <v>12800</v>
      </c>
      <c r="F494" s="13" t="s">
        <v>11857</v>
      </c>
    </row>
    <row r="495" spans="1:6" x14ac:dyDescent="0.3">
      <c r="A495" s="24">
        <v>1494</v>
      </c>
      <c r="B495" s="47" t="s">
        <v>5594</v>
      </c>
      <c r="C495" s="47" t="s">
        <v>99</v>
      </c>
      <c r="D495" s="47" t="s">
        <v>12371</v>
      </c>
      <c r="E495" s="13" t="s">
        <v>12801</v>
      </c>
      <c r="F495" s="13" t="s">
        <v>11858</v>
      </c>
    </row>
    <row r="496" spans="1:6" x14ac:dyDescent="0.3">
      <c r="A496" s="24">
        <v>1495</v>
      </c>
      <c r="B496" s="47" t="s">
        <v>5595</v>
      </c>
      <c r="C496" s="47" t="s">
        <v>111</v>
      </c>
      <c r="D496" s="47" t="s">
        <v>12371</v>
      </c>
      <c r="E496" s="13" t="s">
        <v>12802</v>
      </c>
      <c r="F496" s="13" t="s">
        <v>11966</v>
      </c>
    </row>
    <row r="497" spans="1:6" x14ac:dyDescent="0.3">
      <c r="A497" s="24">
        <v>1496</v>
      </c>
      <c r="B497" s="47" t="s">
        <v>5596</v>
      </c>
      <c r="C497" s="47" t="s">
        <v>99</v>
      </c>
      <c r="D497" s="47" t="s">
        <v>12371</v>
      </c>
      <c r="E497" s="13" t="s">
        <v>12803</v>
      </c>
      <c r="F497" s="13" t="s">
        <v>11859</v>
      </c>
    </row>
    <row r="498" spans="1:6" x14ac:dyDescent="0.3">
      <c r="A498" s="24">
        <v>1497</v>
      </c>
      <c r="B498" s="47" t="s">
        <v>5597</v>
      </c>
      <c r="C498" s="47" t="s">
        <v>101</v>
      </c>
      <c r="D498" s="47" t="s">
        <v>12371</v>
      </c>
      <c r="E498" s="13" t="s">
        <v>12804</v>
      </c>
      <c r="F498" s="13" t="s">
        <v>11991</v>
      </c>
    </row>
    <row r="499" spans="1:6" x14ac:dyDescent="0.3">
      <c r="A499" s="24">
        <v>1498</v>
      </c>
      <c r="B499" s="47" t="s">
        <v>5598</v>
      </c>
      <c r="C499" s="47" t="s">
        <v>94</v>
      </c>
      <c r="D499" s="47" t="s">
        <v>12371</v>
      </c>
      <c r="E499" s="13" t="s">
        <v>12805</v>
      </c>
      <c r="F499" s="13" t="s">
        <v>12110</v>
      </c>
    </row>
    <row r="500" spans="1:6" x14ac:dyDescent="0.3">
      <c r="A500" s="24">
        <v>1499</v>
      </c>
      <c r="B500" s="47" t="s">
        <v>5599</v>
      </c>
      <c r="C500" s="47" t="s">
        <v>94</v>
      </c>
      <c r="D500" s="47" t="s">
        <v>12371</v>
      </c>
      <c r="E500" s="13" t="s">
        <v>12806</v>
      </c>
      <c r="F500" s="13" t="s">
        <v>12111</v>
      </c>
    </row>
    <row r="501" spans="1:6" x14ac:dyDescent="0.3">
      <c r="A501" s="24">
        <v>1500</v>
      </c>
      <c r="B501" s="47" t="s">
        <v>5600</v>
      </c>
      <c r="C501" s="47" t="s">
        <v>5365</v>
      </c>
      <c r="D501" s="47" t="s">
        <v>12371</v>
      </c>
      <c r="E501" s="13" t="s">
        <v>12807</v>
      </c>
      <c r="F501" s="13" t="s">
        <v>12027</v>
      </c>
    </row>
    <row r="502" spans="1:6" x14ac:dyDescent="0.3">
      <c r="A502" s="24">
        <v>1501</v>
      </c>
      <c r="B502" s="47" t="s">
        <v>5601</v>
      </c>
      <c r="C502" s="47" t="s">
        <v>99</v>
      </c>
      <c r="D502" s="47" t="s">
        <v>12371</v>
      </c>
      <c r="E502" s="13" t="s">
        <v>12808</v>
      </c>
      <c r="F502" s="13" t="s">
        <v>11860</v>
      </c>
    </row>
    <row r="503" spans="1:6" x14ac:dyDescent="0.3">
      <c r="A503" s="24">
        <v>1502</v>
      </c>
      <c r="B503" s="47" t="s">
        <v>5602</v>
      </c>
      <c r="C503" s="47" t="s">
        <v>111</v>
      </c>
      <c r="D503" s="47" t="s">
        <v>12371</v>
      </c>
      <c r="E503" s="13" t="s">
        <v>12809</v>
      </c>
      <c r="F503" s="13" t="s">
        <v>11967</v>
      </c>
    </row>
    <row r="504" spans="1:6" x14ac:dyDescent="0.3">
      <c r="A504" s="24">
        <v>1503</v>
      </c>
      <c r="B504" s="47" t="s">
        <v>5603</v>
      </c>
      <c r="C504" s="47" t="s">
        <v>111</v>
      </c>
      <c r="D504" s="47" t="s">
        <v>12371</v>
      </c>
      <c r="E504" s="13" t="s">
        <v>12810</v>
      </c>
      <c r="F504" s="13" t="s">
        <v>11968</v>
      </c>
    </row>
    <row r="505" spans="1:6" x14ac:dyDescent="0.3">
      <c r="A505" s="24">
        <v>1504</v>
      </c>
      <c r="B505" s="47" t="s">
        <v>11167</v>
      </c>
      <c r="C505" s="47" t="s">
        <v>94</v>
      </c>
      <c r="D505" s="47" t="s">
        <v>12371</v>
      </c>
      <c r="E505" s="13" t="s">
        <v>12811</v>
      </c>
      <c r="F505" s="13" t="s">
        <v>12112</v>
      </c>
    </row>
    <row r="506" spans="1:6" x14ac:dyDescent="0.3">
      <c r="A506" s="24">
        <v>1505</v>
      </c>
      <c r="B506" s="47" t="s">
        <v>11168</v>
      </c>
      <c r="C506" s="47" t="s">
        <v>94</v>
      </c>
      <c r="D506" s="47" t="s">
        <v>12371</v>
      </c>
      <c r="E506" s="13" t="s">
        <v>12812</v>
      </c>
      <c r="F506" s="13" t="s">
        <v>12113</v>
      </c>
    </row>
    <row r="507" spans="1:6" x14ac:dyDescent="0.3">
      <c r="A507" s="24">
        <v>1506</v>
      </c>
      <c r="B507" s="47" t="s">
        <v>5604</v>
      </c>
      <c r="C507" s="47" t="s">
        <v>5381</v>
      </c>
      <c r="D507" s="47" t="s">
        <v>12371</v>
      </c>
      <c r="E507" s="13" t="s">
        <v>12813</v>
      </c>
      <c r="F507" s="13" t="s">
        <v>12165</v>
      </c>
    </row>
    <row r="508" spans="1:6" x14ac:dyDescent="0.3">
      <c r="A508" s="24">
        <v>1507</v>
      </c>
      <c r="B508" s="47" t="s">
        <v>5605</v>
      </c>
      <c r="C508" s="47" t="s">
        <v>94</v>
      </c>
      <c r="D508" s="47" t="s">
        <v>12371</v>
      </c>
      <c r="E508" s="13" t="s">
        <v>12814</v>
      </c>
      <c r="F508" s="13" t="s">
        <v>12114</v>
      </c>
    </row>
    <row r="509" spans="1:6" x14ac:dyDescent="0.3">
      <c r="A509" s="24">
        <v>1508</v>
      </c>
      <c r="B509" s="47" t="s">
        <v>10924</v>
      </c>
      <c r="C509" s="47" t="s">
        <v>114</v>
      </c>
      <c r="D509" s="47" t="s">
        <v>12371</v>
      </c>
      <c r="E509" s="13" t="s">
        <v>12815</v>
      </c>
      <c r="F509" s="13" t="s">
        <v>11513</v>
      </c>
    </row>
    <row r="510" spans="1:6" x14ac:dyDescent="0.3">
      <c r="A510" s="24">
        <v>1509</v>
      </c>
      <c r="B510" s="47" t="s">
        <v>5606</v>
      </c>
      <c r="C510" s="47" t="s">
        <v>5321</v>
      </c>
      <c r="D510" s="47" t="s">
        <v>95</v>
      </c>
      <c r="E510" s="13" t="s">
        <v>13155</v>
      </c>
      <c r="F510" s="13" t="s">
        <v>11592</v>
      </c>
    </row>
    <row r="511" spans="1:6" x14ac:dyDescent="0.3">
      <c r="A511" s="24">
        <v>1510</v>
      </c>
      <c r="B511" s="47" t="s">
        <v>5607</v>
      </c>
      <c r="C511" s="47" t="s">
        <v>114</v>
      </c>
      <c r="D511" s="47" t="s">
        <v>95</v>
      </c>
      <c r="E511" s="13" t="s">
        <v>13156</v>
      </c>
      <c r="F511" s="13" t="s">
        <v>11514</v>
      </c>
    </row>
    <row r="512" spans="1:6" x14ac:dyDescent="0.3">
      <c r="A512" s="24">
        <v>1511</v>
      </c>
      <c r="B512" s="47" t="s">
        <v>5608</v>
      </c>
      <c r="C512" s="47" t="s">
        <v>114</v>
      </c>
      <c r="D512" s="47" t="s">
        <v>12371</v>
      </c>
      <c r="E512" s="13" t="s">
        <v>12816</v>
      </c>
      <c r="F512" s="13" t="s">
        <v>11515</v>
      </c>
    </row>
    <row r="513" spans="1:6" x14ac:dyDescent="0.3">
      <c r="A513" s="24">
        <v>1512</v>
      </c>
      <c r="B513" s="47" t="s">
        <v>10913</v>
      </c>
      <c r="C513" s="47" t="s">
        <v>5338</v>
      </c>
      <c r="D513" s="47" t="s">
        <v>12371</v>
      </c>
      <c r="E513" s="13" t="s">
        <v>12817</v>
      </c>
      <c r="F513" s="13" t="s">
        <v>11484</v>
      </c>
    </row>
    <row r="514" spans="1:6" x14ac:dyDescent="0.3">
      <c r="A514" s="24">
        <v>1513</v>
      </c>
      <c r="B514" s="47" t="s">
        <v>5609</v>
      </c>
      <c r="C514" s="47" t="s">
        <v>94</v>
      </c>
      <c r="D514" s="47" t="s">
        <v>12371</v>
      </c>
      <c r="E514" s="13" t="s">
        <v>12818</v>
      </c>
      <c r="F514" s="13" t="s">
        <v>12116</v>
      </c>
    </row>
    <row r="515" spans="1:6" x14ac:dyDescent="0.3">
      <c r="A515" s="24">
        <v>1514</v>
      </c>
      <c r="B515" s="47" t="s">
        <v>11170</v>
      </c>
      <c r="C515" s="47" t="s">
        <v>94</v>
      </c>
      <c r="D515" s="47" t="s">
        <v>12371</v>
      </c>
      <c r="E515" s="13" t="s">
        <v>12819</v>
      </c>
      <c r="F515" s="13" t="s">
        <v>12117</v>
      </c>
    </row>
    <row r="516" spans="1:6" x14ac:dyDescent="0.3">
      <c r="A516" s="24">
        <v>1515</v>
      </c>
      <c r="B516" s="47" t="s">
        <v>11169</v>
      </c>
      <c r="C516" s="47" t="s">
        <v>94</v>
      </c>
      <c r="D516" s="47" t="s">
        <v>12371</v>
      </c>
      <c r="E516" s="13" t="s">
        <v>12820</v>
      </c>
      <c r="F516" s="13" t="s">
        <v>12115</v>
      </c>
    </row>
    <row r="517" spans="1:6" x14ac:dyDescent="0.3">
      <c r="A517" s="24">
        <v>1516</v>
      </c>
      <c r="B517" s="47" t="s">
        <v>5610</v>
      </c>
      <c r="C517" s="47" t="s">
        <v>94</v>
      </c>
      <c r="D517" s="47" t="s">
        <v>12371</v>
      </c>
      <c r="E517" s="13" t="s">
        <v>12821</v>
      </c>
      <c r="F517" s="13" t="s">
        <v>12118</v>
      </c>
    </row>
    <row r="518" spans="1:6" x14ac:dyDescent="0.3">
      <c r="A518" s="24">
        <v>1517</v>
      </c>
      <c r="B518" s="47" t="s">
        <v>5611</v>
      </c>
      <c r="C518" s="47" t="s">
        <v>5376</v>
      </c>
      <c r="D518" s="47" t="s">
        <v>95</v>
      </c>
      <c r="E518" s="13" t="s">
        <v>13157</v>
      </c>
      <c r="F518" s="13" t="s">
        <v>11624</v>
      </c>
    </row>
    <row r="519" spans="1:6" x14ac:dyDescent="0.3">
      <c r="A519" s="24">
        <v>1518</v>
      </c>
      <c r="B519" s="47" t="s">
        <v>5612</v>
      </c>
      <c r="C519" s="47" t="s">
        <v>114</v>
      </c>
      <c r="D519" s="47" t="s">
        <v>12371</v>
      </c>
      <c r="E519" s="13" t="s">
        <v>12822</v>
      </c>
      <c r="F519" s="13" t="s">
        <v>11516</v>
      </c>
    </row>
    <row r="520" spans="1:6" x14ac:dyDescent="0.3">
      <c r="A520" s="24">
        <v>1519</v>
      </c>
      <c r="B520" s="47" t="s">
        <v>5613</v>
      </c>
      <c r="C520" s="47" t="s">
        <v>94</v>
      </c>
      <c r="D520" s="47" t="s">
        <v>12371</v>
      </c>
      <c r="E520" s="13" t="s">
        <v>12823</v>
      </c>
      <c r="F520" s="13" t="s">
        <v>12119</v>
      </c>
    </row>
    <row r="521" spans="1:6" x14ac:dyDescent="0.3">
      <c r="A521" s="24">
        <v>1520</v>
      </c>
      <c r="B521" s="47" t="s">
        <v>5614</v>
      </c>
      <c r="C521" s="47" t="s">
        <v>94</v>
      </c>
      <c r="D521" s="47" t="s">
        <v>95</v>
      </c>
      <c r="E521" s="13" t="s">
        <v>13158</v>
      </c>
      <c r="F521" s="13" t="s">
        <v>12120</v>
      </c>
    </row>
    <row r="522" spans="1:6" x14ac:dyDescent="0.3">
      <c r="A522" s="24">
        <v>1521</v>
      </c>
      <c r="B522" s="47" t="s">
        <v>11049</v>
      </c>
      <c r="C522" s="47" t="s">
        <v>99</v>
      </c>
      <c r="D522" s="47" t="s">
        <v>12371</v>
      </c>
      <c r="E522" s="13" t="s">
        <v>12824</v>
      </c>
      <c r="F522" s="13" t="s">
        <v>11861</v>
      </c>
    </row>
    <row r="523" spans="1:6" x14ac:dyDescent="0.3">
      <c r="A523" s="24">
        <v>1522</v>
      </c>
      <c r="B523" s="47" t="s">
        <v>11110</v>
      </c>
      <c r="C523" s="47" t="s">
        <v>101</v>
      </c>
      <c r="D523" s="47" t="s">
        <v>12371</v>
      </c>
      <c r="E523" s="13" t="s">
        <v>12825</v>
      </c>
      <c r="F523" s="13" t="s">
        <v>11992</v>
      </c>
    </row>
    <row r="524" spans="1:6" x14ac:dyDescent="0.3">
      <c r="A524" s="24">
        <v>1523</v>
      </c>
      <c r="B524" s="47" t="s">
        <v>11111</v>
      </c>
      <c r="C524" s="47" t="s">
        <v>101</v>
      </c>
      <c r="D524" s="47" t="s">
        <v>12371</v>
      </c>
      <c r="E524" s="13" t="s">
        <v>12826</v>
      </c>
      <c r="F524" s="13" t="s">
        <v>11993</v>
      </c>
    </row>
    <row r="525" spans="1:6" x14ac:dyDescent="0.3">
      <c r="A525" s="24">
        <v>1524</v>
      </c>
      <c r="B525" s="47" t="s">
        <v>11050</v>
      </c>
      <c r="C525" s="47" t="s">
        <v>99</v>
      </c>
      <c r="D525" s="47" t="s">
        <v>12371</v>
      </c>
      <c r="E525" s="13" t="s">
        <v>12827</v>
      </c>
      <c r="F525" s="13" t="s">
        <v>11862</v>
      </c>
    </row>
    <row r="526" spans="1:6" x14ac:dyDescent="0.3">
      <c r="A526" s="24">
        <v>1525</v>
      </c>
      <c r="B526" s="47" t="s">
        <v>5615</v>
      </c>
      <c r="C526" s="47" t="s">
        <v>5365</v>
      </c>
      <c r="D526" s="47" t="s">
        <v>95</v>
      </c>
      <c r="E526" s="13" t="s">
        <v>13159</v>
      </c>
      <c r="F526" s="13" t="s">
        <v>12028</v>
      </c>
    </row>
    <row r="527" spans="1:6" x14ac:dyDescent="0.3">
      <c r="A527" s="24">
        <v>1526</v>
      </c>
      <c r="B527" s="47" t="s">
        <v>11171</v>
      </c>
      <c r="C527" s="47" t="s">
        <v>94</v>
      </c>
      <c r="D527" s="47" t="s">
        <v>12371</v>
      </c>
      <c r="E527" s="13" t="s">
        <v>12828</v>
      </c>
      <c r="F527" s="13" t="s">
        <v>12121</v>
      </c>
    </row>
    <row r="528" spans="1:6" x14ac:dyDescent="0.3">
      <c r="A528" s="24">
        <v>1527</v>
      </c>
      <c r="B528" s="47" t="s">
        <v>5616</v>
      </c>
      <c r="C528" s="47" t="s">
        <v>5328</v>
      </c>
      <c r="D528" s="47" t="s">
        <v>12371</v>
      </c>
      <c r="E528" s="13" t="s">
        <v>12829</v>
      </c>
      <c r="F528" s="13" t="s">
        <v>11541</v>
      </c>
    </row>
    <row r="529" spans="1:6" x14ac:dyDescent="0.3">
      <c r="A529" s="24">
        <v>1528</v>
      </c>
      <c r="B529" s="47" t="s">
        <v>10939</v>
      </c>
      <c r="C529" s="47" t="s">
        <v>5321</v>
      </c>
      <c r="D529" s="47" t="s">
        <v>12371</v>
      </c>
      <c r="E529" s="13" t="s">
        <v>12830</v>
      </c>
      <c r="F529" s="13" t="s">
        <v>11593</v>
      </c>
    </row>
    <row r="530" spans="1:6" x14ac:dyDescent="0.3">
      <c r="A530" s="24">
        <v>1529</v>
      </c>
      <c r="B530" s="47" t="s">
        <v>5617</v>
      </c>
      <c r="C530" s="47" t="s">
        <v>99</v>
      </c>
      <c r="D530" s="47" t="s">
        <v>12371</v>
      </c>
      <c r="E530" s="13" t="s">
        <v>12831</v>
      </c>
      <c r="F530" s="13" t="s">
        <v>11863</v>
      </c>
    </row>
    <row r="531" spans="1:6" x14ac:dyDescent="0.3">
      <c r="A531" s="24">
        <v>1530</v>
      </c>
      <c r="B531" s="47" t="s">
        <v>5618</v>
      </c>
      <c r="C531" s="47" t="s">
        <v>5618</v>
      </c>
      <c r="D531" s="47" t="s">
        <v>95</v>
      </c>
      <c r="E531" s="13" t="s">
        <v>13160</v>
      </c>
      <c r="F531" s="13" t="s">
        <v>12015</v>
      </c>
    </row>
    <row r="532" spans="1:6" x14ac:dyDescent="0.3">
      <c r="A532" s="24">
        <v>1531</v>
      </c>
      <c r="B532" s="47" t="s">
        <v>5619</v>
      </c>
      <c r="C532" s="47" t="s">
        <v>114</v>
      </c>
      <c r="D532" s="47" t="s">
        <v>12371</v>
      </c>
      <c r="E532" s="13" t="s">
        <v>12832</v>
      </c>
      <c r="F532" s="13" t="s">
        <v>11517</v>
      </c>
    </row>
    <row r="533" spans="1:6" x14ac:dyDescent="0.3">
      <c r="A533" s="24">
        <v>1532</v>
      </c>
      <c r="B533" s="47" t="s">
        <v>10914</v>
      </c>
      <c r="C533" s="47" t="s">
        <v>5338</v>
      </c>
      <c r="D533" s="47" t="s">
        <v>12371</v>
      </c>
      <c r="E533" s="13" t="s">
        <v>12833</v>
      </c>
      <c r="F533" s="13" t="s">
        <v>11485</v>
      </c>
    </row>
    <row r="534" spans="1:6" x14ac:dyDescent="0.3">
      <c r="A534" s="24">
        <v>1533</v>
      </c>
      <c r="B534" s="47" t="s">
        <v>5620</v>
      </c>
      <c r="C534" s="47" t="s">
        <v>99</v>
      </c>
      <c r="D534" s="47" t="s">
        <v>12371</v>
      </c>
      <c r="E534" s="13" t="s">
        <v>12834</v>
      </c>
      <c r="F534" s="13" t="s">
        <v>11864</v>
      </c>
    </row>
    <row r="535" spans="1:6" x14ac:dyDescent="0.3">
      <c r="A535" s="24">
        <v>1534</v>
      </c>
      <c r="B535" s="47" t="s">
        <v>11051</v>
      </c>
      <c r="C535" s="47" t="s">
        <v>99</v>
      </c>
      <c r="D535" s="47" t="s">
        <v>12371</v>
      </c>
      <c r="E535" s="13" t="s">
        <v>12835</v>
      </c>
      <c r="F535" s="13" t="s">
        <v>11865</v>
      </c>
    </row>
    <row r="536" spans="1:6" x14ac:dyDescent="0.3">
      <c r="A536" s="24">
        <v>1535</v>
      </c>
      <c r="B536" s="47" t="s">
        <v>11134</v>
      </c>
      <c r="C536" s="47" t="s">
        <v>5365</v>
      </c>
      <c r="D536" s="47" t="s">
        <v>12371</v>
      </c>
      <c r="E536" s="13" t="s">
        <v>12836</v>
      </c>
      <c r="F536" s="13" t="s">
        <v>12029</v>
      </c>
    </row>
    <row r="537" spans="1:6" x14ac:dyDescent="0.3">
      <c r="A537" s="24">
        <v>1536</v>
      </c>
      <c r="B537" s="47" t="s">
        <v>11172</v>
      </c>
      <c r="C537" s="47" t="s">
        <v>94</v>
      </c>
      <c r="D537" s="47" t="s">
        <v>12371</v>
      </c>
      <c r="E537" s="13" t="s">
        <v>12837</v>
      </c>
      <c r="F537" s="13" t="s">
        <v>12122</v>
      </c>
    </row>
    <row r="538" spans="1:6" x14ac:dyDescent="0.3">
      <c r="A538" s="24">
        <v>1537</v>
      </c>
      <c r="B538" s="47" t="s">
        <v>11052</v>
      </c>
      <c r="C538" s="47" t="s">
        <v>99</v>
      </c>
      <c r="D538" s="47" t="s">
        <v>12371</v>
      </c>
      <c r="E538" s="13" t="s">
        <v>12838</v>
      </c>
      <c r="F538" s="13" t="s">
        <v>11866</v>
      </c>
    </row>
    <row r="539" spans="1:6" x14ac:dyDescent="0.3">
      <c r="A539" s="24">
        <v>1538</v>
      </c>
      <c r="B539" s="47" t="s">
        <v>11053</v>
      </c>
      <c r="C539" s="47" t="s">
        <v>99</v>
      </c>
      <c r="D539" s="47" t="s">
        <v>12371</v>
      </c>
      <c r="E539" s="13" t="s">
        <v>12839</v>
      </c>
      <c r="F539" s="13" t="s">
        <v>11867</v>
      </c>
    </row>
    <row r="540" spans="1:6" x14ac:dyDescent="0.3">
      <c r="A540" s="24">
        <v>1539</v>
      </c>
      <c r="B540" s="47" t="s">
        <v>10940</v>
      </c>
      <c r="C540" s="47" t="s">
        <v>5321</v>
      </c>
      <c r="D540" s="47" t="s">
        <v>12371</v>
      </c>
      <c r="E540" s="13" t="s">
        <v>12840</v>
      </c>
      <c r="F540" s="13" t="s">
        <v>11594</v>
      </c>
    </row>
    <row r="541" spans="1:6" x14ac:dyDescent="0.3">
      <c r="A541" s="24">
        <v>1540</v>
      </c>
      <c r="B541" s="47" t="s">
        <v>11189</v>
      </c>
      <c r="C541" s="47" t="s">
        <v>5381</v>
      </c>
      <c r="D541" s="47" t="s">
        <v>12371</v>
      </c>
      <c r="E541" s="13" t="s">
        <v>12841</v>
      </c>
      <c r="F541" s="13" t="s">
        <v>12166</v>
      </c>
    </row>
    <row r="542" spans="1:6" x14ac:dyDescent="0.3">
      <c r="A542" s="24">
        <v>1541</v>
      </c>
      <c r="B542" s="47" t="s">
        <v>11190</v>
      </c>
      <c r="C542" s="47" t="s">
        <v>5381</v>
      </c>
      <c r="D542" s="47" t="s">
        <v>12371</v>
      </c>
      <c r="E542" s="13" t="s">
        <v>12842</v>
      </c>
      <c r="F542" s="13" t="s">
        <v>12167</v>
      </c>
    </row>
    <row r="543" spans="1:6" x14ac:dyDescent="0.3">
      <c r="A543" s="24">
        <v>1542</v>
      </c>
      <c r="B543" s="47" t="s">
        <v>5621</v>
      </c>
      <c r="C543" s="47" t="s">
        <v>111</v>
      </c>
      <c r="D543" s="47" t="s">
        <v>12371</v>
      </c>
      <c r="E543" s="13" t="s">
        <v>12843</v>
      </c>
      <c r="F543" s="13" t="s">
        <v>11969</v>
      </c>
    </row>
    <row r="544" spans="1:6" x14ac:dyDescent="0.3">
      <c r="A544" s="24">
        <v>1543</v>
      </c>
      <c r="B544" s="47" t="s">
        <v>5622</v>
      </c>
      <c r="C544" s="47" t="s">
        <v>101</v>
      </c>
      <c r="D544" s="47" t="s">
        <v>95</v>
      </c>
      <c r="E544" s="13" t="s">
        <v>13161</v>
      </c>
      <c r="F544" s="13" t="s">
        <v>11994</v>
      </c>
    </row>
    <row r="545" spans="1:6" x14ac:dyDescent="0.3">
      <c r="A545" s="24">
        <v>1544</v>
      </c>
      <c r="B545" s="47" t="s">
        <v>5623</v>
      </c>
      <c r="C545" s="47" t="s">
        <v>101</v>
      </c>
      <c r="D545" s="47" t="s">
        <v>12371</v>
      </c>
      <c r="E545" s="13" t="s">
        <v>12844</v>
      </c>
      <c r="F545" s="13" t="s">
        <v>11995</v>
      </c>
    </row>
    <row r="546" spans="1:6" x14ac:dyDescent="0.3">
      <c r="A546" s="24">
        <v>1545</v>
      </c>
      <c r="B546" s="47" t="s">
        <v>5624</v>
      </c>
      <c r="C546" s="47" t="s">
        <v>101</v>
      </c>
      <c r="D546" s="47" t="s">
        <v>12371</v>
      </c>
      <c r="E546" s="13" t="s">
        <v>12845</v>
      </c>
      <c r="F546" s="13" t="s">
        <v>11996</v>
      </c>
    </row>
    <row r="547" spans="1:6" x14ac:dyDescent="0.3">
      <c r="A547" s="24">
        <v>1546</v>
      </c>
      <c r="B547" s="47" t="s">
        <v>11054</v>
      </c>
      <c r="C547" s="47" t="s">
        <v>99</v>
      </c>
      <c r="D547" s="47" t="s">
        <v>12371</v>
      </c>
      <c r="E547" s="13" t="s">
        <v>12846</v>
      </c>
      <c r="F547" s="13" t="s">
        <v>11868</v>
      </c>
    </row>
    <row r="548" spans="1:6" x14ac:dyDescent="0.3">
      <c r="A548" s="24">
        <v>1547</v>
      </c>
      <c r="B548" s="47" t="s">
        <v>11055</v>
      </c>
      <c r="C548" s="47" t="s">
        <v>99</v>
      </c>
      <c r="D548" s="47" t="s">
        <v>12371</v>
      </c>
      <c r="E548" s="13" t="s">
        <v>12847</v>
      </c>
      <c r="F548" s="13" t="s">
        <v>11869</v>
      </c>
    </row>
    <row r="549" spans="1:6" x14ac:dyDescent="0.3">
      <c r="A549" s="24">
        <v>1548</v>
      </c>
      <c r="B549" s="47" t="s">
        <v>5625</v>
      </c>
      <c r="C549" s="47" t="s">
        <v>99</v>
      </c>
      <c r="D549" s="47" t="s">
        <v>95</v>
      </c>
      <c r="E549" s="13" t="s">
        <v>13162</v>
      </c>
      <c r="F549" s="13" t="s">
        <v>11870</v>
      </c>
    </row>
    <row r="550" spans="1:6" x14ac:dyDescent="0.3">
      <c r="A550" s="24">
        <v>1549</v>
      </c>
      <c r="B550" s="47" t="s">
        <v>11056</v>
      </c>
      <c r="C550" s="47" t="s">
        <v>99</v>
      </c>
      <c r="D550" s="47" t="s">
        <v>12371</v>
      </c>
      <c r="E550" s="13" t="s">
        <v>12848</v>
      </c>
      <c r="F550" s="13" t="s">
        <v>11871</v>
      </c>
    </row>
    <row r="551" spans="1:6" x14ac:dyDescent="0.3">
      <c r="A551" s="24">
        <v>1550</v>
      </c>
      <c r="B551" s="47" t="s">
        <v>5626</v>
      </c>
      <c r="C551" s="47" t="s">
        <v>5338</v>
      </c>
      <c r="D551" s="47" t="s">
        <v>12371</v>
      </c>
      <c r="E551" s="13" t="s">
        <v>12849</v>
      </c>
      <c r="F551" s="13" t="s">
        <v>11486</v>
      </c>
    </row>
    <row r="552" spans="1:6" x14ac:dyDescent="0.3">
      <c r="A552" s="24">
        <v>1551</v>
      </c>
      <c r="B552" s="47" t="s">
        <v>5627</v>
      </c>
      <c r="C552" s="47" t="s">
        <v>114</v>
      </c>
      <c r="D552" s="47" t="s">
        <v>12371</v>
      </c>
      <c r="E552" s="13" t="s">
        <v>12850</v>
      </c>
      <c r="F552" s="13" t="s">
        <v>11518</v>
      </c>
    </row>
    <row r="553" spans="1:6" x14ac:dyDescent="0.3">
      <c r="A553" s="24">
        <v>1552</v>
      </c>
      <c r="B553" s="47" t="s">
        <v>5628</v>
      </c>
      <c r="C553" s="47" t="s">
        <v>114</v>
      </c>
      <c r="D553" s="47" t="s">
        <v>12371</v>
      </c>
      <c r="E553" s="13" t="s">
        <v>12851</v>
      </c>
      <c r="F553" s="13" t="s">
        <v>11519</v>
      </c>
    </row>
    <row r="554" spans="1:6" x14ac:dyDescent="0.3">
      <c r="A554" s="24">
        <v>1553</v>
      </c>
      <c r="B554" s="47" t="s">
        <v>5629</v>
      </c>
      <c r="C554" s="47" t="s">
        <v>99</v>
      </c>
      <c r="D554" s="47" t="s">
        <v>12371</v>
      </c>
      <c r="E554" s="13" t="s">
        <v>12852</v>
      </c>
      <c r="F554" s="13" t="s">
        <v>11872</v>
      </c>
    </row>
    <row r="555" spans="1:6" x14ac:dyDescent="0.3">
      <c r="A555" s="24">
        <v>1554</v>
      </c>
      <c r="B555" s="47" t="s">
        <v>11057</v>
      </c>
      <c r="C555" s="47" t="s">
        <v>99</v>
      </c>
      <c r="D555" s="47" t="s">
        <v>12371</v>
      </c>
      <c r="E555" s="13" t="s">
        <v>12853</v>
      </c>
      <c r="F555" s="13" t="s">
        <v>11873</v>
      </c>
    </row>
    <row r="556" spans="1:6" x14ac:dyDescent="0.3">
      <c r="A556" s="24">
        <v>1555</v>
      </c>
      <c r="B556" s="47" t="s">
        <v>11058</v>
      </c>
      <c r="C556" s="47" t="s">
        <v>99</v>
      </c>
      <c r="D556" s="47" t="s">
        <v>12371</v>
      </c>
      <c r="E556" s="13" t="s">
        <v>12854</v>
      </c>
      <c r="F556" s="13" t="s">
        <v>11874</v>
      </c>
    </row>
    <row r="557" spans="1:6" x14ac:dyDescent="0.3">
      <c r="A557" s="24">
        <v>1556</v>
      </c>
      <c r="B557" s="47" t="s">
        <v>11059</v>
      </c>
      <c r="C557" s="47" t="s">
        <v>99</v>
      </c>
      <c r="D557" s="47" t="s">
        <v>12371</v>
      </c>
      <c r="E557" s="13" t="s">
        <v>12855</v>
      </c>
      <c r="F557" s="13" t="s">
        <v>11875</v>
      </c>
    </row>
    <row r="558" spans="1:6" x14ac:dyDescent="0.3">
      <c r="A558" s="24">
        <v>1557</v>
      </c>
      <c r="B558" s="47" t="s">
        <v>5630</v>
      </c>
      <c r="C558" s="47" t="s">
        <v>5328</v>
      </c>
      <c r="D558" s="47" t="s">
        <v>12371</v>
      </c>
      <c r="E558" s="13" t="s">
        <v>12856</v>
      </c>
      <c r="F558" s="13" t="s">
        <v>11542</v>
      </c>
    </row>
    <row r="559" spans="1:6" x14ac:dyDescent="0.3">
      <c r="A559" s="24">
        <v>1558</v>
      </c>
      <c r="B559" s="47" t="s">
        <v>5631</v>
      </c>
      <c r="C559" s="47" t="s">
        <v>5321</v>
      </c>
      <c r="D559" s="47" t="s">
        <v>12371</v>
      </c>
      <c r="E559" s="13" t="s">
        <v>12857</v>
      </c>
      <c r="F559" s="13" t="s">
        <v>11597</v>
      </c>
    </row>
    <row r="560" spans="1:6" x14ac:dyDescent="0.3">
      <c r="A560" s="24">
        <v>1559</v>
      </c>
      <c r="B560" s="47" t="s">
        <v>5632</v>
      </c>
      <c r="C560" s="47" t="s">
        <v>5328</v>
      </c>
      <c r="D560" s="47" t="s">
        <v>95</v>
      </c>
      <c r="E560" s="13" t="s">
        <v>13163</v>
      </c>
      <c r="F560" s="13" t="s">
        <v>11543</v>
      </c>
    </row>
    <row r="561" spans="1:6" x14ac:dyDescent="0.3">
      <c r="A561" s="24">
        <v>1560</v>
      </c>
      <c r="B561" s="47" t="s">
        <v>5633</v>
      </c>
      <c r="C561" s="47" t="s">
        <v>5321</v>
      </c>
      <c r="D561" s="47" t="s">
        <v>12371</v>
      </c>
      <c r="E561" s="13" t="s">
        <v>12858</v>
      </c>
      <c r="F561" s="13" t="s">
        <v>11598</v>
      </c>
    </row>
    <row r="562" spans="1:6" x14ac:dyDescent="0.3">
      <c r="A562" s="24">
        <v>1561</v>
      </c>
      <c r="B562" s="47" t="s">
        <v>5634</v>
      </c>
      <c r="C562" s="47" t="s">
        <v>5321</v>
      </c>
      <c r="D562" s="47" t="s">
        <v>12371</v>
      </c>
      <c r="E562" s="13" t="s">
        <v>12859</v>
      </c>
      <c r="F562" s="13" t="s">
        <v>11595</v>
      </c>
    </row>
    <row r="563" spans="1:6" x14ac:dyDescent="0.3">
      <c r="A563" s="24">
        <v>1562</v>
      </c>
      <c r="B563" s="47" t="s">
        <v>5635</v>
      </c>
      <c r="C563" s="47" t="s">
        <v>5321</v>
      </c>
      <c r="D563" s="47" t="s">
        <v>12371</v>
      </c>
      <c r="E563" s="13" t="s">
        <v>12860</v>
      </c>
      <c r="F563" s="13" t="s">
        <v>11596</v>
      </c>
    </row>
    <row r="564" spans="1:6" x14ac:dyDescent="0.3">
      <c r="A564" s="24">
        <v>1563</v>
      </c>
      <c r="B564" s="47" t="s">
        <v>5636</v>
      </c>
      <c r="C564" s="47" t="s">
        <v>5321</v>
      </c>
      <c r="D564" s="47" t="s">
        <v>12371</v>
      </c>
      <c r="E564" s="13" t="s">
        <v>12861</v>
      </c>
      <c r="F564" s="13" t="s">
        <v>11599</v>
      </c>
    </row>
    <row r="565" spans="1:6" x14ac:dyDescent="0.3">
      <c r="A565" s="24">
        <v>1564</v>
      </c>
      <c r="B565" s="47" t="s">
        <v>10941</v>
      </c>
      <c r="C565" s="47" t="s">
        <v>5321</v>
      </c>
      <c r="D565" s="47" t="s">
        <v>12371</v>
      </c>
      <c r="E565" s="13" t="s">
        <v>12862</v>
      </c>
      <c r="F565" s="13" t="s">
        <v>11600</v>
      </c>
    </row>
    <row r="566" spans="1:6" x14ac:dyDescent="0.3">
      <c r="A566" s="24">
        <v>1565</v>
      </c>
      <c r="B566" s="47" t="s">
        <v>5637</v>
      </c>
      <c r="C566" s="47" t="s">
        <v>5321</v>
      </c>
      <c r="D566" s="47" t="s">
        <v>12371</v>
      </c>
      <c r="E566" s="13" t="s">
        <v>12863</v>
      </c>
      <c r="F566" s="13" t="s">
        <v>11601</v>
      </c>
    </row>
    <row r="567" spans="1:6" x14ac:dyDescent="0.3">
      <c r="A567" s="24">
        <v>1566</v>
      </c>
      <c r="B567" s="47" t="s">
        <v>10942</v>
      </c>
      <c r="C567" s="47" t="s">
        <v>5321</v>
      </c>
      <c r="D567" s="47" t="s">
        <v>12371</v>
      </c>
      <c r="E567" s="13" t="s">
        <v>12864</v>
      </c>
      <c r="F567" s="13" t="s">
        <v>11602</v>
      </c>
    </row>
    <row r="568" spans="1:6" x14ac:dyDescent="0.3">
      <c r="A568" s="24">
        <v>1567</v>
      </c>
      <c r="B568" s="47" t="s">
        <v>5638</v>
      </c>
      <c r="C568" s="47" t="s">
        <v>5328</v>
      </c>
      <c r="D568" s="47" t="s">
        <v>12371</v>
      </c>
      <c r="E568" s="13" t="s">
        <v>12865</v>
      </c>
      <c r="F568" s="13" t="s">
        <v>11544</v>
      </c>
    </row>
    <row r="569" spans="1:6" x14ac:dyDescent="0.3">
      <c r="A569" s="24">
        <v>1568</v>
      </c>
      <c r="B569" s="47" t="s">
        <v>10943</v>
      </c>
      <c r="C569" s="47" t="s">
        <v>5321</v>
      </c>
      <c r="D569" s="47" t="s">
        <v>12371</v>
      </c>
      <c r="E569" s="13" t="s">
        <v>12866</v>
      </c>
      <c r="F569" s="13" t="s">
        <v>11603</v>
      </c>
    </row>
    <row r="570" spans="1:6" x14ac:dyDescent="0.3">
      <c r="A570" s="24">
        <v>1569</v>
      </c>
      <c r="B570" s="47" t="s">
        <v>10944</v>
      </c>
      <c r="C570" s="47" t="s">
        <v>5321</v>
      </c>
      <c r="D570" s="47" t="s">
        <v>12371</v>
      </c>
      <c r="E570" s="13" t="s">
        <v>12867</v>
      </c>
      <c r="F570" s="13" t="s">
        <v>11604</v>
      </c>
    </row>
    <row r="571" spans="1:6" x14ac:dyDescent="0.3">
      <c r="A571" s="24">
        <v>1570</v>
      </c>
      <c r="B571" s="47" t="s">
        <v>5639</v>
      </c>
      <c r="C571" s="47" t="s">
        <v>5321</v>
      </c>
      <c r="D571" s="47" t="s">
        <v>12371</v>
      </c>
      <c r="E571" s="13" t="s">
        <v>12868</v>
      </c>
      <c r="F571" s="13" t="s">
        <v>11605</v>
      </c>
    </row>
    <row r="572" spans="1:6" x14ac:dyDescent="0.3">
      <c r="A572" s="24">
        <v>1571</v>
      </c>
      <c r="B572" s="47" t="s">
        <v>5640</v>
      </c>
      <c r="C572" s="47" t="s">
        <v>99</v>
      </c>
      <c r="D572" s="47" t="s">
        <v>12371</v>
      </c>
      <c r="E572" s="13" t="s">
        <v>12869</v>
      </c>
      <c r="F572" s="13" t="s">
        <v>11876</v>
      </c>
    </row>
    <row r="573" spans="1:6" x14ac:dyDescent="0.3">
      <c r="A573" s="24">
        <v>1572</v>
      </c>
      <c r="B573" s="47" t="s">
        <v>5641</v>
      </c>
      <c r="C573" s="47" t="s">
        <v>5381</v>
      </c>
      <c r="D573" s="47" t="s">
        <v>95</v>
      </c>
      <c r="E573" s="13" t="s">
        <v>13164</v>
      </c>
      <c r="F573" s="13" t="s">
        <v>12168</v>
      </c>
    </row>
    <row r="574" spans="1:6" x14ac:dyDescent="0.3">
      <c r="A574" s="24">
        <v>1573</v>
      </c>
      <c r="B574" s="47" t="s">
        <v>11191</v>
      </c>
      <c r="C574" s="47" t="s">
        <v>5381</v>
      </c>
      <c r="D574" s="47" t="s">
        <v>12371</v>
      </c>
      <c r="E574" s="13" t="s">
        <v>12870</v>
      </c>
      <c r="F574" s="13" t="s">
        <v>12169</v>
      </c>
    </row>
    <row r="575" spans="1:6" x14ac:dyDescent="0.3">
      <c r="A575" s="24">
        <v>1574</v>
      </c>
      <c r="B575" s="47" t="s">
        <v>11192</v>
      </c>
      <c r="C575" s="47" t="s">
        <v>5381</v>
      </c>
      <c r="D575" s="47" t="s">
        <v>12371</v>
      </c>
      <c r="E575" s="13" t="s">
        <v>12871</v>
      </c>
      <c r="F575" s="13" t="s">
        <v>12170</v>
      </c>
    </row>
    <row r="576" spans="1:6" x14ac:dyDescent="0.3">
      <c r="A576" s="24">
        <v>1575</v>
      </c>
      <c r="B576" s="47" t="s">
        <v>5642</v>
      </c>
      <c r="C576" s="47" t="s">
        <v>5381</v>
      </c>
      <c r="D576" s="47" t="s">
        <v>12371</v>
      </c>
      <c r="E576" s="13" t="s">
        <v>12872</v>
      </c>
      <c r="F576" s="13" t="s">
        <v>12171</v>
      </c>
    </row>
    <row r="577" spans="1:6" x14ac:dyDescent="0.3">
      <c r="A577" s="24">
        <v>1576</v>
      </c>
      <c r="B577" s="47" t="s">
        <v>11193</v>
      </c>
      <c r="C577" s="47" t="s">
        <v>5381</v>
      </c>
      <c r="D577" s="47" t="s">
        <v>12371</v>
      </c>
      <c r="E577" s="13" t="s">
        <v>12873</v>
      </c>
      <c r="F577" s="13" t="s">
        <v>12172</v>
      </c>
    </row>
    <row r="578" spans="1:6" x14ac:dyDescent="0.3">
      <c r="A578" s="24">
        <v>1577</v>
      </c>
      <c r="B578" s="47" t="s">
        <v>5643</v>
      </c>
      <c r="C578" s="47" t="s">
        <v>5381</v>
      </c>
      <c r="D578" s="47" t="s">
        <v>12371</v>
      </c>
      <c r="E578" s="13" t="s">
        <v>12874</v>
      </c>
      <c r="F578" s="13" t="s">
        <v>12173</v>
      </c>
    </row>
    <row r="579" spans="1:6" x14ac:dyDescent="0.3">
      <c r="A579" s="24">
        <v>1578</v>
      </c>
      <c r="B579" s="47" t="s">
        <v>11194</v>
      </c>
      <c r="C579" s="47" t="s">
        <v>5381</v>
      </c>
      <c r="D579" s="47" t="s">
        <v>12371</v>
      </c>
      <c r="E579" s="13" t="s">
        <v>12875</v>
      </c>
      <c r="F579" s="13" t="s">
        <v>12174</v>
      </c>
    </row>
    <row r="580" spans="1:6" x14ac:dyDescent="0.3">
      <c r="A580" s="24">
        <v>1579</v>
      </c>
      <c r="B580" s="47" t="s">
        <v>11195</v>
      </c>
      <c r="C580" s="47" t="s">
        <v>5381</v>
      </c>
      <c r="D580" s="47" t="s">
        <v>12371</v>
      </c>
      <c r="E580" s="13" t="s">
        <v>12876</v>
      </c>
      <c r="F580" s="13" t="s">
        <v>12175</v>
      </c>
    </row>
    <row r="581" spans="1:6" x14ac:dyDescent="0.3">
      <c r="A581" s="24">
        <v>1580</v>
      </c>
      <c r="B581" s="47" t="s">
        <v>11196</v>
      </c>
      <c r="C581" s="47" t="s">
        <v>5381</v>
      </c>
      <c r="D581" s="47" t="s">
        <v>12371</v>
      </c>
      <c r="E581" s="13" t="s">
        <v>12877</v>
      </c>
      <c r="F581" s="13" t="s">
        <v>12176</v>
      </c>
    </row>
    <row r="582" spans="1:6" x14ac:dyDescent="0.3">
      <c r="A582" s="24">
        <v>1581</v>
      </c>
      <c r="B582" s="47" t="s">
        <v>11197</v>
      </c>
      <c r="C582" s="47" t="s">
        <v>5381</v>
      </c>
      <c r="D582" s="47" t="s">
        <v>12371</v>
      </c>
      <c r="E582" s="13" t="s">
        <v>12878</v>
      </c>
      <c r="F582" s="13" t="s">
        <v>12177</v>
      </c>
    </row>
    <row r="583" spans="1:6" x14ac:dyDescent="0.3">
      <c r="A583" s="24">
        <v>1582</v>
      </c>
      <c r="B583" s="47" t="s">
        <v>11198</v>
      </c>
      <c r="C583" s="47" t="s">
        <v>5381</v>
      </c>
      <c r="D583" s="47" t="s">
        <v>12371</v>
      </c>
      <c r="E583" s="13" t="s">
        <v>12879</v>
      </c>
      <c r="F583" s="13" t="s">
        <v>12178</v>
      </c>
    </row>
    <row r="584" spans="1:6" x14ac:dyDescent="0.3">
      <c r="A584" s="24">
        <v>1583</v>
      </c>
      <c r="B584" s="47" t="s">
        <v>11199</v>
      </c>
      <c r="C584" s="47" t="s">
        <v>5381</v>
      </c>
      <c r="D584" s="47" t="s">
        <v>12371</v>
      </c>
      <c r="E584" s="13" t="s">
        <v>12880</v>
      </c>
      <c r="F584" s="13" t="s">
        <v>12179</v>
      </c>
    </row>
    <row r="585" spans="1:6" x14ac:dyDescent="0.3">
      <c r="A585" s="24">
        <v>1584</v>
      </c>
      <c r="B585" s="47" t="s">
        <v>11200</v>
      </c>
      <c r="C585" s="47" t="s">
        <v>5381</v>
      </c>
      <c r="D585" s="47" t="s">
        <v>12371</v>
      </c>
      <c r="E585" s="13" t="s">
        <v>12881</v>
      </c>
      <c r="F585" s="13" t="s">
        <v>12180</v>
      </c>
    </row>
    <row r="586" spans="1:6" x14ac:dyDescent="0.3">
      <c r="A586" s="24">
        <v>1585</v>
      </c>
      <c r="B586" s="47" t="s">
        <v>11201</v>
      </c>
      <c r="C586" s="47" t="s">
        <v>5381</v>
      </c>
      <c r="D586" s="47" t="s">
        <v>12371</v>
      </c>
      <c r="E586" s="13" t="s">
        <v>12882</v>
      </c>
      <c r="F586" s="13" t="s">
        <v>12181</v>
      </c>
    </row>
    <row r="587" spans="1:6" x14ac:dyDescent="0.3">
      <c r="A587" s="24">
        <v>1586</v>
      </c>
      <c r="B587" s="47" t="s">
        <v>11202</v>
      </c>
      <c r="C587" s="47" t="s">
        <v>5381</v>
      </c>
      <c r="D587" s="47" t="s">
        <v>12371</v>
      </c>
      <c r="E587" s="13" t="s">
        <v>12883</v>
      </c>
      <c r="F587" s="13" t="s">
        <v>12182</v>
      </c>
    </row>
    <row r="588" spans="1:6" x14ac:dyDescent="0.3">
      <c r="A588" s="24">
        <v>1587</v>
      </c>
      <c r="B588" s="47" t="s">
        <v>11203</v>
      </c>
      <c r="C588" s="47" t="s">
        <v>5381</v>
      </c>
      <c r="D588" s="47" t="s">
        <v>12371</v>
      </c>
      <c r="E588" s="13" t="s">
        <v>12884</v>
      </c>
      <c r="F588" s="13" t="s">
        <v>12183</v>
      </c>
    </row>
    <row r="589" spans="1:6" x14ac:dyDescent="0.3">
      <c r="A589" s="24">
        <v>1588</v>
      </c>
      <c r="B589" s="47" t="s">
        <v>11204</v>
      </c>
      <c r="C589" s="47" t="s">
        <v>5381</v>
      </c>
      <c r="D589" s="47" t="s">
        <v>12371</v>
      </c>
      <c r="E589" s="13" t="s">
        <v>12885</v>
      </c>
      <c r="F589" s="13" t="s">
        <v>12184</v>
      </c>
    </row>
    <row r="590" spans="1:6" x14ac:dyDescent="0.3">
      <c r="A590" s="24">
        <v>1589</v>
      </c>
      <c r="B590" s="47" t="s">
        <v>11205</v>
      </c>
      <c r="C590" s="47" t="s">
        <v>5381</v>
      </c>
      <c r="D590" s="47" t="s">
        <v>12371</v>
      </c>
      <c r="E590" s="13" t="s">
        <v>12886</v>
      </c>
      <c r="F590" s="13" t="s">
        <v>12185</v>
      </c>
    </row>
    <row r="591" spans="1:6" x14ac:dyDescent="0.3">
      <c r="A591" s="24">
        <v>1590</v>
      </c>
      <c r="B591" s="47" t="s">
        <v>11206</v>
      </c>
      <c r="C591" s="47" t="s">
        <v>5381</v>
      </c>
      <c r="D591" s="47" t="s">
        <v>12371</v>
      </c>
      <c r="E591" s="13" t="s">
        <v>12887</v>
      </c>
      <c r="F591" s="13" t="s">
        <v>12186</v>
      </c>
    </row>
    <row r="592" spans="1:6" x14ac:dyDescent="0.3">
      <c r="A592" s="24">
        <v>1591</v>
      </c>
      <c r="B592" s="47" t="s">
        <v>11207</v>
      </c>
      <c r="C592" s="47" t="s">
        <v>5381</v>
      </c>
      <c r="D592" s="47" t="s">
        <v>12371</v>
      </c>
      <c r="E592" s="13" t="s">
        <v>12888</v>
      </c>
      <c r="F592" s="13" t="s">
        <v>12187</v>
      </c>
    </row>
    <row r="593" spans="1:6" x14ac:dyDescent="0.3">
      <c r="A593" s="24">
        <v>1592</v>
      </c>
      <c r="B593" s="47" t="s">
        <v>11208</v>
      </c>
      <c r="C593" s="47" t="s">
        <v>5381</v>
      </c>
      <c r="D593" s="47" t="s">
        <v>12371</v>
      </c>
      <c r="E593" s="13" t="s">
        <v>12889</v>
      </c>
      <c r="F593" s="13" t="s">
        <v>12188</v>
      </c>
    </row>
    <row r="594" spans="1:6" x14ac:dyDescent="0.3">
      <c r="A594" s="24">
        <v>1593</v>
      </c>
      <c r="B594" s="47" t="s">
        <v>11209</v>
      </c>
      <c r="C594" s="47" t="s">
        <v>5381</v>
      </c>
      <c r="D594" s="47" t="s">
        <v>12371</v>
      </c>
      <c r="E594" s="13" t="s">
        <v>12890</v>
      </c>
      <c r="F594" s="13" t="s">
        <v>12189</v>
      </c>
    </row>
    <row r="595" spans="1:6" x14ac:dyDescent="0.3">
      <c r="A595" s="24">
        <v>1594</v>
      </c>
      <c r="B595" s="47" t="s">
        <v>11210</v>
      </c>
      <c r="C595" s="47" t="s">
        <v>5381</v>
      </c>
      <c r="D595" s="47" t="s">
        <v>12371</v>
      </c>
      <c r="E595" s="13" t="s">
        <v>12891</v>
      </c>
      <c r="F595" s="13" t="s">
        <v>12190</v>
      </c>
    </row>
    <row r="596" spans="1:6" x14ac:dyDescent="0.3">
      <c r="A596" s="24">
        <v>1595</v>
      </c>
      <c r="B596" s="47" t="s">
        <v>11211</v>
      </c>
      <c r="C596" s="47" t="s">
        <v>5381</v>
      </c>
      <c r="D596" s="47" t="s">
        <v>12371</v>
      </c>
      <c r="E596" s="13" t="s">
        <v>12892</v>
      </c>
      <c r="F596" s="13" t="s">
        <v>12191</v>
      </c>
    </row>
    <row r="597" spans="1:6" x14ac:dyDescent="0.3">
      <c r="A597" s="24">
        <v>1596</v>
      </c>
      <c r="B597" s="47" t="s">
        <v>11212</v>
      </c>
      <c r="C597" s="47" t="s">
        <v>5381</v>
      </c>
      <c r="D597" s="47" t="s">
        <v>12371</v>
      </c>
      <c r="E597" s="13" t="s">
        <v>12893</v>
      </c>
      <c r="F597" s="13" t="s">
        <v>12192</v>
      </c>
    </row>
    <row r="598" spans="1:6" x14ac:dyDescent="0.3">
      <c r="A598" s="24">
        <v>1597</v>
      </c>
      <c r="B598" s="47" t="s">
        <v>11213</v>
      </c>
      <c r="C598" s="47" t="s">
        <v>5381</v>
      </c>
      <c r="D598" s="47" t="s">
        <v>12371</v>
      </c>
      <c r="E598" s="13" t="s">
        <v>12894</v>
      </c>
      <c r="F598" s="13" t="s">
        <v>12193</v>
      </c>
    </row>
    <row r="599" spans="1:6" x14ac:dyDescent="0.3">
      <c r="A599" s="24">
        <v>1598</v>
      </c>
      <c r="B599" s="47" t="s">
        <v>11214</v>
      </c>
      <c r="C599" s="47" t="s">
        <v>5381</v>
      </c>
      <c r="D599" s="47" t="s">
        <v>12371</v>
      </c>
      <c r="E599" s="13" t="s">
        <v>12895</v>
      </c>
      <c r="F599" s="13" t="s">
        <v>12194</v>
      </c>
    </row>
    <row r="600" spans="1:6" x14ac:dyDescent="0.3">
      <c r="A600" s="24">
        <v>1599</v>
      </c>
      <c r="B600" s="47" t="s">
        <v>11215</v>
      </c>
      <c r="C600" s="47" t="s">
        <v>5381</v>
      </c>
      <c r="D600" s="47" t="s">
        <v>12371</v>
      </c>
      <c r="E600" s="13" t="s">
        <v>12896</v>
      </c>
      <c r="F600" s="13" t="s">
        <v>12195</v>
      </c>
    </row>
    <row r="601" spans="1:6" x14ac:dyDescent="0.3">
      <c r="A601" s="24">
        <v>1600</v>
      </c>
      <c r="B601" s="47" t="s">
        <v>11216</v>
      </c>
      <c r="C601" s="47" t="s">
        <v>5381</v>
      </c>
      <c r="D601" s="47" t="s">
        <v>12371</v>
      </c>
      <c r="E601" s="13" t="s">
        <v>12897</v>
      </c>
      <c r="F601" s="13" t="s">
        <v>12196</v>
      </c>
    </row>
    <row r="602" spans="1:6" x14ac:dyDescent="0.3">
      <c r="A602" s="24">
        <v>1601</v>
      </c>
      <c r="B602" s="47" t="s">
        <v>11217</v>
      </c>
      <c r="C602" s="47" t="s">
        <v>5381</v>
      </c>
      <c r="D602" s="47" t="s">
        <v>12371</v>
      </c>
      <c r="E602" s="13" t="s">
        <v>12898</v>
      </c>
      <c r="F602" s="13" t="s">
        <v>12197</v>
      </c>
    </row>
    <row r="603" spans="1:6" x14ac:dyDescent="0.3">
      <c r="A603" s="24">
        <v>1602</v>
      </c>
      <c r="B603" s="47" t="s">
        <v>5644</v>
      </c>
      <c r="C603" s="47" t="s">
        <v>5381</v>
      </c>
      <c r="D603" s="47" t="s">
        <v>12371</v>
      </c>
      <c r="E603" s="13" t="s">
        <v>12899</v>
      </c>
      <c r="F603" s="13" t="s">
        <v>12198</v>
      </c>
    </row>
    <row r="604" spans="1:6" x14ac:dyDescent="0.3">
      <c r="A604" s="24">
        <v>1603</v>
      </c>
      <c r="B604" s="47" t="s">
        <v>5645</v>
      </c>
      <c r="C604" s="47" t="s">
        <v>5381</v>
      </c>
      <c r="D604" s="47" t="s">
        <v>12371</v>
      </c>
      <c r="E604" s="13" t="s">
        <v>12900</v>
      </c>
      <c r="F604" s="13" t="s">
        <v>12199</v>
      </c>
    </row>
    <row r="605" spans="1:6" x14ac:dyDescent="0.3">
      <c r="A605" s="24">
        <v>1604</v>
      </c>
      <c r="B605" s="47" t="s">
        <v>11218</v>
      </c>
      <c r="C605" s="47" t="s">
        <v>5381</v>
      </c>
      <c r="D605" s="47" t="s">
        <v>12371</v>
      </c>
      <c r="E605" s="13" t="s">
        <v>12901</v>
      </c>
      <c r="F605" s="13" t="s">
        <v>12200</v>
      </c>
    </row>
    <row r="606" spans="1:6" x14ac:dyDescent="0.3">
      <c r="A606" s="24">
        <v>1605</v>
      </c>
      <c r="B606" s="47" t="s">
        <v>11219</v>
      </c>
      <c r="C606" s="47" t="s">
        <v>5381</v>
      </c>
      <c r="D606" s="47" t="s">
        <v>12371</v>
      </c>
      <c r="E606" s="13" t="s">
        <v>12902</v>
      </c>
      <c r="F606" s="13" t="s">
        <v>12201</v>
      </c>
    </row>
    <row r="607" spans="1:6" x14ac:dyDescent="0.3">
      <c r="A607" s="24">
        <v>1606</v>
      </c>
      <c r="B607" s="47" t="s">
        <v>11220</v>
      </c>
      <c r="C607" s="47" t="s">
        <v>5381</v>
      </c>
      <c r="D607" s="47" t="s">
        <v>12371</v>
      </c>
      <c r="E607" s="13" t="s">
        <v>12903</v>
      </c>
      <c r="F607" s="13" t="s">
        <v>12202</v>
      </c>
    </row>
    <row r="608" spans="1:6" x14ac:dyDescent="0.3">
      <c r="A608" s="24">
        <v>1607</v>
      </c>
      <c r="B608" s="47" t="s">
        <v>11221</v>
      </c>
      <c r="C608" s="47" t="s">
        <v>5381</v>
      </c>
      <c r="D608" s="47" t="s">
        <v>12371</v>
      </c>
      <c r="E608" s="13" t="s">
        <v>12904</v>
      </c>
      <c r="F608" s="13" t="s">
        <v>12203</v>
      </c>
    </row>
    <row r="609" spans="1:6" x14ac:dyDescent="0.3">
      <c r="A609" s="24">
        <v>1608</v>
      </c>
      <c r="B609" s="47" t="s">
        <v>5646</v>
      </c>
      <c r="C609" s="47" t="s">
        <v>5381</v>
      </c>
      <c r="D609" s="47" t="s">
        <v>12371</v>
      </c>
      <c r="E609" s="13" t="s">
        <v>12905</v>
      </c>
      <c r="F609" s="13" t="s">
        <v>12204</v>
      </c>
    </row>
    <row r="610" spans="1:6" x14ac:dyDescent="0.3">
      <c r="A610" s="24">
        <v>1609</v>
      </c>
      <c r="B610" s="47" t="s">
        <v>11222</v>
      </c>
      <c r="C610" s="47" t="s">
        <v>5381</v>
      </c>
      <c r="D610" s="47" t="s">
        <v>12371</v>
      </c>
      <c r="E610" s="13" t="s">
        <v>12906</v>
      </c>
      <c r="F610" s="13" t="s">
        <v>12205</v>
      </c>
    </row>
    <row r="611" spans="1:6" x14ac:dyDescent="0.3">
      <c r="A611" s="24">
        <v>1610</v>
      </c>
      <c r="B611" s="47" t="s">
        <v>5647</v>
      </c>
      <c r="C611" s="47" t="s">
        <v>5381</v>
      </c>
      <c r="D611" s="47" t="s">
        <v>12371</v>
      </c>
      <c r="E611" s="13" t="s">
        <v>12907</v>
      </c>
      <c r="F611" s="13" t="s">
        <v>12206</v>
      </c>
    </row>
    <row r="612" spans="1:6" x14ac:dyDescent="0.3">
      <c r="A612" s="24">
        <v>1611</v>
      </c>
      <c r="B612" s="47" t="s">
        <v>5648</v>
      </c>
      <c r="C612" s="47" t="s">
        <v>5381</v>
      </c>
      <c r="D612" s="47" t="s">
        <v>12371</v>
      </c>
      <c r="E612" s="13" t="s">
        <v>12908</v>
      </c>
      <c r="F612" s="13" t="s">
        <v>12207</v>
      </c>
    </row>
    <row r="613" spans="1:6" x14ac:dyDescent="0.3">
      <c r="A613" s="24">
        <v>1612</v>
      </c>
      <c r="B613" s="47" t="s">
        <v>11223</v>
      </c>
      <c r="C613" s="47" t="s">
        <v>5381</v>
      </c>
      <c r="D613" s="47" t="s">
        <v>12371</v>
      </c>
      <c r="E613" s="13" t="s">
        <v>12909</v>
      </c>
      <c r="F613" s="13" t="s">
        <v>12208</v>
      </c>
    </row>
    <row r="614" spans="1:6" x14ac:dyDescent="0.3">
      <c r="A614" s="24">
        <v>1613</v>
      </c>
      <c r="B614" s="47" t="s">
        <v>11224</v>
      </c>
      <c r="C614" s="47" t="s">
        <v>5381</v>
      </c>
      <c r="D614" s="47" t="s">
        <v>12371</v>
      </c>
      <c r="E614" s="13" t="s">
        <v>12910</v>
      </c>
      <c r="F614" s="13" t="s">
        <v>12209</v>
      </c>
    </row>
    <row r="615" spans="1:6" x14ac:dyDescent="0.3">
      <c r="A615" s="24">
        <v>1614</v>
      </c>
      <c r="B615" s="47" t="s">
        <v>11225</v>
      </c>
      <c r="C615" s="47" t="s">
        <v>5381</v>
      </c>
      <c r="D615" s="47" t="s">
        <v>12371</v>
      </c>
      <c r="E615" s="13" t="s">
        <v>12911</v>
      </c>
      <c r="F615" s="13" t="s">
        <v>12210</v>
      </c>
    </row>
    <row r="616" spans="1:6" x14ac:dyDescent="0.3">
      <c r="A616" s="24">
        <v>1615</v>
      </c>
      <c r="B616" s="47" t="s">
        <v>11226</v>
      </c>
      <c r="C616" s="47" t="s">
        <v>5381</v>
      </c>
      <c r="D616" s="47" t="s">
        <v>12371</v>
      </c>
      <c r="E616" s="13" t="s">
        <v>12912</v>
      </c>
      <c r="F616" s="13" t="s">
        <v>12211</v>
      </c>
    </row>
    <row r="617" spans="1:6" x14ac:dyDescent="0.3">
      <c r="A617" s="24">
        <v>1616</v>
      </c>
      <c r="B617" s="47" t="s">
        <v>11227</v>
      </c>
      <c r="C617" s="47" t="s">
        <v>5381</v>
      </c>
      <c r="D617" s="47" t="s">
        <v>12371</v>
      </c>
      <c r="E617" s="13" t="s">
        <v>12913</v>
      </c>
      <c r="F617" s="13" t="s">
        <v>12212</v>
      </c>
    </row>
    <row r="618" spans="1:6" x14ac:dyDescent="0.3">
      <c r="A618" s="24">
        <v>1617</v>
      </c>
      <c r="B618" s="47" t="s">
        <v>11228</v>
      </c>
      <c r="C618" s="47" t="s">
        <v>5381</v>
      </c>
      <c r="D618" s="47" t="s">
        <v>12371</v>
      </c>
      <c r="E618" s="13" t="s">
        <v>12914</v>
      </c>
      <c r="F618" s="13" t="s">
        <v>12213</v>
      </c>
    </row>
    <row r="619" spans="1:6" x14ac:dyDescent="0.3">
      <c r="A619" s="24">
        <v>1618</v>
      </c>
      <c r="B619" s="47" t="s">
        <v>11229</v>
      </c>
      <c r="C619" s="47" t="s">
        <v>5381</v>
      </c>
      <c r="D619" s="47" t="s">
        <v>12371</v>
      </c>
      <c r="E619" s="13" t="s">
        <v>12915</v>
      </c>
      <c r="F619" s="13" t="s">
        <v>12214</v>
      </c>
    </row>
    <row r="620" spans="1:6" x14ac:dyDescent="0.3">
      <c r="A620" s="24">
        <v>1619</v>
      </c>
      <c r="B620" s="47" t="s">
        <v>11230</v>
      </c>
      <c r="C620" s="47" t="s">
        <v>5381</v>
      </c>
      <c r="D620" s="47" t="s">
        <v>12371</v>
      </c>
      <c r="E620" s="13" t="s">
        <v>12916</v>
      </c>
      <c r="F620" s="13" t="s">
        <v>12215</v>
      </c>
    </row>
    <row r="621" spans="1:6" x14ac:dyDescent="0.3">
      <c r="A621" s="24">
        <v>1620</v>
      </c>
      <c r="B621" s="47" t="s">
        <v>11231</v>
      </c>
      <c r="C621" s="47" t="s">
        <v>5381</v>
      </c>
      <c r="D621" s="47" t="s">
        <v>12371</v>
      </c>
      <c r="E621" s="13" t="s">
        <v>12917</v>
      </c>
      <c r="F621" s="13" t="s">
        <v>12216</v>
      </c>
    </row>
    <row r="622" spans="1:6" x14ac:dyDescent="0.3">
      <c r="A622" s="24">
        <v>1621</v>
      </c>
      <c r="B622" s="47" t="s">
        <v>5649</v>
      </c>
      <c r="C622" s="47" t="s">
        <v>5381</v>
      </c>
      <c r="D622" s="47" t="s">
        <v>12371</v>
      </c>
      <c r="E622" s="13" t="s">
        <v>12918</v>
      </c>
      <c r="F622" s="13" t="s">
        <v>12217</v>
      </c>
    </row>
    <row r="623" spans="1:6" x14ac:dyDescent="0.3">
      <c r="A623" s="24">
        <v>1622</v>
      </c>
      <c r="B623" s="47" t="s">
        <v>11232</v>
      </c>
      <c r="C623" s="47" t="s">
        <v>5381</v>
      </c>
      <c r="D623" s="47" t="s">
        <v>12371</v>
      </c>
      <c r="E623" s="13" t="s">
        <v>12919</v>
      </c>
      <c r="F623" s="13" t="s">
        <v>12218</v>
      </c>
    </row>
    <row r="624" spans="1:6" x14ac:dyDescent="0.3">
      <c r="A624" s="24">
        <v>1623</v>
      </c>
      <c r="B624" s="47" t="s">
        <v>11233</v>
      </c>
      <c r="C624" s="47" t="s">
        <v>5381</v>
      </c>
      <c r="D624" s="47" t="s">
        <v>12371</v>
      </c>
      <c r="E624" s="13" t="s">
        <v>12920</v>
      </c>
      <c r="F624" s="13" t="s">
        <v>12219</v>
      </c>
    </row>
    <row r="625" spans="1:6" x14ac:dyDescent="0.3">
      <c r="A625" s="24">
        <v>1624</v>
      </c>
      <c r="B625" s="47" t="s">
        <v>11234</v>
      </c>
      <c r="C625" s="47" t="s">
        <v>5381</v>
      </c>
      <c r="D625" s="47" t="s">
        <v>12371</v>
      </c>
      <c r="E625" s="13" t="s">
        <v>12921</v>
      </c>
      <c r="F625" s="13" t="s">
        <v>12220</v>
      </c>
    </row>
    <row r="626" spans="1:6" x14ac:dyDescent="0.3">
      <c r="A626" s="24">
        <v>1625</v>
      </c>
      <c r="B626" s="47" t="s">
        <v>11235</v>
      </c>
      <c r="C626" s="47" t="s">
        <v>5381</v>
      </c>
      <c r="D626" s="47" t="s">
        <v>12371</v>
      </c>
      <c r="E626" s="13" t="s">
        <v>12922</v>
      </c>
      <c r="F626" s="13" t="s">
        <v>12221</v>
      </c>
    </row>
    <row r="627" spans="1:6" x14ac:dyDescent="0.3">
      <c r="A627" s="24">
        <v>1626</v>
      </c>
      <c r="B627" s="47" t="s">
        <v>11236</v>
      </c>
      <c r="C627" s="47" t="s">
        <v>5381</v>
      </c>
      <c r="D627" s="47" t="s">
        <v>12371</v>
      </c>
      <c r="E627" s="13" t="s">
        <v>12923</v>
      </c>
      <c r="F627" s="13" t="s">
        <v>12222</v>
      </c>
    </row>
    <row r="628" spans="1:6" x14ac:dyDescent="0.3">
      <c r="A628" s="24">
        <v>1627</v>
      </c>
      <c r="B628" s="47" t="s">
        <v>11237</v>
      </c>
      <c r="C628" s="47" t="s">
        <v>5381</v>
      </c>
      <c r="D628" s="47" t="s">
        <v>12371</v>
      </c>
      <c r="E628" s="13" t="s">
        <v>12924</v>
      </c>
      <c r="F628" s="13" t="s">
        <v>12223</v>
      </c>
    </row>
    <row r="629" spans="1:6" x14ac:dyDescent="0.3">
      <c r="A629" s="24">
        <v>1628</v>
      </c>
      <c r="B629" s="47" t="s">
        <v>11238</v>
      </c>
      <c r="C629" s="47" t="s">
        <v>5381</v>
      </c>
      <c r="D629" s="47" t="s">
        <v>12371</v>
      </c>
      <c r="E629" s="13" t="s">
        <v>12925</v>
      </c>
      <c r="F629" s="13" t="s">
        <v>12224</v>
      </c>
    </row>
    <row r="630" spans="1:6" x14ac:dyDescent="0.3">
      <c r="A630" s="24">
        <v>1629</v>
      </c>
      <c r="B630" s="47" t="s">
        <v>11239</v>
      </c>
      <c r="C630" s="47" t="s">
        <v>5381</v>
      </c>
      <c r="D630" s="47" t="s">
        <v>12371</v>
      </c>
      <c r="E630" s="13" t="s">
        <v>12926</v>
      </c>
      <c r="F630" s="13" t="s">
        <v>12225</v>
      </c>
    </row>
    <row r="631" spans="1:6" x14ac:dyDescent="0.3">
      <c r="A631" s="24">
        <v>1630</v>
      </c>
      <c r="B631" s="47" t="s">
        <v>11240</v>
      </c>
      <c r="C631" s="47" t="s">
        <v>5381</v>
      </c>
      <c r="D631" s="47" t="s">
        <v>12371</v>
      </c>
      <c r="E631" s="13" t="s">
        <v>12927</v>
      </c>
      <c r="F631" s="13" t="s">
        <v>12226</v>
      </c>
    </row>
    <row r="632" spans="1:6" x14ac:dyDescent="0.3">
      <c r="A632" s="24">
        <v>1631</v>
      </c>
      <c r="B632" s="47" t="s">
        <v>11241</v>
      </c>
      <c r="C632" s="47" t="s">
        <v>5381</v>
      </c>
      <c r="D632" s="47" t="s">
        <v>12371</v>
      </c>
      <c r="E632" s="13" t="s">
        <v>12928</v>
      </c>
      <c r="F632" s="13" t="s">
        <v>12227</v>
      </c>
    </row>
    <row r="633" spans="1:6" x14ac:dyDescent="0.3">
      <c r="A633" s="24">
        <v>1632</v>
      </c>
      <c r="B633" s="47" t="s">
        <v>11242</v>
      </c>
      <c r="C633" s="47" t="s">
        <v>5381</v>
      </c>
      <c r="D633" s="47" t="s">
        <v>12371</v>
      </c>
      <c r="E633" s="13" t="s">
        <v>12929</v>
      </c>
      <c r="F633" s="13" t="s">
        <v>12228</v>
      </c>
    </row>
    <row r="634" spans="1:6" x14ac:dyDescent="0.3">
      <c r="A634" s="24">
        <v>1633</v>
      </c>
      <c r="B634" s="47" t="s">
        <v>11243</v>
      </c>
      <c r="C634" s="47" t="s">
        <v>5381</v>
      </c>
      <c r="D634" s="47" t="s">
        <v>12371</v>
      </c>
      <c r="E634" s="13" t="s">
        <v>12930</v>
      </c>
      <c r="F634" s="13" t="s">
        <v>12229</v>
      </c>
    </row>
    <row r="635" spans="1:6" x14ac:dyDescent="0.3">
      <c r="A635" s="24">
        <v>1634</v>
      </c>
      <c r="B635" s="47" t="s">
        <v>11244</v>
      </c>
      <c r="C635" s="47" t="s">
        <v>5381</v>
      </c>
      <c r="D635" s="47" t="s">
        <v>12371</v>
      </c>
      <c r="E635" s="13" t="s">
        <v>12931</v>
      </c>
      <c r="F635" s="13" t="s">
        <v>12230</v>
      </c>
    </row>
    <row r="636" spans="1:6" x14ac:dyDescent="0.3">
      <c r="A636" s="24">
        <v>1635</v>
      </c>
      <c r="B636" s="47" t="s">
        <v>11245</v>
      </c>
      <c r="C636" s="47" t="s">
        <v>5381</v>
      </c>
      <c r="D636" s="47" t="s">
        <v>12371</v>
      </c>
      <c r="E636" s="13" t="s">
        <v>12932</v>
      </c>
      <c r="F636" s="13" t="s">
        <v>12231</v>
      </c>
    </row>
    <row r="637" spans="1:6" x14ac:dyDescent="0.3">
      <c r="A637" s="24">
        <v>1636</v>
      </c>
      <c r="B637" s="47" t="s">
        <v>11246</v>
      </c>
      <c r="C637" s="47" t="s">
        <v>5381</v>
      </c>
      <c r="D637" s="47" t="s">
        <v>12371</v>
      </c>
      <c r="E637" s="13" t="s">
        <v>12933</v>
      </c>
      <c r="F637" s="13" t="s">
        <v>12232</v>
      </c>
    </row>
    <row r="638" spans="1:6" x14ac:dyDescent="0.3">
      <c r="A638" s="24">
        <v>1637</v>
      </c>
      <c r="B638" s="47" t="s">
        <v>11247</v>
      </c>
      <c r="C638" s="47" t="s">
        <v>5381</v>
      </c>
      <c r="D638" s="47" t="s">
        <v>12371</v>
      </c>
      <c r="E638" s="13" t="s">
        <v>12934</v>
      </c>
      <c r="F638" s="13" t="s">
        <v>12233</v>
      </c>
    </row>
    <row r="639" spans="1:6" x14ac:dyDescent="0.3">
      <c r="A639" s="24">
        <v>1638</v>
      </c>
      <c r="B639" s="47" t="s">
        <v>5650</v>
      </c>
      <c r="C639" s="47" t="s">
        <v>5381</v>
      </c>
      <c r="D639" s="47" t="s">
        <v>12371</v>
      </c>
      <c r="E639" s="13" t="s">
        <v>12935</v>
      </c>
      <c r="F639" s="13" t="s">
        <v>12234</v>
      </c>
    </row>
    <row r="640" spans="1:6" x14ac:dyDescent="0.3">
      <c r="A640" s="24">
        <v>1639</v>
      </c>
      <c r="B640" s="47" t="s">
        <v>11248</v>
      </c>
      <c r="C640" s="47" t="s">
        <v>5381</v>
      </c>
      <c r="D640" s="47" t="s">
        <v>12371</v>
      </c>
      <c r="E640" s="13" t="s">
        <v>12936</v>
      </c>
      <c r="F640" s="13" t="s">
        <v>12235</v>
      </c>
    </row>
    <row r="641" spans="1:6" x14ac:dyDescent="0.3">
      <c r="A641" s="24">
        <v>1640</v>
      </c>
      <c r="B641" s="47" t="s">
        <v>11249</v>
      </c>
      <c r="C641" s="47" t="s">
        <v>5381</v>
      </c>
      <c r="D641" s="47" t="s">
        <v>12371</v>
      </c>
      <c r="E641" s="13" t="s">
        <v>12937</v>
      </c>
      <c r="F641" s="13" t="s">
        <v>12236</v>
      </c>
    </row>
    <row r="642" spans="1:6" x14ac:dyDescent="0.3">
      <c r="A642" s="24">
        <v>1641</v>
      </c>
      <c r="B642" s="47" t="s">
        <v>11060</v>
      </c>
      <c r="C642" s="47" t="s">
        <v>99</v>
      </c>
      <c r="D642" s="47" t="s">
        <v>12371</v>
      </c>
      <c r="E642" s="13" t="s">
        <v>12938</v>
      </c>
      <c r="F642" s="13" t="s">
        <v>11877</v>
      </c>
    </row>
    <row r="643" spans="1:6" x14ac:dyDescent="0.3">
      <c r="A643" s="24">
        <v>1642</v>
      </c>
      <c r="B643" s="47" t="s">
        <v>11112</v>
      </c>
      <c r="C643" s="47" t="s">
        <v>101</v>
      </c>
      <c r="D643" s="47" t="s">
        <v>12371</v>
      </c>
      <c r="E643" s="13" t="s">
        <v>12939</v>
      </c>
      <c r="F643" s="13" t="s">
        <v>11997</v>
      </c>
    </row>
    <row r="644" spans="1:6" x14ac:dyDescent="0.3">
      <c r="A644" s="24">
        <v>1643</v>
      </c>
      <c r="B644" s="47" t="s">
        <v>10925</v>
      </c>
      <c r="C644" s="47" t="s">
        <v>114</v>
      </c>
      <c r="D644" s="47" t="s">
        <v>12371</v>
      </c>
      <c r="E644" s="13" t="s">
        <v>12940</v>
      </c>
      <c r="F644" s="13" t="s">
        <v>11520</v>
      </c>
    </row>
    <row r="645" spans="1:6" x14ac:dyDescent="0.3">
      <c r="A645" s="24">
        <v>1644</v>
      </c>
      <c r="B645" s="47" t="s">
        <v>11061</v>
      </c>
      <c r="C645" s="47" t="s">
        <v>99</v>
      </c>
      <c r="D645" s="47" t="s">
        <v>12371</v>
      </c>
      <c r="E645" s="13" t="s">
        <v>12941</v>
      </c>
      <c r="F645" s="13" t="s">
        <v>11878</v>
      </c>
    </row>
    <row r="646" spans="1:6" x14ac:dyDescent="0.3">
      <c r="A646" s="24">
        <v>1645</v>
      </c>
      <c r="B646" s="47" t="s">
        <v>11062</v>
      </c>
      <c r="C646" s="47" t="s">
        <v>99</v>
      </c>
      <c r="D646" s="47" t="s">
        <v>12371</v>
      </c>
      <c r="E646" s="13" t="s">
        <v>12942</v>
      </c>
      <c r="F646" s="13" t="s">
        <v>11879</v>
      </c>
    </row>
    <row r="647" spans="1:6" x14ac:dyDescent="0.3">
      <c r="A647" s="24">
        <v>1646</v>
      </c>
      <c r="B647" s="47" t="s">
        <v>5651</v>
      </c>
      <c r="C647" s="47" t="s">
        <v>99</v>
      </c>
      <c r="D647" s="47" t="s">
        <v>12371</v>
      </c>
      <c r="E647" s="13" t="s">
        <v>12943</v>
      </c>
      <c r="F647" s="13" t="s">
        <v>11880</v>
      </c>
    </row>
    <row r="648" spans="1:6" x14ac:dyDescent="0.3">
      <c r="A648" s="24">
        <v>1647</v>
      </c>
      <c r="B648" s="47" t="s">
        <v>5652</v>
      </c>
      <c r="C648" s="47" t="s">
        <v>99</v>
      </c>
      <c r="D648" s="47" t="s">
        <v>12371</v>
      </c>
      <c r="E648" s="13" t="s">
        <v>12944</v>
      </c>
      <c r="F648" s="13" t="s">
        <v>11881</v>
      </c>
    </row>
    <row r="649" spans="1:6" x14ac:dyDescent="0.3">
      <c r="A649" s="24">
        <v>1648</v>
      </c>
      <c r="B649" s="47" t="s">
        <v>5653</v>
      </c>
      <c r="C649" s="47" t="s">
        <v>103</v>
      </c>
      <c r="D649" s="47" t="s">
        <v>12371</v>
      </c>
      <c r="E649" s="13" t="s">
        <v>12945</v>
      </c>
      <c r="F649" s="13" t="s">
        <v>11649</v>
      </c>
    </row>
    <row r="650" spans="1:6" x14ac:dyDescent="0.3">
      <c r="A650" s="24">
        <v>1649</v>
      </c>
      <c r="B650" s="47" t="s">
        <v>5654</v>
      </c>
      <c r="C650" s="47" t="s">
        <v>99</v>
      </c>
      <c r="D650" s="47" t="s">
        <v>12371</v>
      </c>
      <c r="E650" s="13" t="s">
        <v>12946</v>
      </c>
      <c r="F650" s="13" t="s">
        <v>11882</v>
      </c>
    </row>
    <row r="651" spans="1:6" x14ac:dyDescent="0.3">
      <c r="A651" s="24">
        <v>1650</v>
      </c>
      <c r="B651" s="47" t="s">
        <v>11113</v>
      </c>
      <c r="C651" s="47" t="s">
        <v>101</v>
      </c>
      <c r="D651" s="47" t="s">
        <v>12371</v>
      </c>
      <c r="E651" s="13" t="s">
        <v>12947</v>
      </c>
      <c r="F651" s="13" t="s">
        <v>11998</v>
      </c>
    </row>
    <row r="652" spans="1:6" x14ac:dyDescent="0.3">
      <c r="A652" s="24">
        <v>1651</v>
      </c>
      <c r="B652" s="47" t="s">
        <v>5655</v>
      </c>
      <c r="C652" s="47" t="s">
        <v>111</v>
      </c>
      <c r="D652" s="47" t="s">
        <v>12371</v>
      </c>
      <c r="E652" s="13" t="s">
        <v>12948</v>
      </c>
      <c r="F652" s="13" t="s">
        <v>11970</v>
      </c>
    </row>
    <row r="653" spans="1:6" x14ac:dyDescent="0.3">
      <c r="A653" s="24">
        <v>1652</v>
      </c>
      <c r="B653" s="47" t="s">
        <v>5656</v>
      </c>
      <c r="C653" s="47" t="s">
        <v>5338</v>
      </c>
      <c r="D653" s="47" t="s">
        <v>12371</v>
      </c>
      <c r="E653" s="13" t="s">
        <v>12949</v>
      </c>
      <c r="F653" s="13" t="s">
        <v>11487</v>
      </c>
    </row>
    <row r="654" spans="1:6" x14ac:dyDescent="0.3">
      <c r="A654" s="24">
        <v>1653</v>
      </c>
      <c r="B654" s="47" t="s">
        <v>10926</v>
      </c>
      <c r="C654" s="47" t="s">
        <v>114</v>
      </c>
      <c r="D654" s="47" t="s">
        <v>12371</v>
      </c>
      <c r="E654" s="13" t="s">
        <v>12950</v>
      </c>
      <c r="F654" s="13" t="s">
        <v>11521</v>
      </c>
    </row>
    <row r="655" spans="1:6" x14ac:dyDescent="0.3">
      <c r="A655" s="24">
        <v>1654</v>
      </c>
      <c r="B655" s="47" t="s">
        <v>11114</v>
      </c>
      <c r="C655" s="47" t="s">
        <v>101</v>
      </c>
      <c r="D655" s="47" t="s">
        <v>12371</v>
      </c>
      <c r="E655" s="13" t="s">
        <v>12951</v>
      </c>
      <c r="F655" s="13" t="s">
        <v>11999</v>
      </c>
    </row>
    <row r="656" spans="1:6" x14ac:dyDescent="0.3">
      <c r="A656" s="24">
        <v>1655</v>
      </c>
      <c r="B656" s="47" t="s">
        <v>11063</v>
      </c>
      <c r="C656" s="47" t="s">
        <v>99</v>
      </c>
      <c r="D656" s="47" t="s">
        <v>12371</v>
      </c>
      <c r="E656" s="13" t="s">
        <v>12952</v>
      </c>
      <c r="F656" s="13" t="s">
        <v>11883</v>
      </c>
    </row>
    <row r="657" spans="1:6" x14ac:dyDescent="0.3">
      <c r="A657" s="24">
        <v>1656</v>
      </c>
      <c r="B657" s="47" t="s">
        <v>10949</v>
      </c>
      <c r="C657" s="47" t="s">
        <v>5376</v>
      </c>
      <c r="D657" s="47" t="s">
        <v>12371</v>
      </c>
      <c r="E657" s="13" t="s">
        <v>12953</v>
      </c>
      <c r="F657" s="13" t="s">
        <v>11625</v>
      </c>
    </row>
    <row r="658" spans="1:6" x14ac:dyDescent="0.3">
      <c r="A658" s="24">
        <v>1657</v>
      </c>
      <c r="B658" s="47" t="s">
        <v>11064</v>
      </c>
      <c r="C658" s="47" t="s">
        <v>99</v>
      </c>
      <c r="D658" s="47" t="s">
        <v>12371</v>
      </c>
      <c r="E658" s="13" t="s">
        <v>12954</v>
      </c>
      <c r="F658" s="13" t="s">
        <v>11884</v>
      </c>
    </row>
    <row r="659" spans="1:6" x14ac:dyDescent="0.3">
      <c r="A659" s="24">
        <v>1658</v>
      </c>
      <c r="B659" s="47" t="s">
        <v>5657</v>
      </c>
      <c r="C659" s="47" t="s">
        <v>99</v>
      </c>
      <c r="D659" s="47" t="s">
        <v>12371</v>
      </c>
      <c r="E659" s="13" t="s">
        <v>12955</v>
      </c>
      <c r="F659" s="13" t="s">
        <v>11885</v>
      </c>
    </row>
    <row r="660" spans="1:6" x14ac:dyDescent="0.3">
      <c r="A660" s="24">
        <v>1659</v>
      </c>
      <c r="B660" s="47" t="s">
        <v>5658</v>
      </c>
      <c r="C660" s="47" t="s">
        <v>99</v>
      </c>
      <c r="D660" s="47" t="s">
        <v>12371</v>
      </c>
      <c r="E660" s="13" t="s">
        <v>12956</v>
      </c>
      <c r="F660" s="13" t="s">
        <v>11886</v>
      </c>
    </row>
    <row r="661" spans="1:6" x14ac:dyDescent="0.3">
      <c r="A661" s="24">
        <v>1660</v>
      </c>
      <c r="B661" s="47" t="s">
        <v>5659</v>
      </c>
      <c r="C661" s="47" t="s">
        <v>99</v>
      </c>
      <c r="D661" s="47" t="s">
        <v>12371</v>
      </c>
      <c r="E661" s="13" t="s">
        <v>12957</v>
      </c>
      <c r="F661" s="13" t="s">
        <v>11887</v>
      </c>
    </row>
    <row r="662" spans="1:6" x14ac:dyDescent="0.3">
      <c r="A662" s="24">
        <v>1661</v>
      </c>
      <c r="B662" s="47" t="s">
        <v>5660</v>
      </c>
      <c r="C662" s="47" t="s">
        <v>103</v>
      </c>
      <c r="D662" s="47" t="s">
        <v>95</v>
      </c>
      <c r="E662" s="13" t="s">
        <v>13165</v>
      </c>
      <c r="F662" s="13" t="s">
        <v>11650</v>
      </c>
    </row>
    <row r="663" spans="1:6" x14ac:dyDescent="0.3">
      <c r="A663" s="24">
        <v>1662</v>
      </c>
      <c r="B663" s="47" t="s">
        <v>5661</v>
      </c>
      <c r="C663" s="47" t="s">
        <v>99</v>
      </c>
      <c r="D663" s="47" t="s">
        <v>12371</v>
      </c>
      <c r="E663" s="13" t="s">
        <v>12958</v>
      </c>
      <c r="F663" s="13" t="s">
        <v>11888</v>
      </c>
    </row>
    <row r="664" spans="1:6" x14ac:dyDescent="0.3">
      <c r="A664" s="24">
        <v>1663</v>
      </c>
      <c r="B664" s="47" t="s">
        <v>5662</v>
      </c>
      <c r="C664" s="47" t="s">
        <v>99</v>
      </c>
      <c r="D664" s="47" t="s">
        <v>12371</v>
      </c>
      <c r="E664" s="13" t="s">
        <v>12959</v>
      </c>
      <c r="F664" s="13" t="s">
        <v>11889</v>
      </c>
    </row>
    <row r="665" spans="1:6" x14ac:dyDescent="0.3">
      <c r="A665" s="24">
        <v>1664</v>
      </c>
      <c r="B665" s="47" t="s">
        <v>11065</v>
      </c>
      <c r="C665" s="47" t="s">
        <v>99</v>
      </c>
      <c r="D665" s="47" t="s">
        <v>12371</v>
      </c>
      <c r="E665" s="13" t="s">
        <v>12960</v>
      </c>
      <c r="F665" s="13" t="s">
        <v>11890</v>
      </c>
    </row>
    <row r="666" spans="1:6" x14ac:dyDescent="0.3">
      <c r="A666" s="24">
        <v>1665</v>
      </c>
      <c r="B666" s="47" t="s">
        <v>11115</v>
      </c>
      <c r="C666" s="47" t="s">
        <v>101</v>
      </c>
      <c r="D666" s="47" t="s">
        <v>12371</v>
      </c>
      <c r="E666" s="13" t="s">
        <v>12961</v>
      </c>
      <c r="F666" s="13" t="s">
        <v>12000</v>
      </c>
    </row>
    <row r="667" spans="1:6" x14ac:dyDescent="0.3">
      <c r="A667" s="24">
        <v>1666</v>
      </c>
      <c r="B667" s="47" t="s">
        <v>5663</v>
      </c>
      <c r="C667" s="47" t="s">
        <v>99</v>
      </c>
      <c r="D667" s="47" t="s">
        <v>12371</v>
      </c>
      <c r="E667" s="13" t="s">
        <v>12962</v>
      </c>
      <c r="F667" s="13" t="s">
        <v>11891</v>
      </c>
    </row>
    <row r="668" spans="1:6" x14ac:dyDescent="0.3">
      <c r="A668" s="24">
        <v>1667</v>
      </c>
      <c r="B668" s="47" t="s">
        <v>5664</v>
      </c>
      <c r="C668" s="47" t="s">
        <v>99</v>
      </c>
      <c r="D668" s="47" t="s">
        <v>12371</v>
      </c>
      <c r="E668" s="13" t="s">
        <v>12963</v>
      </c>
      <c r="F668" s="13" t="s">
        <v>11892</v>
      </c>
    </row>
    <row r="669" spans="1:6" x14ac:dyDescent="0.3">
      <c r="A669" s="24">
        <v>1668</v>
      </c>
      <c r="B669" s="47" t="s">
        <v>5665</v>
      </c>
      <c r="C669" s="47" t="s">
        <v>5381</v>
      </c>
      <c r="D669" s="47" t="s">
        <v>12371</v>
      </c>
      <c r="E669" s="13" t="s">
        <v>12964</v>
      </c>
      <c r="F669" s="13" t="s">
        <v>12237</v>
      </c>
    </row>
    <row r="670" spans="1:6" x14ac:dyDescent="0.3">
      <c r="A670" s="24">
        <v>1669</v>
      </c>
      <c r="B670" s="47" t="s">
        <v>5666</v>
      </c>
      <c r="C670" s="47" t="s">
        <v>5328</v>
      </c>
      <c r="D670" s="47" t="s">
        <v>95</v>
      </c>
      <c r="E670" s="13" t="s">
        <v>13166</v>
      </c>
      <c r="F670" s="13" t="s">
        <v>11545</v>
      </c>
    </row>
    <row r="671" spans="1:6" x14ac:dyDescent="0.3">
      <c r="A671" s="24">
        <v>1670</v>
      </c>
      <c r="B671" s="47" t="s">
        <v>5667</v>
      </c>
      <c r="C671" s="47" t="s">
        <v>5321</v>
      </c>
      <c r="D671" s="47" t="s">
        <v>95</v>
      </c>
      <c r="E671" s="13" t="s">
        <v>13167</v>
      </c>
      <c r="F671" s="13" t="s">
        <v>11606</v>
      </c>
    </row>
    <row r="672" spans="1:6" x14ac:dyDescent="0.3">
      <c r="A672" s="24">
        <v>1671</v>
      </c>
      <c r="B672" s="47" t="s">
        <v>5668</v>
      </c>
      <c r="C672" s="47" t="s">
        <v>5328</v>
      </c>
      <c r="D672" s="47" t="s">
        <v>95</v>
      </c>
      <c r="E672" s="13" t="s">
        <v>13168</v>
      </c>
      <c r="F672" s="13" t="s">
        <v>11546</v>
      </c>
    </row>
    <row r="673" spans="1:6" x14ac:dyDescent="0.3">
      <c r="A673" s="24">
        <v>1672</v>
      </c>
      <c r="B673" s="47" t="s">
        <v>5669</v>
      </c>
      <c r="C673" s="47" t="s">
        <v>5321</v>
      </c>
      <c r="D673" s="47" t="s">
        <v>95</v>
      </c>
      <c r="E673" s="13" t="s">
        <v>13169</v>
      </c>
      <c r="F673" s="13" t="s">
        <v>11607</v>
      </c>
    </row>
    <row r="674" spans="1:6" x14ac:dyDescent="0.3">
      <c r="A674" s="24">
        <v>1673</v>
      </c>
      <c r="B674" s="47" t="s">
        <v>5670</v>
      </c>
      <c r="C674" s="47" t="s">
        <v>5376</v>
      </c>
      <c r="D674" s="47" t="s">
        <v>12371</v>
      </c>
      <c r="E674" s="13" t="s">
        <v>12965</v>
      </c>
      <c r="F674" s="13" t="s">
        <v>11626</v>
      </c>
    </row>
    <row r="675" spans="1:6" x14ac:dyDescent="0.3">
      <c r="A675" s="24">
        <v>1674</v>
      </c>
      <c r="B675" s="47" t="s">
        <v>5671</v>
      </c>
      <c r="C675" s="47" t="s">
        <v>5338</v>
      </c>
      <c r="D675" s="47" t="s">
        <v>12371</v>
      </c>
      <c r="E675" s="13" t="s">
        <v>12966</v>
      </c>
      <c r="F675" s="13" t="s">
        <v>11488</v>
      </c>
    </row>
    <row r="676" spans="1:6" x14ac:dyDescent="0.3">
      <c r="A676" s="24">
        <v>1675</v>
      </c>
      <c r="B676" s="47" t="s">
        <v>5672</v>
      </c>
      <c r="C676" s="47" t="s">
        <v>114</v>
      </c>
      <c r="D676" s="47" t="s">
        <v>95</v>
      </c>
      <c r="E676" s="13" t="s">
        <v>13170</v>
      </c>
      <c r="F676" s="13" t="s">
        <v>11522</v>
      </c>
    </row>
    <row r="677" spans="1:6" x14ac:dyDescent="0.3">
      <c r="A677" s="24">
        <v>1676</v>
      </c>
      <c r="B677" s="47" t="s">
        <v>5673</v>
      </c>
      <c r="C677" s="47" t="s">
        <v>5365</v>
      </c>
      <c r="D677" s="47" t="s">
        <v>12371</v>
      </c>
      <c r="E677" s="13" t="s">
        <v>12967</v>
      </c>
      <c r="F677" s="13" t="s">
        <v>12030</v>
      </c>
    </row>
    <row r="678" spans="1:6" x14ac:dyDescent="0.3">
      <c r="A678" s="24">
        <v>1677</v>
      </c>
      <c r="B678" s="47" t="s">
        <v>5674</v>
      </c>
      <c r="C678" s="47" t="s">
        <v>99</v>
      </c>
      <c r="D678" s="47" t="s">
        <v>95</v>
      </c>
      <c r="E678" s="13" t="s">
        <v>13171</v>
      </c>
      <c r="F678" s="13" t="s">
        <v>11893</v>
      </c>
    </row>
    <row r="679" spans="1:6" x14ac:dyDescent="0.3">
      <c r="A679" s="24">
        <v>1678</v>
      </c>
      <c r="B679" s="47" t="s">
        <v>5675</v>
      </c>
      <c r="C679" s="47" t="s">
        <v>103</v>
      </c>
      <c r="D679" s="47" t="s">
        <v>95</v>
      </c>
      <c r="E679" s="13" t="s">
        <v>13172</v>
      </c>
      <c r="F679" s="13" t="s">
        <v>11651</v>
      </c>
    </row>
    <row r="680" spans="1:6" x14ac:dyDescent="0.3">
      <c r="A680" s="24">
        <v>1679</v>
      </c>
      <c r="B680" s="47" t="s">
        <v>11066</v>
      </c>
      <c r="C680" s="47" t="s">
        <v>99</v>
      </c>
      <c r="D680" s="47" t="s">
        <v>12371</v>
      </c>
      <c r="E680" s="13" t="s">
        <v>12968</v>
      </c>
      <c r="F680" s="13" t="s">
        <v>11894</v>
      </c>
    </row>
    <row r="681" spans="1:6" x14ac:dyDescent="0.3">
      <c r="A681" s="24">
        <v>1680</v>
      </c>
      <c r="B681" s="47" t="s">
        <v>5676</v>
      </c>
      <c r="C681" s="47" t="s">
        <v>94</v>
      </c>
      <c r="D681" s="47" t="s">
        <v>12371</v>
      </c>
      <c r="E681" s="13" t="s">
        <v>12969</v>
      </c>
      <c r="F681" s="13" t="s">
        <v>12123</v>
      </c>
    </row>
    <row r="682" spans="1:6" x14ac:dyDescent="0.3">
      <c r="A682" s="24">
        <v>1681</v>
      </c>
      <c r="B682" s="47" t="s">
        <v>11116</v>
      </c>
      <c r="C682" s="47" t="s">
        <v>101</v>
      </c>
      <c r="D682" s="47" t="s">
        <v>12371</v>
      </c>
      <c r="E682" s="13" t="s">
        <v>12970</v>
      </c>
      <c r="F682" s="13" t="s">
        <v>12001</v>
      </c>
    </row>
    <row r="683" spans="1:6" x14ac:dyDescent="0.3">
      <c r="A683" s="24">
        <v>1682</v>
      </c>
      <c r="B683" s="47" t="s">
        <v>10927</v>
      </c>
      <c r="C683" s="47" t="s">
        <v>114</v>
      </c>
      <c r="D683" s="47" t="s">
        <v>12371</v>
      </c>
      <c r="E683" s="13" t="s">
        <v>12971</v>
      </c>
      <c r="F683" s="13" t="s">
        <v>11523</v>
      </c>
    </row>
    <row r="684" spans="1:6" x14ac:dyDescent="0.3">
      <c r="A684" s="24">
        <v>1683</v>
      </c>
      <c r="B684" s="47" t="s">
        <v>11117</v>
      </c>
      <c r="C684" s="47" t="s">
        <v>101</v>
      </c>
      <c r="D684" s="47" t="s">
        <v>12371</v>
      </c>
      <c r="E684" s="13" t="s">
        <v>12972</v>
      </c>
      <c r="F684" s="13" t="s">
        <v>12002</v>
      </c>
    </row>
    <row r="685" spans="1:6" x14ac:dyDescent="0.3">
      <c r="A685" s="24">
        <v>1684</v>
      </c>
      <c r="B685" s="47" t="s">
        <v>11118</v>
      </c>
      <c r="C685" s="47" t="s">
        <v>101</v>
      </c>
      <c r="D685" s="47" t="s">
        <v>12371</v>
      </c>
      <c r="E685" s="13" t="s">
        <v>12973</v>
      </c>
      <c r="F685" s="13" t="s">
        <v>12003</v>
      </c>
    </row>
    <row r="686" spans="1:6" x14ac:dyDescent="0.3">
      <c r="A686" s="24">
        <v>1685</v>
      </c>
      <c r="B686" s="47" t="s">
        <v>5677</v>
      </c>
      <c r="C686" s="47" t="s">
        <v>5365</v>
      </c>
      <c r="D686" s="47" t="s">
        <v>12371</v>
      </c>
      <c r="E686" s="13" t="s">
        <v>12974</v>
      </c>
      <c r="F686" s="13" t="s">
        <v>12031</v>
      </c>
    </row>
    <row r="687" spans="1:6" x14ac:dyDescent="0.3">
      <c r="A687" s="24">
        <v>1686</v>
      </c>
      <c r="B687" s="47" t="s">
        <v>5678</v>
      </c>
      <c r="C687" s="47" t="s">
        <v>94</v>
      </c>
      <c r="D687" s="47" t="s">
        <v>95</v>
      </c>
      <c r="E687" s="13" t="s">
        <v>13173</v>
      </c>
      <c r="F687" s="13" t="s">
        <v>12124</v>
      </c>
    </row>
    <row r="688" spans="1:6" x14ac:dyDescent="0.3">
      <c r="A688" s="24">
        <v>1687</v>
      </c>
      <c r="B688" s="47" t="s">
        <v>5679</v>
      </c>
      <c r="C688" s="47" t="s">
        <v>99</v>
      </c>
      <c r="D688" s="47" t="s">
        <v>95</v>
      </c>
      <c r="E688" s="13" t="s">
        <v>13174</v>
      </c>
      <c r="F688" s="13" t="s">
        <v>11895</v>
      </c>
    </row>
    <row r="689" spans="1:6" x14ac:dyDescent="0.3">
      <c r="A689" s="24">
        <v>1688</v>
      </c>
      <c r="B689" s="47" t="s">
        <v>5680</v>
      </c>
      <c r="C689" s="47" t="s">
        <v>99</v>
      </c>
      <c r="D689" s="47" t="s">
        <v>12371</v>
      </c>
      <c r="E689" s="13" t="s">
        <v>12975</v>
      </c>
      <c r="F689" s="13" t="s">
        <v>11896</v>
      </c>
    </row>
    <row r="690" spans="1:6" x14ac:dyDescent="0.3">
      <c r="A690" s="24">
        <v>1689</v>
      </c>
      <c r="B690" s="47" t="s">
        <v>10945</v>
      </c>
      <c r="C690" s="47" t="s">
        <v>5321</v>
      </c>
      <c r="D690" s="47" t="s">
        <v>12371</v>
      </c>
      <c r="E690" s="13" t="s">
        <v>12976</v>
      </c>
      <c r="F690" s="13" t="s">
        <v>11608</v>
      </c>
    </row>
    <row r="691" spans="1:6" x14ac:dyDescent="0.3">
      <c r="A691" s="24">
        <v>1690</v>
      </c>
      <c r="B691" s="47" t="s">
        <v>10946</v>
      </c>
      <c r="C691" s="47" t="s">
        <v>5321</v>
      </c>
      <c r="D691" s="47" t="s">
        <v>12371</v>
      </c>
      <c r="E691" s="13" t="s">
        <v>12977</v>
      </c>
      <c r="F691" s="13" t="s">
        <v>11609</v>
      </c>
    </row>
    <row r="692" spans="1:6" x14ac:dyDescent="0.3">
      <c r="A692" s="24">
        <v>1691</v>
      </c>
      <c r="B692" s="47" t="s">
        <v>5681</v>
      </c>
      <c r="C692" s="47" t="s">
        <v>99</v>
      </c>
      <c r="D692" s="47" t="s">
        <v>12371</v>
      </c>
      <c r="E692" s="13" t="s">
        <v>12978</v>
      </c>
      <c r="F692" s="13" t="s">
        <v>11897</v>
      </c>
    </row>
    <row r="693" spans="1:6" x14ac:dyDescent="0.3">
      <c r="A693" s="24">
        <v>1692</v>
      </c>
      <c r="B693" s="47" t="s">
        <v>5682</v>
      </c>
      <c r="C693" s="47" t="s">
        <v>99</v>
      </c>
      <c r="D693" s="47" t="s">
        <v>12371</v>
      </c>
      <c r="E693" s="13" t="s">
        <v>12979</v>
      </c>
      <c r="F693" s="13" t="s">
        <v>11898</v>
      </c>
    </row>
    <row r="694" spans="1:6" x14ac:dyDescent="0.3">
      <c r="A694" s="24">
        <v>1693</v>
      </c>
      <c r="B694" s="47" t="s">
        <v>11119</v>
      </c>
      <c r="C694" s="47" t="s">
        <v>101</v>
      </c>
      <c r="D694" s="47" t="s">
        <v>12371</v>
      </c>
      <c r="E694" s="13" t="s">
        <v>12980</v>
      </c>
      <c r="F694" s="13" t="s">
        <v>12004</v>
      </c>
    </row>
    <row r="695" spans="1:6" x14ac:dyDescent="0.3">
      <c r="A695" s="24">
        <v>1694</v>
      </c>
      <c r="B695" s="47" t="s">
        <v>11173</v>
      </c>
      <c r="C695" s="47" t="s">
        <v>94</v>
      </c>
      <c r="D695" s="47" t="s">
        <v>12371</v>
      </c>
      <c r="E695" s="13" t="s">
        <v>12981</v>
      </c>
      <c r="F695" s="13" t="s">
        <v>12125</v>
      </c>
    </row>
    <row r="696" spans="1:6" x14ac:dyDescent="0.3">
      <c r="A696" s="24">
        <v>1695</v>
      </c>
      <c r="B696" s="47" t="s">
        <v>10928</v>
      </c>
      <c r="C696" s="47" t="s">
        <v>114</v>
      </c>
      <c r="D696" s="47" t="s">
        <v>12371</v>
      </c>
      <c r="E696" s="13" t="s">
        <v>12982</v>
      </c>
      <c r="F696" s="13" t="s">
        <v>11524</v>
      </c>
    </row>
    <row r="697" spans="1:6" x14ac:dyDescent="0.3">
      <c r="A697" s="24">
        <v>1696</v>
      </c>
      <c r="B697" s="47" t="s">
        <v>11120</v>
      </c>
      <c r="C697" s="47" t="s">
        <v>101</v>
      </c>
      <c r="D697" s="47" t="s">
        <v>12371</v>
      </c>
      <c r="E697" s="13" t="s">
        <v>12983</v>
      </c>
      <c r="F697" s="13" t="s">
        <v>12005</v>
      </c>
    </row>
    <row r="698" spans="1:6" x14ac:dyDescent="0.3">
      <c r="A698" s="24">
        <v>1697</v>
      </c>
      <c r="B698" s="47" t="s">
        <v>5683</v>
      </c>
      <c r="C698" s="47" t="s">
        <v>5321</v>
      </c>
      <c r="D698" s="47" t="s">
        <v>95</v>
      </c>
      <c r="E698" s="13" t="s">
        <v>13175</v>
      </c>
      <c r="F698" s="13" t="s">
        <v>11610</v>
      </c>
    </row>
    <row r="699" spans="1:6" x14ac:dyDescent="0.3">
      <c r="A699" s="24">
        <v>1698</v>
      </c>
      <c r="B699" s="47" t="s">
        <v>5684</v>
      </c>
      <c r="C699" s="47" t="s">
        <v>5321</v>
      </c>
      <c r="D699" s="47" t="s">
        <v>12371</v>
      </c>
      <c r="E699" s="13" t="s">
        <v>12984</v>
      </c>
      <c r="F699" s="13" t="s">
        <v>11611</v>
      </c>
    </row>
    <row r="700" spans="1:6" x14ac:dyDescent="0.3">
      <c r="A700" s="24">
        <v>1699</v>
      </c>
      <c r="B700" s="47" t="s">
        <v>11121</v>
      </c>
      <c r="C700" s="47" t="s">
        <v>101</v>
      </c>
      <c r="D700" s="47" t="s">
        <v>12371</v>
      </c>
      <c r="E700" s="13" t="s">
        <v>12985</v>
      </c>
      <c r="F700" s="13" t="s">
        <v>12006</v>
      </c>
    </row>
    <row r="701" spans="1:6" x14ac:dyDescent="0.3">
      <c r="A701" s="24">
        <v>1700</v>
      </c>
      <c r="B701" s="47" t="s">
        <v>11101</v>
      </c>
      <c r="C701" s="47" t="s">
        <v>111</v>
      </c>
      <c r="D701" s="47" t="s">
        <v>12371</v>
      </c>
      <c r="E701" s="13" t="s">
        <v>12986</v>
      </c>
      <c r="F701" s="13" t="s">
        <v>11971</v>
      </c>
    </row>
    <row r="702" spans="1:6" x14ac:dyDescent="0.3">
      <c r="A702" s="24">
        <v>1701</v>
      </c>
      <c r="B702" s="47" t="s">
        <v>11102</v>
      </c>
      <c r="C702" s="47" t="s">
        <v>111</v>
      </c>
      <c r="D702" s="47" t="s">
        <v>12371</v>
      </c>
      <c r="E702" s="13" t="s">
        <v>12987</v>
      </c>
      <c r="F702" s="13" t="s">
        <v>11972</v>
      </c>
    </row>
    <row r="703" spans="1:6" x14ac:dyDescent="0.3">
      <c r="A703" s="24">
        <v>1702</v>
      </c>
      <c r="B703" s="47" t="s">
        <v>11250</v>
      </c>
      <c r="C703" s="47" t="s">
        <v>5381</v>
      </c>
      <c r="D703" s="47" t="s">
        <v>12371</v>
      </c>
      <c r="E703" s="13" t="s">
        <v>12988</v>
      </c>
      <c r="F703" s="13" t="s">
        <v>12238</v>
      </c>
    </row>
    <row r="704" spans="1:6" x14ac:dyDescent="0.3">
      <c r="A704" s="24">
        <v>1703</v>
      </c>
      <c r="B704" s="47" t="s">
        <v>11067</v>
      </c>
      <c r="C704" s="47" t="s">
        <v>99</v>
      </c>
      <c r="D704" s="47" t="s">
        <v>12371</v>
      </c>
      <c r="E704" s="13" t="s">
        <v>12989</v>
      </c>
      <c r="F704" s="13" t="s">
        <v>11899</v>
      </c>
    </row>
    <row r="705" spans="1:6" x14ac:dyDescent="0.3">
      <c r="A705" s="24">
        <v>1704</v>
      </c>
      <c r="B705" s="47" t="s">
        <v>5685</v>
      </c>
      <c r="C705" s="47" t="s">
        <v>99</v>
      </c>
      <c r="D705" s="47" t="s">
        <v>12371</v>
      </c>
      <c r="E705" s="13" t="s">
        <v>12990</v>
      </c>
      <c r="F705" s="13" t="s">
        <v>11900</v>
      </c>
    </row>
    <row r="706" spans="1:6" x14ac:dyDescent="0.3">
      <c r="A706" s="24">
        <v>1705</v>
      </c>
      <c r="B706" s="47" t="s">
        <v>11251</v>
      </c>
      <c r="C706" s="47" t="s">
        <v>5381</v>
      </c>
      <c r="D706" s="47" t="s">
        <v>12371</v>
      </c>
      <c r="E706" s="13" t="s">
        <v>12991</v>
      </c>
      <c r="F706" s="13" t="s">
        <v>12239</v>
      </c>
    </row>
    <row r="707" spans="1:6" x14ac:dyDescent="0.3">
      <c r="A707" s="24">
        <v>1706</v>
      </c>
      <c r="B707" s="47" t="s">
        <v>5686</v>
      </c>
      <c r="C707" s="47" t="s">
        <v>99</v>
      </c>
      <c r="D707" s="47" t="s">
        <v>12371</v>
      </c>
      <c r="E707" s="13" t="s">
        <v>12992</v>
      </c>
      <c r="F707" s="13" t="s">
        <v>11901</v>
      </c>
    </row>
    <row r="708" spans="1:6" x14ac:dyDescent="0.3">
      <c r="A708" s="24">
        <v>1707</v>
      </c>
      <c r="B708" s="47" t="s">
        <v>5687</v>
      </c>
      <c r="C708" s="47" t="s">
        <v>99</v>
      </c>
      <c r="D708" s="47" t="s">
        <v>95</v>
      </c>
      <c r="E708" s="13" t="s">
        <v>13176</v>
      </c>
      <c r="F708" s="13" t="s">
        <v>11902</v>
      </c>
    </row>
    <row r="709" spans="1:6" x14ac:dyDescent="0.3">
      <c r="A709" s="24">
        <v>1708</v>
      </c>
      <c r="B709" s="47" t="s">
        <v>5688</v>
      </c>
      <c r="C709" s="47" t="s">
        <v>99</v>
      </c>
      <c r="D709" s="47" t="s">
        <v>95</v>
      </c>
      <c r="E709" s="13" t="s">
        <v>13177</v>
      </c>
      <c r="F709" s="13" t="s">
        <v>11903</v>
      </c>
    </row>
    <row r="710" spans="1:6" x14ac:dyDescent="0.3">
      <c r="A710" s="24">
        <v>1709</v>
      </c>
      <c r="B710" s="47" t="s">
        <v>5689</v>
      </c>
      <c r="C710" s="47" t="s">
        <v>99</v>
      </c>
      <c r="D710" s="47" t="s">
        <v>95</v>
      </c>
      <c r="E710" s="13" t="s">
        <v>13178</v>
      </c>
      <c r="F710" s="13" t="s">
        <v>11904</v>
      </c>
    </row>
    <row r="711" spans="1:6" x14ac:dyDescent="0.3">
      <c r="A711" s="24">
        <v>1710</v>
      </c>
      <c r="B711" s="47" t="s">
        <v>5690</v>
      </c>
      <c r="C711" s="47" t="s">
        <v>99</v>
      </c>
      <c r="D711" s="47" t="s">
        <v>12371</v>
      </c>
      <c r="E711" s="13" t="s">
        <v>12993</v>
      </c>
      <c r="F711" s="13" t="s">
        <v>11905</v>
      </c>
    </row>
    <row r="712" spans="1:6" x14ac:dyDescent="0.3">
      <c r="A712" s="24">
        <v>1711</v>
      </c>
      <c r="B712" s="47" t="s">
        <v>11068</v>
      </c>
      <c r="C712" s="47" t="s">
        <v>99</v>
      </c>
      <c r="D712" s="47" t="s">
        <v>12371</v>
      </c>
      <c r="E712" s="13" t="s">
        <v>12994</v>
      </c>
      <c r="F712" s="13" t="s">
        <v>11906</v>
      </c>
    </row>
    <row r="713" spans="1:6" x14ac:dyDescent="0.3">
      <c r="A713" s="24">
        <v>1712</v>
      </c>
      <c r="B713" s="47" t="s">
        <v>11069</v>
      </c>
      <c r="C713" s="47" t="s">
        <v>99</v>
      </c>
      <c r="D713" s="47" t="s">
        <v>12371</v>
      </c>
      <c r="E713" s="13" t="s">
        <v>12995</v>
      </c>
      <c r="F713" s="13" t="s">
        <v>11907</v>
      </c>
    </row>
    <row r="714" spans="1:6" x14ac:dyDescent="0.3">
      <c r="A714" s="24">
        <v>1713</v>
      </c>
      <c r="B714" s="47" t="s">
        <v>5691</v>
      </c>
      <c r="C714" s="47" t="s">
        <v>114</v>
      </c>
      <c r="D714" s="47" t="s">
        <v>12371</v>
      </c>
      <c r="E714" s="13" t="s">
        <v>12996</v>
      </c>
      <c r="F714" s="13" t="s">
        <v>11525</v>
      </c>
    </row>
    <row r="715" spans="1:6" x14ac:dyDescent="0.3">
      <c r="A715" s="24">
        <v>1714</v>
      </c>
      <c r="B715" s="47" t="s">
        <v>10929</v>
      </c>
      <c r="C715" s="47" t="s">
        <v>114</v>
      </c>
      <c r="D715" s="47" t="s">
        <v>12371</v>
      </c>
      <c r="E715" s="13" t="s">
        <v>12997</v>
      </c>
      <c r="F715" s="13" t="s">
        <v>11526</v>
      </c>
    </row>
    <row r="716" spans="1:6" x14ac:dyDescent="0.3">
      <c r="A716" s="24">
        <v>1715</v>
      </c>
      <c r="B716" s="47" t="s">
        <v>11122</v>
      </c>
      <c r="C716" s="47" t="s">
        <v>101</v>
      </c>
      <c r="D716" s="47" t="s">
        <v>12371</v>
      </c>
      <c r="E716" s="13" t="s">
        <v>12998</v>
      </c>
      <c r="F716" s="13" t="s">
        <v>12007</v>
      </c>
    </row>
    <row r="717" spans="1:6" x14ac:dyDescent="0.3">
      <c r="A717" s="24">
        <v>1716</v>
      </c>
      <c r="B717" s="47" t="s">
        <v>10947</v>
      </c>
      <c r="C717" s="47" t="s">
        <v>5321</v>
      </c>
      <c r="D717" s="47" t="s">
        <v>12371</v>
      </c>
      <c r="E717" s="13" t="s">
        <v>12999</v>
      </c>
      <c r="F717" s="13" t="s">
        <v>11612</v>
      </c>
    </row>
    <row r="718" spans="1:6" x14ac:dyDescent="0.3">
      <c r="A718" s="24">
        <v>1717</v>
      </c>
      <c r="B718" s="47" t="s">
        <v>11123</v>
      </c>
      <c r="C718" s="47" t="s">
        <v>101</v>
      </c>
      <c r="D718" s="47" t="s">
        <v>12371</v>
      </c>
      <c r="E718" s="13" t="s">
        <v>13000</v>
      </c>
      <c r="F718" s="13" t="s">
        <v>12008</v>
      </c>
    </row>
    <row r="719" spans="1:6" x14ac:dyDescent="0.3">
      <c r="A719" s="24">
        <v>1718</v>
      </c>
      <c r="B719" s="47" t="s">
        <v>11124</v>
      </c>
      <c r="C719" s="47" t="s">
        <v>101</v>
      </c>
      <c r="D719" s="47" t="s">
        <v>12371</v>
      </c>
      <c r="E719" s="13" t="s">
        <v>13001</v>
      </c>
      <c r="F719" s="13" t="s">
        <v>12009</v>
      </c>
    </row>
    <row r="720" spans="1:6" x14ac:dyDescent="0.3">
      <c r="A720" s="24">
        <v>1719</v>
      </c>
      <c r="B720" s="47" t="s">
        <v>5692</v>
      </c>
      <c r="C720" s="47" t="s">
        <v>5338</v>
      </c>
      <c r="D720" s="47" t="s">
        <v>12371</v>
      </c>
      <c r="E720" s="13" t="s">
        <v>13002</v>
      </c>
      <c r="F720" s="13" t="s">
        <v>11489</v>
      </c>
    </row>
    <row r="721" spans="1:6" x14ac:dyDescent="0.3">
      <c r="A721" s="24">
        <v>1720</v>
      </c>
      <c r="B721" s="47" t="s">
        <v>10948</v>
      </c>
      <c r="C721" s="47" t="s">
        <v>5321</v>
      </c>
      <c r="D721" s="47" t="s">
        <v>12371</v>
      </c>
      <c r="E721" s="13" t="s">
        <v>13003</v>
      </c>
      <c r="F721" s="13" t="s">
        <v>11613</v>
      </c>
    </row>
    <row r="722" spans="1:6" x14ac:dyDescent="0.3">
      <c r="A722" s="24">
        <v>1721</v>
      </c>
      <c r="B722" s="47" t="s">
        <v>5693</v>
      </c>
      <c r="C722" s="47" t="s">
        <v>5381</v>
      </c>
      <c r="D722" s="47" t="s">
        <v>12371</v>
      </c>
      <c r="E722" s="13" t="s">
        <v>13004</v>
      </c>
      <c r="F722" s="13" t="s">
        <v>12240</v>
      </c>
    </row>
    <row r="723" spans="1:6" x14ac:dyDescent="0.3">
      <c r="A723" s="24">
        <v>1722</v>
      </c>
      <c r="B723" s="47" t="s">
        <v>5694</v>
      </c>
      <c r="C723" s="47" t="s">
        <v>99</v>
      </c>
      <c r="D723" s="47" t="s">
        <v>12371</v>
      </c>
      <c r="E723" s="13" t="s">
        <v>13005</v>
      </c>
      <c r="F723" s="13" t="s">
        <v>11908</v>
      </c>
    </row>
    <row r="724" spans="1:6" x14ac:dyDescent="0.3">
      <c r="A724" s="24">
        <v>1723</v>
      </c>
      <c r="B724" s="47" t="s">
        <v>11070</v>
      </c>
      <c r="C724" s="47" t="s">
        <v>99</v>
      </c>
      <c r="D724" s="47" t="s">
        <v>12371</v>
      </c>
      <c r="E724" s="13" t="s">
        <v>13006</v>
      </c>
      <c r="F724" s="13" t="s">
        <v>11909</v>
      </c>
    </row>
    <row r="725" spans="1:6" x14ac:dyDescent="0.3">
      <c r="A725" s="24">
        <v>1724</v>
      </c>
      <c r="B725" s="47" t="s">
        <v>11071</v>
      </c>
      <c r="C725" s="47" t="s">
        <v>99</v>
      </c>
      <c r="D725" s="47" t="s">
        <v>12371</v>
      </c>
      <c r="E725" s="13" t="s">
        <v>13007</v>
      </c>
      <c r="F725" s="13" t="s">
        <v>11910</v>
      </c>
    </row>
    <row r="726" spans="1:6" x14ac:dyDescent="0.3">
      <c r="A726" s="24">
        <v>1725</v>
      </c>
      <c r="B726" s="47" t="s">
        <v>11072</v>
      </c>
      <c r="C726" s="47" t="s">
        <v>99</v>
      </c>
      <c r="D726" s="47" t="s">
        <v>12371</v>
      </c>
      <c r="E726" s="13" t="s">
        <v>13008</v>
      </c>
      <c r="F726" s="13" t="s">
        <v>11911</v>
      </c>
    </row>
    <row r="727" spans="1:6" x14ac:dyDescent="0.3">
      <c r="A727" s="24">
        <v>1726</v>
      </c>
      <c r="B727" s="47" t="s">
        <v>11125</v>
      </c>
      <c r="C727" s="47" t="s">
        <v>101</v>
      </c>
      <c r="D727" s="47" t="s">
        <v>12371</v>
      </c>
      <c r="E727" s="13" t="s">
        <v>13009</v>
      </c>
      <c r="F727" s="13" t="s">
        <v>12010</v>
      </c>
    </row>
    <row r="728" spans="1:6" x14ac:dyDescent="0.3">
      <c r="A728" s="24">
        <v>1727</v>
      </c>
      <c r="B728" s="47" t="s">
        <v>11252</v>
      </c>
      <c r="C728" s="47" t="s">
        <v>5381</v>
      </c>
      <c r="D728" s="47" t="s">
        <v>12371</v>
      </c>
      <c r="E728" s="13" t="s">
        <v>13010</v>
      </c>
      <c r="F728" s="13" t="s">
        <v>12241</v>
      </c>
    </row>
    <row r="729" spans="1:6" x14ac:dyDescent="0.3">
      <c r="A729" s="24">
        <v>1728</v>
      </c>
      <c r="B729" s="47" t="s">
        <v>11073</v>
      </c>
      <c r="C729" s="47" t="s">
        <v>99</v>
      </c>
      <c r="D729" s="47" t="s">
        <v>12371</v>
      </c>
      <c r="E729" s="13" t="s">
        <v>13011</v>
      </c>
      <c r="F729" s="13" t="s">
        <v>11912</v>
      </c>
    </row>
    <row r="730" spans="1:6" x14ac:dyDescent="0.3">
      <c r="A730" s="24">
        <v>1729</v>
      </c>
      <c r="B730" s="47" t="s">
        <v>11126</v>
      </c>
      <c r="C730" s="47" t="s">
        <v>101</v>
      </c>
      <c r="D730" s="47" t="s">
        <v>12371</v>
      </c>
      <c r="E730" s="13" t="s">
        <v>13012</v>
      </c>
      <c r="F730" s="13" t="s">
        <v>12011</v>
      </c>
    </row>
    <row r="731" spans="1:6" x14ac:dyDescent="0.3">
      <c r="A731" s="24">
        <v>1730</v>
      </c>
      <c r="B731" s="47" t="s">
        <v>11074</v>
      </c>
      <c r="C731" s="47" t="s">
        <v>99</v>
      </c>
      <c r="D731" s="47" t="s">
        <v>12371</v>
      </c>
      <c r="E731" s="13" t="s">
        <v>13013</v>
      </c>
      <c r="F731" s="13" t="s">
        <v>11913</v>
      </c>
    </row>
    <row r="732" spans="1:6" x14ac:dyDescent="0.3">
      <c r="A732" s="24">
        <v>1731</v>
      </c>
      <c r="B732" s="47" t="s">
        <v>5695</v>
      </c>
      <c r="C732" s="47" t="s">
        <v>103</v>
      </c>
      <c r="D732" s="47" t="s">
        <v>95</v>
      </c>
      <c r="E732" s="13" t="s">
        <v>13179</v>
      </c>
      <c r="F732" s="13" t="s">
        <v>11652</v>
      </c>
    </row>
    <row r="733" spans="1:6" x14ac:dyDescent="0.3">
      <c r="A733" s="24">
        <v>1732</v>
      </c>
      <c r="B733" s="47" t="s">
        <v>5696</v>
      </c>
      <c r="C733" s="47" t="s">
        <v>99</v>
      </c>
      <c r="D733" s="47" t="s">
        <v>12371</v>
      </c>
      <c r="E733" s="13" t="s">
        <v>13014</v>
      </c>
      <c r="F733" s="13" t="s">
        <v>11914</v>
      </c>
    </row>
    <row r="734" spans="1:6" x14ac:dyDescent="0.3">
      <c r="A734" s="24">
        <v>1733</v>
      </c>
      <c r="B734" s="47" t="s">
        <v>11174</v>
      </c>
      <c r="C734" s="47" t="s">
        <v>94</v>
      </c>
      <c r="D734" s="47" t="s">
        <v>12371</v>
      </c>
      <c r="E734" s="13" t="s">
        <v>13015</v>
      </c>
      <c r="F734" s="13" t="s">
        <v>12126</v>
      </c>
    </row>
    <row r="735" spans="1:6" x14ac:dyDescent="0.3">
      <c r="A735" s="24">
        <v>1734</v>
      </c>
      <c r="B735" s="47" t="s">
        <v>5697</v>
      </c>
      <c r="C735" s="47" t="s">
        <v>94</v>
      </c>
      <c r="D735" s="47" t="s">
        <v>95</v>
      </c>
      <c r="E735" s="13" t="s">
        <v>13180</v>
      </c>
      <c r="F735" s="13" t="s">
        <v>12127</v>
      </c>
    </row>
    <row r="736" spans="1:6" x14ac:dyDescent="0.3">
      <c r="A736" s="24">
        <v>1735</v>
      </c>
      <c r="B736" s="47" t="s">
        <v>11175</v>
      </c>
      <c r="C736" s="47" t="s">
        <v>94</v>
      </c>
      <c r="D736" s="47" t="s">
        <v>12371</v>
      </c>
      <c r="E736" s="13" t="s">
        <v>13016</v>
      </c>
      <c r="F736" s="13" t="s">
        <v>12128</v>
      </c>
    </row>
    <row r="737" spans="1:6" x14ac:dyDescent="0.3">
      <c r="A737" s="24">
        <v>1736</v>
      </c>
      <c r="B737" s="47" t="s">
        <v>11253</v>
      </c>
      <c r="C737" s="47" t="s">
        <v>5381</v>
      </c>
      <c r="D737" s="47" t="s">
        <v>12371</v>
      </c>
      <c r="E737" s="13" t="s">
        <v>13017</v>
      </c>
      <c r="F737" s="13" t="s">
        <v>12242</v>
      </c>
    </row>
    <row r="738" spans="1:6" x14ac:dyDescent="0.3">
      <c r="A738" s="24">
        <v>1737</v>
      </c>
      <c r="B738" s="47" t="s">
        <v>11254</v>
      </c>
      <c r="C738" s="47" t="s">
        <v>5381</v>
      </c>
      <c r="D738" s="47" t="s">
        <v>12371</v>
      </c>
      <c r="E738" s="13" t="s">
        <v>13018</v>
      </c>
      <c r="F738" s="13" t="s">
        <v>12243</v>
      </c>
    </row>
    <row r="739" spans="1:6" x14ac:dyDescent="0.3">
      <c r="A739" s="24">
        <v>1738</v>
      </c>
      <c r="B739" s="47" t="s">
        <v>11255</v>
      </c>
      <c r="C739" s="47" t="s">
        <v>5381</v>
      </c>
      <c r="D739" s="47" t="s">
        <v>12371</v>
      </c>
      <c r="E739" s="13" t="s">
        <v>13019</v>
      </c>
      <c r="F739" s="13" t="s">
        <v>12244</v>
      </c>
    </row>
    <row r="740" spans="1:6" x14ac:dyDescent="0.3">
      <c r="A740" s="24">
        <v>1739</v>
      </c>
      <c r="B740" s="47" t="s">
        <v>11256</v>
      </c>
      <c r="C740" s="47" t="s">
        <v>5381</v>
      </c>
      <c r="D740" s="47" t="s">
        <v>12371</v>
      </c>
      <c r="E740" s="13" t="s">
        <v>13020</v>
      </c>
      <c r="F740" s="13" t="s">
        <v>12245</v>
      </c>
    </row>
    <row r="741" spans="1:6" x14ac:dyDescent="0.3">
      <c r="A741" s="24">
        <v>1740</v>
      </c>
      <c r="B741" s="47" t="s">
        <v>11257</v>
      </c>
      <c r="C741" s="47" t="s">
        <v>5381</v>
      </c>
      <c r="D741" s="47" t="s">
        <v>12371</v>
      </c>
      <c r="E741" s="13" t="s">
        <v>13021</v>
      </c>
      <c r="F741" s="13" t="s">
        <v>12246</v>
      </c>
    </row>
    <row r="742" spans="1:6" x14ac:dyDescent="0.3">
      <c r="A742" s="24">
        <v>1741</v>
      </c>
      <c r="B742" s="47" t="s">
        <v>11258</v>
      </c>
      <c r="C742" s="47" t="s">
        <v>5381</v>
      </c>
      <c r="D742" s="47" t="s">
        <v>12371</v>
      </c>
      <c r="E742" s="13" t="s">
        <v>13022</v>
      </c>
      <c r="F742" s="13" t="s">
        <v>12247</v>
      </c>
    </row>
    <row r="743" spans="1:6" x14ac:dyDescent="0.3">
      <c r="A743" s="24">
        <v>1742</v>
      </c>
      <c r="B743" s="47" t="s">
        <v>11259</v>
      </c>
      <c r="C743" s="47" t="s">
        <v>5381</v>
      </c>
      <c r="D743" s="47" t="s">
        <v>12371</v>
      </c>
      <c r="E743" s="13" t="s">
        <v>13023</v>
      </c>
      <c r="F743" s="13" t="s">
        <v>12248</v>
      </c>
    </row>
    <row r="744" spans="1:6" x14ac:dyDescent="0.3">
      <c r="A744" s="24">
        <v>1743</v>
      </c>
      <c r="B744" s="47" t="s">
        <v>11260</v>
      </c>
      <c r="C744" s="47" t="s">
        <v>5381</v>
      </c>
      <c r="D744" s="47" t="s">
        <v>12371</v>
      </c>
      <c r="E744" s="13" t="s">
        <v>13024</v>
      </c>
      <c r="F744" s="13" t="s">
        <v>12249</v>
      </c>
    </row>
    <row r="745" spans="1:6" x14ac:dyDescent="0.3">
      <c r="A745" s="24">
        <v>1744</v>
      </c>
      <c r="B745" s="47" t="s">
        <v>5698</v>
      </c>
      <c r="C745" s="47" t="s">
        <v>5381</v>
      </c>
      <c r="D745" s="47" t="s">
        <v>12371</v>
      </c>
      <c r="E745" s="13" t="s">
        <v>13025</v>
      </c>
      <c r="F745" s="13" t="s">
        <v>12250</v>
      </c>
    </row>
    <row r="746" spans="1:6" x14ac:dyDescent="0.3">
      <c r="A746" s="24">
        <v>1745</v>
      </c>
      <c r="B746" s="47" t="s">
        <v>11261</v>
      </c>
      <c r="C746" s="47" t="s">
        <v>5381</v>
      </c>
      <c r="D746" s="47" t="s">
        <v>12371</v>
      </c>
      <c r="E746" s="13" t="s">
        <v>13026</v>
      </c>
      <c r="F746" s="13" t="s">
        <v>12251</v>
      </c>
    </row>
    <row r="747" spans="1:6" x14ac:dyDescent="0.3">
      <c r="A747" s="24">
        <v>1746</v>
      </c>
      <c r="B747" s="47" t="s">
        <v>11262</v>
      </c>
      <c r="C747" s="47" t="s">
        <v>5381</v>
      </c>
      <c r="D747" s="47" t="s">
        <v>12371</v>
      </c>
      <c r="E747" s="13" t="s">
        <v>13027</v>
      </c>
      <c r="F747" s="13" t="s">
        <v>12252</v>
      </c>
    </row>
    <row r="748" spans="1:6" x14ac:dyDescent="0.3">
      <c r="A748" s="24">
        <v>1747</v>
      </c>
      <c r="B748" s="47" t="s">
        <v>11263</v>
      </c>
      <c r="C748" s="47" t="s">
        <v>5381</v>
      </c>
      <c r="D748" s="47" t="s">
        <v>12371</v>
      </c>
      <c r="E748" s="13" t="s">
        <v>13028</v>
      </c>
      <c r="F748" s="13" t="s">
        <v>12253</v>
      </c>
    </row>
    <row r="749" spans="1:6" x14ac:dyDescent="0.3">
      <c r="A749" s="24">
        <v>1748</v>
      </c>
      <c r="B749" s="47" t="s">
        <v>11264</v>
      </c>
      <c r="C749" s="47" t="s">
        <v>5381</v>
      </c>
      <c r="D749" s="47" t="s">
        <v>12371</v>
      </c>
      <c r="E749" s="13" t="s">
        <v>13029</v>
      </c>
      <c r="F749" s="13" t="s">
        <v>12254</v>
      </c>
    </row>
    <row r="750" spans="1:6" x14ac:dyDescent="0.3">
      <c r="A750" s="24">
        <v>1749</v>
      </c>
      <c r="B750" s="47" t="s">
        <v>11265</v>
      </c>
      <c r="C750" s="47" t="s">
        <v>5381</v>
      </c>
      <c r="D750" s="47" t="s">
        <v>12371</v>
      </c>
      <c r="E750" s="13" t="s">
        <v>13030</v>
      </c>
      <c r="F750" s="13" t="s">
        <v>12255</v>
      </c>
    </row>
    <row r="751" spans="1:6" x14ac:dyDescent="0.3">
      <c r="A751" s="24">
        <v>1750</v>
      </c>
      <c r="B751" s="47" t="s">
        <v>11266</v>
      </c>
      <c r="C751" s="47" t="s">
        <v>5381</v>
      </c>
      <c r="D751" s="47" t="s">
        <v>12371</v>
      </c>
      <c r="E751" s="13" t="s">
        <v>13031</v>
      </c>
      <c r="F751" s="13" t="s">
        <v>12256</v>
      </c>
    </row>
    <row r="752" spans="1:6" x14ac:dyDescent="0.3">
      <c r="A752" s="24">
        <v>1751</v>
      </c>
      <c r="B752" s="47" t="s">
        <v>11267</v>
      </c>
      <c r="C752" s="47" t="s">
        <v>5381</v>
      </c>
      <c r="D752" s="47" t="s">
        <v>12371</v>
      </c>
      <c r="E752" s="13" t="s">
        <v>13032</v>
      </c>
      <c r="F752" s="13" t="s">
        <v>12257</v>
      </c>
    </row>
    <row r="753" spans="1:6" x14ac:dyDescent="0.3">
      <c r="A753" s="24">
        <v>1752</v>
      </c>
      <c r="B753" s="47" t="s">
        <v>11268</v>
      </c>
      <c r="C753" s="47" t="s">
        <v>5381</v>
      </c>
      <c r="D753" s="47" t="s">
        <v>12371</v>
      </c>
      <c r="E753" s="13" t="s">
        <v>13033</v>
      </c>
      <c r="F753" s="13" t="s">
        <v>12258</v>
      </c>
    </row>
    <row r="754" spans="1:6" x14ac:dyDescent="0.3">
      <c r="A754" s="24">
        <v>1753</v>
      </c>
      <c r="B754" s="47" t="s">
        <v>5699</v>
      </c>
      <c r="C754" s="47" t="s">
        <v>5381</v>
      </c>
      <c r="D754" s="47" t="s">
        <v>12371</v>
      </c>
      <c r="E754" s="13" t="s">
        <v>13034</v>
      </c>
      <c r="F754" s="13" t="s">
        <v>12259</v>
      </c>
    </row>
    <row r="755" spans="1:6" x14ac:dyDescent="0.3">
      <c r="A755" s="24">
        <v>1754</v>
      </c>
      <c r="B755" s="47" t="s">
        <v>5700</v>
      </c>
      <c r="C755" s="47" t="s">
        <v>5381</v>
      </c>
      <c r="D755" s="47" t="s">
        <v>12371</v>
      </c>
      <c r="E755" s="13" t="s">
        <v>13035</v>
      </c>
      <c r="F755" s="13" t="s">
        <v>12260</v>
      </c>
    </row>
    <row r="756" spans="1:6" x14ac:dyDescent="0.3">
      <c r="A756" s="24">
        <v>1755</v>
      </c>
      <c r="B756" s="47" t="s">
        <v>5701</v>
      </c>
      <c r="C756" s="47" t="s">
        <v>5381</v>
      </c>
      <c r="D756" s="47" t="s">
        <v>12371</v>
      </c>
      <c r="E756" s="13" t="s">
        <v>13036</v>
      </c>
      <c r="F756" s="13" t="s">
        <v>12261</v>
      </c>
    </row>
    <row r="757" spans="1:6" x14ac:dyDescent="0.3">
      <c r="A757" s="24">
        <v>1756</v>
      </c>
      <c r="B757" s="47" t="s">
        <v>11269</v>
      </c>
      <c r="C757" s="47" t="s">
        <v>5381</v>
      </c>
      <c r="D757" s="47" t="s">
        <v>12371</v>
      </c>
      <c r="E757" s="13" t="s">
        <v>13037</v>
      </c>
      <c r="F757" s="13" t="s">
        <v>12262</v>
      </c>
    </row>
    <row r="758" spans="1:6" x14ac:dyDescent="0.3">
      <c r="A758" s="24">
        <v>1757</v>
      </c>
      <c r="B758" s="47" t="s">
        <v>5702</v>
      </c>
      <c r="C758" s="47" t="s">
        <v>5381</v>
      </c>
      <c r="D758" s="47" t="s">
        <v>12371</v>
      </c>
      <c r="E758" s="13" t="s">
        <v>13038</v>
      </c>
      <c r="F758" s="13" t="s">
        <v>12263</v>
      </c>
    </row>
    <row r="759" spans="1:6" x14ac:dyDescent="0.3">
      <c r="A759" s="24">
        <v>1758</v>
      </c>
      <c r="B759" s="47" t="s">
        <v>11270</v>
      </c>
      <c r="C759" s="47" t="s">
        <v>5381</v>
      </c>
      <c r="D759" s="47" t="s">
        <v>12371</v>
      </c>
      <c r="E759" s="13" t="s">
        <v>13039</v>
      </c>
      <c r="F759" s="13" t="s">
        <v>12264</v>
      </c>
    </row>
    <row r="760" spans="1:6" x14ac:dyDescent="0.3">
      <c r="A760" s="24">
        <v>1759</v>
      </c>
      <c r="B760" s="47" t="s">
        <v>11271</v>
      </c>
      <c r="C760" s="47" t="s">
        <v>5381</v>
      </c>
      <c r="D760" s="47" t="s">
        <v>12371</v>
      </c>
      <c r="E760" s="13" t="s">
        <v>13040</v>
      </c>
      <c r="F760" s="13" t="s">
        <v>12265</v>
      </c>
    </row>
    <row r="761" spans="1:6" x14ac:dyDescent="0.3">
      <c r="A761" s="24">
        <v>1760</v>
      </c>
      <c r="B761" s="47" t="s">
        <v>11272</v>
      </c>
      <c r="C761" s="47" t="s">
        <v>5381</v>
      </c>
      <c r="D761" s="47" t="s">
        <v>12371</v>
      </c>
      <c r="E761" s="13" t="s">
        <v>13041</v>
      </c>
      <c r="F761" s="13" t="s">
        <v>12266</v>
      </c>
    </row>
    <row r="762" spans="1:6" x14ac:dyDescent="0.3">
      <c r="A762" s="24">
        <v>1761</v>
      </c>
      <c r="B762" s="47" t="s">
        <v>11273</v>
      </c>
      <c r="C762" s="47" t="s">
        <v>5381</v>
      </c>
      <c r="D762" s="47" t="s">
        <v>12371</v>
      </c>
      <c r="E762" s="13" t="s">
        <v>13042</v>
      </c>
      <c r="F762" s="13" t="s">
        <v>12267</v>
      </c>
    </row>
    <row r="763" spans="1:6" x14ac:dyDescent="0.3">
      <c r="A763" s="24">
        <v>1762</v>
      </c>
      <c r="B763" s="47" t="s">
        <v>11274</v>
      </c>
      <c r="C763" s="47" t="s">
        <v>5381</v>
      </c>
      <c r="D763" s="47" t="s">
        <v>12371</v>
      </c>
      <c r="E763" s="13" t="s">
        <v>13043</v>
      </c>
      <c r="F763" s="13" t="s">
        <v>12268</v>
      </c>
    </row>
    <row r="764" spans="1:6" x14ac:dyDescent="0.3">
      <c r="A764" s="24">
        <v>1763</v>
      </c>
      <c r="B764" s="47" t="s">
        <v>5703</v>
      </c>
      <c r="C764" s="47" t="s">
        <v>5381</v>
      </c>
      <c r="D764" s="47" t="s">
        <v>12371</v>
      </c>
      <c r="E764" s="13" t="s">
        <v>13044</v>
      </c>
      <c r="F764" s="13" t="s">
        <v>12269</v>
      </c>
    </row>
    <row r="765" spans="1:6" x14ac:dyDescent="0.3">
      <c r="A765" s="24">
        <v>1764</v>
      </c>
      <c r="B765" s="47" t="s">
        <v>11275</v>
      </c>
      <c r="C765" s="47" t="s">
        <v>5381</v>
      </c>
      <c r="D765" s="47" t="s">
        <v>12371</v>
      </c>
      <c r="E765" s="13" t="s">
        <v>13045</v>
      </c>
      <c r="F765" s="13" t="s">
        <v>12270</v>
      </c>
    </row>
    <row r="766" spans="1:6" x14ac:dyDescent="0.3">
      <c r="A766" s="24">
        <v>1765</v>
      </c>
      <c r="B766" s="47" t="s">
        <v>5704</v>
      </c>
      <c r="C766" s="47" t="s">
        <v>5381</v>
      </c>
      <c r="D766" s="47" t="s">
        <v>12371</v>
      </c>
      <c r="E766" s="13" t="s">
        <v>13046</v>
      </c>
      <c r="F766" s="13" t="s">
        <v>12271</v>
      </c>
    </row>
    <row r="767" spans="1:6" x14ac:dyDescent="0.3">
      <c r="A767" s="24">
        <v>1766</v>
      </c>
      <c r="B767" s="47" t="s">
        <v>5705</v>
      </c>
      <c r="C767" s="47" t="s">
        <v>5381</v>
      </c>
      <c r="D767" s="47" t="s">
        <v>12371</v>
      </c>
      <c r="E767" s="13" t="s">
        <v>13047</v>
      </c>
      <c r="F767" s="13" t="s">
        <v>12272</v>
      </c>
    </row>
    <row r="768" spans="1:6" x14ac:dyDescent="0.3">
      <c r="A768" s="24">
        <v>1767</v>
      </c>
      <c r="B768" s="47" t="s">
        <v>11276</v>
      </c>
      <c r="C768" s="47" t="s">
        <v>5381</v>
      </c>
      <c r="D768" s="47" t="s">
        <v>12371</v>
      </c>
      <c r="E768" s="13" t="s">
        <v>13048</v>
      </c>
      <c r="F768" s="13" t="s">
        <v>12273</v>
      </c>
    </row>
    <row r="769" spans="1:6" x14ac:dyDescent="0.3">
      <c r="A769" s="24">
        <v>1768</v>
      </c>
      <c r="B769" s="47" t="s">
        <v>11277</v>
      </c>
      <c r="C769" s="47" t="s">
        <v>5381</v>
      </c>
      <c r="D769" s="47" t="s">
        <v>12371</v>
      </c>
      <c r="E769" s="13" t="s">
        <v>13049</v>
      </c>
      <c r="F769" s="13" t="s">
        <v>12274</v>
      </c>
    </row>
    <row r="770" spans="1:6" x14ac:dyDescent="0.3">
      <c r="A770" s="24">
        <v>1769</v>
      </c>
      <c r="B770" s="47" t="s">
        <v>5706</v>
      </c>
      <c r="C770" s="47" t="s">
        <v>5381</v>
      </c>
      <c r="D770" s="47" t="s">
        <v>12371</v>
      </c>
      <c r="E770" s="13" t="s">
        <v>13050</v>
      </c>
      <c r="F770" s="13" t="s">
        <v>12275</v>
      </c>
    </row>
    <row r="771" spans="1:6" x14ac:dyDescent="0.3">
      <c r="A771" s="24">
        <v>1770</v>
      </c>
      <c r="B771" s="47" t="s">
        <v>5707</v>
      </c>
      <c r="C771" s="47" t="s">
        <v>5381</v>
      </c>
      <c r="D771" s="47" t="s">
        <v>12371</v>
      </c>
      <c r="E771" s="13" t="s">
        <v>13051</v>
      </c>
      <c r="F771" s="13" t="s">
        <v>12276</v>
      </c>
    </row>
    <row r="772" spans="1:6" x14ac:dyDescent="0.3">
      <c r="A772" s="24">
        <v>1771</v>
      </c>
      <c r="B772" s="47" t="s">
        <v>5708</v>
      </c>
      <c r="C772" s="47" t="s">
        <v>114</v>
      </c>
      <c r="D772" s="47" t="s">
        <v>95</v>
      </c>
      <c r="E772" s="13" t="s">
        <v>13181</v>
      </c>
      <c r="F772" s="13" t="s">
        <v>11527</v>
      </c>
    </row>
    <row r="773" spans="1:6" x14ac:dyDescent="0.3">
      <c r="A773" s="24">
        <v>1772</v>
      </c>
      <c r="B773" s="47" t="s">
        <v>5709</v>
      </c>
      <c r="C773" s="47" t="s">
        <v>5338</v>
      </c>
      <c r="D773" s="47" t="s">
        <v>95</v>
      </c>
      <c r="E773" s="13" t="s">
        <v>13182</v>
      </c>
      <c r="F773" s="13" t="s">
        <v>11490</v>
      </c>
    </row>
    <row r="774" spans="1:6" x14ac:dyDescent="0.3">
      <c r="A774" s="24">
        <v>1773</v>
      </c>
      <c r="B774" s="47" t="s">
        <v>5710</v>
      </c>
      <c r="C774" s="47" t="s">
        <v>5321</v>
      </c>
      <c r="D774" s="47" t="s">
        <v>95</v>
      </c>
      <c r="E774" s="13" t="s">
        <v>13183</v>
      </c>
      <c r="F774" s="13" t="s">
        <v>11614</v>
      </c>
    </row>
    <row r="775" spans="1:6" x14ac:dyDescent="0.3">
      <c r="A775" s="24">
        <v>1774</v>
      </c>
      <c r="B775" s="47" t="s">
        <v>5711</v>
      </c>
      <c r="C775" s="47" t="s">
        <v>114</v>
      </c>
      <c r="D775" s="47" t="s">
        <v>12371</v>
      </c>
      <c r="E775" s="13" t="s">
        <v>13052</v>
      </c>
      <c r="F775" s="13" t="s">
        <v>11528</v>
      </c>
    </row>
    <row r="776" spans="1:6" x14ac:dyDescent="0.3">
      <c r="A776" s="24">
        <v>1775</v>
      </c>
      <c r="B776" s="47" t="s">
        <v>5712</v>
      </c>
      <c r="C776" s="47" t="s">
        <v>99</v>
      </c>
      <c r="D776" s="47" t="s">
        <v>95</v>
      </c>
      <c r="E776" s="13" t="s">
        <v>13053</v>
      </c>
      <c r="F776" s="13" t="s">
        <v>11915</v>
      </c>
    </row>
    <row r="777" spans="1:6" x14ac:dyDescent="0.3">
      <c r="A777" s="24">
        <v>1776</v>
      </c>
      <c r="B777" s="47" t="s">
        <v>5713</v>
      </c>
      <c r="C777" s="47" t="s">
        <v>5328</v>
      </c>
      <c r="D777" s="47" t="s">
        <v>95</v>
      </c>
      <c r="E777" s="13" t="s">
        <v>13184</v>
      </c>
      <c r="F777" s="13" t="s">
        <v>11547</v>
      </c>
    </row>
    <row r="778" spans="1:6" x14ac:dyDescent="0.3">
      <c r="A778" s="24">
        <v>1777</v>
      </c>
      <c r="B778" s="47" t="s">
        <v>5714</v>
      </c>
      <c r="C778" s="47" t="s">
        <v>5321</v>
      </c>
      <c r="D778" s="47" t="s">
        <v>95</v>
      </c>
      <c r="E778" s="13" t="s">
        <v>13185</v>
      </c>
      <c r="F778" s="13" t="s">
        <v>11615</v>
      </c>
    </row>
    <row r="779" spans="1:6" x14ac:dyDescent="0.3">
      <c r="A779" s="24">
        <v>1778</v>
      </c>
      <c r="B779" s="47" t="s">
        <v>5715</v>
      </c>
      <c r="C779" s="47" t="s">
        <v>101</v>
      </c>
      <c r="D779" s="47" t="s">
        <v>12371</v>
      </c>
      <c r="E779" s="13" t="s">
        <v>13054</v>
      </c>
      <c r="F779" s="13" t="s">
        <v>12012</v>
      </c>
    </row>
    <row r="780" spans="1:6" x14ac:dyDescent="0.3">
      <c r="A780" s="24">
        <v>1779</v>
      </c>
      <c r="B780" s="47" t="s">
        <v>5716</v>
      </c>
      <c r="C780" s="47" t="s">
        <v>101</v>
      </c>
      <c r="D780" s="47" t="s">
        <v>12371</v>
      </c>
      <c r="E780" s="13" t="s">
        <v>13055</v>
      </c>
      <c r="F780" s="13" t="s">
        <v>12013</v>
      </c>
    </row>
    <row r="781" spans="1:6" x14ac:dyDescent="0.3">
      <c r="A781" s="24">
        <v>1780</v>
      </c>
      <c r="B781" s="47" t="s">
        <v>11075</v>
      </c>
      <c r="C781" s="47" t="s">
        <v>99</v>
      </c>
      <c r="D781" s="47" t="s">
        <v>12371</v>
      </c>
      <c r="E781" s="13" t="s">
        <v>13056</v>
      </c>
      <c r="F781" s="13" t="s">
        <v>11916</v>
      </c>
    </row>
    <row r="782" spans="1:6" x14ac:dyDescent="0.3">
      <c r="A782" s="24">
        <v>1781</v>
      </c>
      <c r="B782" s="47" t="s">
        <v>5717</v>
      </c>
      <c r="C782" s="47" t="s">
        <v>94</v>
      </c>
      <c r="D782" s="47" t="s">
        <v>12371</v>
      </c>
      <c r="E782" s="13" t="s">
        <v>13057</v>
      </c>
      <c r="F782" s="13" t="s">
        <v>12129</v>
      </c>
    </row>
    <row r="783" spans="1:6" x14ac:dyDescent="0.3">
      <c r="A783" s="24">
        <v>1782</v>
      </c>
      <c r="B783" s="47" t="s">
        <v>5718</v>
      </c>
      <c r="C783" s="47" t="s">
        <v>99</v>
      </c>
      <c r="D783" s="47" t="s">
        <v>12371</v>
      </c>
      <c r="E783" s="13" t="s">
        <v>13058</v>
      </c>
      <c r="F783" s="13" t="s">
        <v>11917</v>
      </c>
    </row>
    <row r="784" spans="1:6" x14ac:dyDescent="0.3">
      <c r="A784" s="24">
        <v>1783</v>
      </c>
      <c r="B784" s="47" t="s">
        <v>11076</v>
      </c>
      <c r="C784" s="47" t="s">
        <v>99</v>
      </c>
      <c r="D784" s="47" t="s">
        <v>12371</v>
      </c>
      <c r="E784" s="13" t="s">
        <v>13059</v>
      </c>
      <c r="F784" s="13" t="s">
        <v>11918</v>
      </c>
    </row>
    <row r="785" spans="1:6" x14ac:dyDescent="0.3">
      <c r="A785" s="24">
        <v>1784</v>
      </c>
      <c r="B785" s="47" t="s">
        <v>5719</v>
      </c>
      <c r="C785" s="47" t="s">
        <v>5328</v>
      </c>
      <c r="D785" s="47" t="s">
        <v>12371</v>
      </c>
      <c r="E785" s="13" t="s">
        <v>13060</v>
      </c>
      <c r="F785" s="13" t="s">
        <v>11548</v>
      </c>
    </row>
    <row r="786" spans="1:6" x14ac:dyDescent="0.3">
      <c r="A786" s="24">
        <v>1785</v>
      </c>
      <c r="B786" s="47" t="s">
        <v>5720</v>
      </c>
      <c r="C786" s="47" t="s">
        <v>99</v>
      </c>
      <c r="D786" s="47" t="s">
        <v>12371</v>
      </c>
      <c r="E786" s="13" t="s">
        <v>13061</v>
      </c>
      <c r="F786" s="13" t="s">
        <v>11919</v>
      </c>
    </row>
    <row r="787" spans="1:6" x14ac:dyDescent="0.3">
      <c r="A787" s="24">
        <v>1786</v>
      </c>
      <c r="B787" s="47" t="s">
        <v>5721</v>
      </c>
      <c r="C787" s="47" t="s">
        <v>5321</v>
      </c>
      <c r="D787" s="47" t="s">
        <v>12371</v>
      </c>
      <c r="E787" s="13" t="s">
        <v>13062</v>
      </c>
      <c r="F787" s="13" t="s">
        <v>11618</v>
      </c>
    </row>
    <row r="788" spans="1:6" x14ac:dyDescent="0.3">
      <c r="A788" s="24">
        <v>1787</v>
      </c>
      <c r="B788" s="47" t="s">
        <v>5722</v>
      </c>
      <c r="C788" s="47" t="s">
        <v>5321</v>
      </c>
      <c r="D788" s="47" t="s">
        <v>12371</v>
      </c>
      <c r="E788" s="13" t="s">
        <v>13063</v>
      </c>
      <c r="F788" s="13" t="s">
        <v>11616</v>
      </c>
    </row>
    <row r="789" spans="1:6" x14ac:dyDescent="0.3">
      <c r="A789" s="24">
        <v>1788</v>
      </c>
      <c r="B789" s="47" t="s">
        <v>5723</v>
      </c>
      <c r="C789" s="47" t="s">
        <v>5321</v>
      </c>
      <c r="D789" s="47" t="s">
        <v>12371</v>
      </c>
      <c r="E789" s="13" t="s">
        <v>13064</v>
      </c>
      <c r="F789" s="13" t="s">
        <v>11617</v>
      </c>
    </row>
    <row r="790" spans="1:6" x14ac:dyDescent="0.3">
      <c r="A790" s="24">
        <v>1789</v>
      </c>
      <c r="B790" s="47" t="s">
        <v>11176</v>
      </c>
      <c r="C790" s="47" t="s">
        <v>94</v>
      </c>
      <c r="D790" s="47" t="s">
        <v>12371</v>
      </c>
      <c r="E790" s="13" t="s">
        <v>13065</v>
      </c>
      <c r="F790" s="13" t="s">
        <v>12130</v>
      </c>
    </row>
    <row r="791" spans="1:6" x14ac:dyDescent="0.3">
      <c r="A791" s="24">
        <v>1790</v>
      </c>
      <c r="B791" s="47" t="s">
        <v>11177</v>
      </c>
      <c r="C791" s="47" t="s">
        <v>94</v>
      </c>
      <c r="D791" s="47" t="s">
        <v>12371</v>
      </c>
      <c r="E791" s="13" t="s">
        <v>13066</v>
      </c>
      <c r="F791" s="13" t="s">
        <v>12131</v>
      </c>
    </row>
    <row r="792" spans="1:6" x14ac:dyDescent="0.3">
      <c r="A792" s="24">
        <v>1791</v>
      </c>
      <c r="B792" s="47" t="s">
        <v>11077</v>
      </c>
      <c r="C792" s="47" t="s">
        <v>99</v>
      </c>
      <c r="D792" s="47" t="s">
        <v>12371</v>
      </c>
      <c r="E792" s="13" t="s">
        <v>13067</v>
      </c>
      <c r="F792" s="13" t="s">
        <v>11920</v>
      </c>
    </row>
    <row r="793" spans="1:6" x14ac:dyDescent="0.3">
      <c r="A793" s="24">
        <v>1792</v>
      </c>
      <c r="B793" s="47" t="s">
        <v>5724</v>
      </c>
      <c r="C793" s="47" t="s">
        <v>99</v>
      </c>
      <c r="D793" s="47" t="s">
        <v>12371</v>
      </c>
      <c r="E793" s="13" t="s">
        <v>13068</v>
      </c>
      <c r="F793" s="13" t="s">
        <v>11921</v>
      </c>
    </row>
    <row r="794" spans="1:6" x14ac:dyDescent="0.3">
      <c r="A794" s="24">
        <v>1793</v>
      </c>
      <c r="B794" s="47" t="s">
        <v>5725</v>
      </c>
      <c r="C794" s="47" t="s">
        <v>103</v>
      </c>
      <c r="D794" s="47" t="s">
        <v>95</v>
      </c>
      <c r="E794" s="13" t="s">
        <v>13186</v>
      </c>
      <c r="F794" s="13" t="s">
        <v>11653</v>
      </c>
    </row>
    <row r="795" spans="1:6" x14ac:dyDescent="0.3">
      <c r="A795" s="24">
        <v>1794</v>
      </c>
      <c r="B795" s="47" t="s">
        <v>11078</v>
      </c>
      <c r="C795" s="47" t="s">
        <v>99</v>
      </c>
      <c r="D795" s="47" t="s">
        <v>12371</v>
      </c>
      <c r="E795" s="13" t="s">
        <v>13069</v>
      </c>
      <c r="F795" s="13" t="s">
        <v>11922</v>
      </c>
    </row>
    <row r="796" spans="1:6" x14ac:dyDescent="0.3">
      <c r="A796" s="24">
        <v>1795</v>
      </c>
      <c r="B796" s="47" t="s">
        <v>11079</v>
      </c>
      <c r="C796" s="47" t="s">
        <v>99</v>
      </c>
      <c r="D796" s="47" t="s">
        <v>12371</v>
      </c>
      <c r="E796" s="13" t="s">
        <v>13070</v>
      </c>
      <c r="F796" s="13" t="s">
        <v>11923</v>
      </c>
    </row>
    <row r="797" spans="1:6" x14ac:dyDescent="0.3">
      <c r="A797" s="24">
        <v>1796</v>
      </c>
      <c r="B797" s="47" t="s">
        <v>11080</v>
      </c>
      <c r="C797" s="47" t="s">
        <v>99</v>
      </c>
      <c r="D797" s="47" t="s">
        <v>12371</v>
      </c>
      <c r="E797" s="13" t="s">
        <v>13071</v>
      </c>
      <c r="F797" s="13" t="s">
        <v>11924</v>
      </c>
    </row>
    <row r="798" spans="1:6" x14ac:dyDescent="0.3">
      <c r="A798" s="24">
        <v>1797</v>
      </c>
      <c r="B798" s="47" t="s">
        <v>11081</v>
      </c>
      <c r="C798" s="47" t="s">
        <v>99</v>
      </c>
      <c r="D798" s="47" t="s">
        <v>12371</v>
      </c>
      <c r="E798" s="13" t="s">
        <v>13072</v>
      </c>
      <c r="F798" s="13" t="s">
        <v>11925</v>
      </c>
    </row>
    <row r="799" spans="1:6" x14ac:dyDescent="0.3">
      <c r="A799" s="24">
        <v>1798</v>
      </c>
      <c r="B799" s="47" t="s">
        <v>11082</v>
      </c>
      <c r="C799" s="47" t="s">
        <v>99</v>
      </c>
      <c r="D799" s="47" t="s">
        <v>12371</v>
      </c>
      <c r="E799" s="13" t="s">
        <v>13073</v>
      </c>
      <c r="F799" s="13" t="s">
        <v>11926</v>
      </c>
    </row>
    <row r="800" spans="1:6" x14ac:dyDescent="0.3">
      <c r="A800" s="24">
        <v>1799</v>
      </c>
      <c r="B800" s="47" t="s">
        <v>11083</v>
      </c>
      <c r="C800" s="47" t="s">
        <v>99</v>
      </c>
      <c r="D800" s="47" t="s">
        <v>12371</v>
      </c>
      <c r="E800" s="13" t="s">
        <v>13074</v>
      </c>
      <c r="F800" s="13" t="s">
        <v>11927</v>
      </c>
    </row>
    <row r="801" spans="1:6" x14ac:dyDescent="0.3">
      <c r="A801" s="24">
        <v>1800</v>
      </c>
      <c r="B801" s="47" t="s">
        <v>11084</v>
      </c>
      <c r="C801" s="47" t="s">
        <v>99</v>
      </c>
      <c r="D801" s="47" t="s">
        <v>95</v>
      </c>
      <c r="E801" s="13" t="s">
        <v>13187</v>
      </c>
      <c r="F801" s="13" t="s">
        <v>11928</v>
      </c>
    </row>
    <row r="802" spans="1:6" x14ac:dyDescent="0.3">
      <c r="A802" s="24">
        <v>1801</v>
      </c>
      <c r="B802" s="47" t="s">
        <v>5726</v>
      </c>
      <c r="C802" s="47" t="s">
        <v>103</v>
      </c>
      <c r="D802" s="47" t="s">
        <v>95</v>
      </c>
      <c r="E802" s="13" t="s">
        <v>13188</v>
      </c>
      <c r="F802" s="13" t="s">
        <v>11654</v>
      </c>
    </row>
    <row r="803" spans="1:6" x14ac:dyDescent="0.3">
      <c r="A803" s="24">
        <v>1802</v>
      </c>
      <c r="B803" s="47" t="s">
        <v>5727</v>
      </c>
      <c r="C803" s="47" t="s">
        <v>99</v>
      </c>
      <c r="D803" s="47" t="s">
        <v>12371</v>
      </c>
      <c r="E803" s="13" t="s">
        <v>13075</v>
      </c>
      <c r="F803" s="13" t="s">
        <v>11929</v>
      </c>
    </row>
    <row r="804" spans="1:6" x14ac:dyDescent="0.3">
      <c r="A804" s="24">
        <v>1803</v>
      </c>
      <c r="B804" s="47" t="s">
        <v>5728</v>
      </c>
      <c r="C804" s="47" t="s">
        <v>99</v>
      </c>
      <c r="D804" s="47" t="s">
        <v>12371</v>
      </c>
      <c r="E804" s="13" t="s">
        <v>13076</v>
      </c>
      <c r="F804" s="13" t="s">
        <v>11930</v>
      </c>
    </row>
    <row r="805" spans="1:6" x14ac:dyDescent="0.3">
      <c r="A805" s="24">
        <v>1804</v>
      </c>
      <c r="B805" s="47" t="s">
        <v>11085</v>
      </c>
      <c r="C805" s="47" t="s">
        <v>99</v>
      </c>
      <c r="D805" s="47" t="s">
        <v>12371</v>
      </c>
      <c r="E805" s="13" t="s">
        <v>13077</v>
      </c>
      <c r="F805" s="13" t="s">
        <v>11931</v>
      </c>
    </row>
    <row r="806" spans="1:6" x14ac:dyDescent="0.3">
      <c r="A806" s="24">
        <v>1805</v>
      </c>
      <c r="B806" s="47" t="s">
        <v>5729</v>
      </c>
      <c r="C806" s="47" t="s">
        <v>99</v>
      </c>
      <c r="D806" s="47" t="s">
        <v>12371</v>
      </c>
      <c r="E806" s="13" t="s">
        <v>13078</v>
      </c>
      <c r="F806" s="13" t="s">
        <v>11932</v>
      </c>
    </row>
    <row r="807" spans="1:6" x14ac:dyDescent="0.3">
      <c r="A807" s="24">
        <v>1806</v>
      </c>
      <c r="B807" s="47" t="s">
        <v>11086</v>
      </c>
      <c r="C807" s="47" t="s">
        <v>99</v>
      </c>
      <c r="D807" s="47" t="s">
        <v>12371</v>
      </c>
      <c r="E807" s="13" t="s">
        <v>13079</v>
      </c>
      <c r="F807" s="13" t="s">
        <v>11933</v>
      </c>
    </row>
    <row r="808" spans="1:6" x14ac:dyDescent="0.3">
      <c r="A808" s="24">
        <v>1807</v>
      </c>
      <c r="B808" s="47" t="s">
        <v>5730</v>
      </c>
      <c r="C808" s="47" t="s">
        <v>5321</v>
      </c>
      <c r="D808" s="47" t="s">
        <v>12371</v>
      </c>
      <c r="E808" s="13" t="s">
        <v>13080</v>
      </c>
      <c r="F808" s="13" t="s">
        <v>11619</v>
      </c>
    </row>
    <row r="809" spans="1:6" x14ac:dyDescent="0.3">
      <c r="A809" s="24">
        <v>1808</v>
      </c>
      <c r="B809" s="47" t="s">
        <v>5731</v>
      </c>
      <c r="C809" s="47" t="s">
        <v>111</v>
      </c>
      <c r="D809" s="47" t="s">
        <v>12371</v>
      </c>
      <c r="E809" s="13" t="s">
        <v>13081</v>
      </c>
      <c r="F809" s="13" t="s">
        <v>11973</v>
      </c>
    </row>
    <row r="810" spans="1:6" x14ac:dyDescent="0.3">
      <c r="A810" s="24"/>
      <c r="B810" s="13"/>
      <c r="C810" s="13"/>
      <c r="D810" s="13"/>
      <c r="E810" s="13"/>
      <c r="F810" s="13"/>
    </row>
    <row r="811" spans="1:6" x14ac:dyDescent="0.3">
      <c r="A811" s="24"/>
      <c r="B811" s="13"/>
      <c r="C811" s="13"/>
      <c r="D811" s="13"/>
      <c r="E811" s="13"/>
      <c r="F811" s="13"/>
    </row>
    <row r="812" spans="1:6" x14ac:dyDescent="0.3">
      <c r="A812" s="24"/>
      <c r="B812" s="13"/>
      <c r="C812" s="13"/>
      <c r="D812" s="13"/>
      <c r="E812" s="13"/>
      <c r="F812" s="13"/>
    </row>
    <row r="813" spans="1:6" x14ac:dyDescent="0.3">
      <c r="A813" s="24"/>
      <c r="B813" s="13"/>
      <c r="C813" s="13"/>
      <c r="D813" s="13"/>
      <c r="E813" s="13"/>
      <c r="F813" s="13"/>
    </row>
    <row r="814" spans="1:6" x14ac:dyDescent="0.3">
      <c r="A814" s="24"/>
      <c r="B814" s="13"/>
      <c r="C814" s="13"/>
      <c r="D814" s="13"/>
      <c r="E814" s="13"/>
      <c r="F814" s="13"/>
    </row>
    <row r="815" spans="1:6" x14ac:dyDescent="0.3">
      <c r="A815" s="24"/>
      <c r="B815" s="13"/>
      <c r="C815" s="13"/>
      <c r="D815" s="13"/>
      <c r="E815" s="13"/>
      <c r="F815" s="13"/>
    </row>
    <row r="816" spans="1:6" x14ac:dyDescent="0.3">
      <c r="A816" s="24"/>
      <c r="B816" s="13"/>
      <c r="C816" s="13"/>
      <c r="D816" s="13"/>
      <c r="E816" s="13"/>
      <c r="F816" s="13"/>
    </row>
    <row r="817" spans="1:6" x14ac:dyDescent="0.3">
      <c r="A817" s="24"/>
      <c r="B817" s="13"/>
      <c r="C817" s="13"/>
      <c r="D817" s="13"/>
      <c r="E817" s="13"/>
      <c r="F817" s="13"/>
    </row>
    <row r="818" spans="1:6" x14ac:dyDescent="0.3">
      <c r="A818" s="24"/>
      <c r="B818" s="13"/>
      <c r="C818" s="13"/>
      <c r="D818" s="13"/>
      <c r="E818" s="13"/>
      <c r="F818" s="13"/>
    </row>
    <row r="819" spans="1:6" x14ac:dyDescent="0.3">
      <c r="A819" s="24"/>
      <c r="B819" s="13"/>
      <c r="C819" s="13"/>
      <c r="D819" s="13"/>
      <c r="E819" s="13"/>
      <c r="F819" s="13"/>
    </row>
    <row r="820" spans="1:6" x14ac:dyDescent="0.3">
      <c r="A820" s="24"/>
      <c r="B820" s="13"/>
      <c r="C820" s="13"/>
      <c r="D820" s="13"/>
      <c r="E820" s="13"/>
      <c r="F820" s="13"/>
    </row>
    <row r="821" spans="1:6" x14ac:dyDescent="0.3">
      <c r="A821" s="24"/>
      <c r="B821" s="13"/>
      <c r="C821" s="13"/>
      <c r="D821" s="13"/>
      <c r="E821" s="13"/>
      <c r="F821" s="13"/>
    </row>
    <row r="822" spans="1:6" x14ac:dyDescent="0.3">
      <c r="A822" s="24"/>
      <c r="B822" s="13"/>
      <c r="C822" s="13"/>
      <c r="D822" s="13"/>
      <c r="E822" s="13"/>
      <c r="F822" s="13"/>
    </row>
    <row r="823" spans="1:6" x14ac:dyDescent="0.3">
      <c r="A823" s="24"/>
      <c r="B823" s="13"/>
      <c r="C823" s="13"/>
      <c r="D823" s="13"/>
      <c r="E823" s="13"/>
      <c r="F823" s="13"/>
    </row>
    <row r="824" spans="1:6" x14ac:dyDescent="0.3">
      <c r="A824" s="24"/>
      <c r="B824" s="13"/>
      <c r="C824" s="13"/>
      <c r="D824" s="13"/>
      <c r="E824" s="13"/>
      <c r="F824" s="13"/>
    </row>
    <row r="825" spans="1:6" x14ac:dyDescent="0.3">
      <c r="A825" s="24"/>
      <c r="B825" s="13"/>
      <c r="C825" s="13"/>
      <c r="D825" s="13"/>
      <c r="E825" s="13"/>
      <c r="F825" s="13"/>
    </row>
    <row r="826" spans="1:6" x14ac:dyDescent="0.3">
      <c r="A826" s="24"/>
      <c r="B826" s="13"/>
      <c r="C826" s="13"/>
      <c r="D826" s="13"/>
      <c r="E826" s="13"/>
      <c r="F826" s="13"/>
    </row>
    <row r="827" spans="1:6" x14ac:dyDescent="0.3">
      <c r="A827" s="24"/>
      <c r="B827" s="13"/>
      <c r="C827" s="13"/>
      <c r="D827" s="13"/>
      <c r="E827" s="13"/>
      <c r="F827" s="13"/>
    </row>
    <row r="828" spans="1:6" x14ac:dyDescent="0.3">
      <c r="A828" s="24"/>
      <c r="B828" s="13"/>
      <c r="C828" s="13"/>
      <c r="D828" s="13"/>
      <c r="E828" s="13"/>
      <c r="F828" s="13"/>
    </row>
    <row r="829" spans="1:6" x14ac:dyDescent="0.3">
      <c r="A829" s="24"/>
      <c r="B829" s="13"/>
      <c r="C829" s="13"/>
      <c r="D829" s="13"/>
      <c r="E829" s="13"/>
      <c r="F829" s="13"/>
    </row>
    <row r="830" spans="1:6" x14ac:dyDescent="0.3">
      <c r="A830" s="24"/>
      <c r="B830" s="13"/>
      <c r="C830" s="13"/>
      <c r="D830" s="13"/>
      <c r="E830" s="13"/>
      <c r="F830" s="1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G5200"/>
  <sheetViews>
    <sheetView topLeftCell="A5184" workbookViewId="0">
      <selection activeCell="B5200" sqref="B5200"/>
    </sheetView>
  </sheetViews>
  <sheetFormatPr defaultRowHeight="14.4" x14ac:dyDescent="0.3"/>
  <cols>
    <col min="1" max="1" width="30" style="6" bestFit="1" customWidth="1"/>
    <col min="2" max="2" width="34.33203125" style="6" bestFit="1" customWidth="1"/>
    <col min="3" max="3" width="52" style="6" bestFit="1" customWidth="1"/>
    <col min="4" max="4" width="10.6640625" style="6" bestFit="1" customWidth="1"/>
    <col min="5" max="5" width="22.33203125" style="6" bestFit="1" customWidth="1"/>
    <col min="6" max="6" width="14.5546875" style="6" bestFit="1" customWidth="1"/>
    <col min="7" max="16384" width="8.88671875" style="6"/>
  </cols>
  <sheetData>
    <row r="1" spans="1:7" x14ac:dyDescent="0.3">
      <c r="A1" s="40" t="s">
        <v>129</v>
      </c>
      <c r="B1" s="40" t="s">
        <v>130</v>
      </c>
      <c r="C1" s="40" t="s">
        <v>131</v>
      </c>
      <c r="D1" s="41" t="s">
        <v>16</v>
      </c>
      <c r="E1" s="41" t="s">
        <v>132</v>
      </c>
      <c r="F1" s="41" t="s">
        <v>133</v>
      </c>
      <c r="G1" s="41" t="s">
        <v>13205</v>
      </c>
    </row>
    <row r="2" spans="1:7" x14ac:dyDescent="0.3">
      <c r="A2" s="42" t="s">
        <v>134</v>
      </c>
      <c r="B2" s="42" t="s">
        <v>135</v>
      </c>
      <c r="C2" s="42" t="s">
        <v>5743</v>
      </c>
      <c r="D2" s="43" t="s">
        <v>136</v>
      </c>
      <c r="E2" s="43" t="s">
        <v>92</v>
      </c>
      <c r="F2" s="42" t="s">
        <v>192</v>
      </c>
      <c r="G2" t="s">
        <v>13196</v>
      </c>
    </row>
    <row r="3" spans="1:7" x14ac:dyDescent="0.3">
      <c r="A3" s="42" t="s">
        <v>134</v>
      </c>
      <c r="B3" s="42" t="s">
        <v>138</v>
      </c>
      <c r="C3" s="42" t="s">
        <v>5744</v>
      </c>
      <c r="D3" s="43" t="s">
        <v>136</v>
      </c>
      <c r="E3" s="43" t="s">
        <v>92</v>
      </c>
      <c r="F3" s="42" t="s">
        <v>11469</v>
      </c>
      <c r="G3" t="s">
        <v>13197</v>
      </c>
    </row>
    <row r="4" spans="1:7" x14ac:dyDescent="0.3">
      <c r="A4" s="42" t="s">
        <v>134</v>
      </c>
      <c r="B4" s="42" t="s">
        <v>139</v>
      </c>
      <c r="C4" s="42" t="s">
        <v>5745</v>
      </c>
      <c r="D4" s="43" t="s">
        <v>136</v>
      </c>
      <c r="E4" s="43" t="s">
        <v>92</v>
      </c>
      <c r="F4" s="42" t="s">
        <v>11469</v>
      </c>
      <c r="G4" t="s">
        <v>13197</v>
      </c>
    </row>
    <row r="5" spans="1:7" x14ac:dyDescent="0.3">
      <c r="A5" s="42" t="s">
        <v>134</v>
      </c>
      <c r="B5" s="42" t="s">
        <v>140</v>
      </c>
      <c r="C5" s="42" t="s">
        <v>5746</v>
      </c>
      <c r="D5" s="43" t="s">
        <v>136</v>
      </c>
      <c r="E5" s="43" t="s">
        <v>92</v>
      </c>
      <c r="F5" s="42" t="s">
        <v>11469</v>
      </c>
      <c r="G5" t="s">
        <v>13197</v>
      </c>
    </row>
    <row r="6" spans="1:7" x14ac:dyDescent="0.3">
      <c r="A6" s="42" t="s">
        <v>134</v>
      </c>
      <c r="B6" s="42" t="s">
        <v>141</v>
      </c>
      <c r="C6" s="42" t="s">
        <v>5747</v>
      </c>
      <c r="D6" s="43" t="s">
        <v>136</v>
      </c>
      <c r="E6" s="43" t="s">
        <v>92</v>
      </c>
      <c r="F6" s="42" t="s">
        <v>11469</v>
      </c>
      <c r="G6" t="s">
        <v>13197</v>
      </c>
    </row>
    <row r="7" spans="1:7" x14ac:dyDescent="0.3">
      <c r="A7" s="42" t="s">
        <v>134</v>
      </c>
      <c r="B7" s="42" t="s">
        <v>142</v>
      </c>
      <c r="C7" s="42" t="s">
        <v>5748</v>
      </c>
      <c r="D7" s="43" t="s">
        <v>136</v>
      </c>
      <c r="E7" s="43" t="s">
        <v>92</v>
      </c>
      <c r="F7" s="42" t="s">
        <v>11469</v>
      </c>
      <c r="G7" t="s">
        <v>13197</v>
      </c>
    </row>
    <row r="8" spans="1:7" x14ac:dyDescent="0.3">
      <c r="A8" s="42" t="s">
        <v>134</v>
      </c>
      <c r="B8" s="42" t="s">
        <v>143</v>
      </c>
      <c r="C8" s="42" t="s">
        <v>5749</v>
      </c>
      <c r="D8" s="43" t="s">
        <v>136</v>
      </c>
      <c r="E8" s="43" t="s">
        <v>92</v>
      </c>
      <c r="F8" s="42" t="s">
        <v>11469</v>
      </c>
      <c r="G8" t="s">
        <v>13197</v>
      </c>
    </row>
    <row r="9" spans="1:7" x14ac:dyDescent="0.3">
      <c r="A9" s="42" t="s">
        <v>134</v>
      </c>
      <c r="B9" s="42" t="s">
        <v>144</v>
      </c>
      <c r="C9" s="42" t="s">
        <v>5750</v>
      </c>
      <c r="D9" s="43" t="s">
        <v>136</v>
      </c>
      <c r="E9" s="43" t="s">
        <v>92</v>
      </c>
      <c r="F9" s="42" t="s">
        <v>11469</v>
      </c>
      <c r="G9" t="s">
        <v>13197</v>
      </c>
    </row>
    <row r="10" spans="1:7" x14ac:dyDescent="0.3">
      <c r="A10" s="42" t="s">
        <v>134</v>
      </c>
      <c r="B10" s="42" t="s">
        <v>145</v>
      </c>
      <c r="C10" s="42" t="s">
        <v>5751</v>
      </c>
      <c r="D10" s="43" t="s">
        <v>136</v>
      </c>
      <c r="E10" s="43" t="s">
        <v>92</v>
      </c>
      <c r="F10" s="42" t="s">
        <v>11469</v>
      </c>
      <c r="G10" t="s">
        <v>13197</v>
      </c>
    </row>
    <row r="11" spans="1:7" x14ac:dyDescent="0.3">
      <c r="A11" s="42" t="s">
        <v>134</v>
      </c>
      <c r="B11" s="42" t="s">
        <v>146</v>
      </c>
      <c r="C11" s="42" t="s">
        <v>5752</v>
      </c>
      <c r="D11" s="43" t="s">
        <v>136</v>
      </c>
      <c r="E11" s="43" t="s">
        <v>92</v>
      </c>
      <c r="F11" s="42" t="s">
        <v>11469</v>
      </c>
      <c r="G11" t="s">
        <v>13197</v>
      </c>
    </row>
    <row r="12" spans="1:7" x14ac:dyDescent="0.3">
      <c r="A12" s="42" t="s">
        <v>134</v>
      </c>
      <c r="B12" s="42" t="s">
        <v>147</v>
      </c>
      <c r="C12" s="42" t="s">
        <v>5753</v>
      </c>
      <c r="D12" s="43" t="s">
        <v>136</v>
      </c>
      <c r="E12" s="43" t="s">
        <v>92</v>
      </c>
      <c r="F12" s="42" t="s">
        <v>11469</v>
      </c>
      <c r="G12" t="s">
        <v>13197</v>
      </c>
    </row>
    <row r="13" spans="1:7" x14ac:dyDescent="0.3">
      <c r="A13" s="42" t="s">
        <v>134</v>
      </c>
      <c r="B13" s="42" t="s">
        <v>148</v>
      </c>
      <c r="C13" s="42" t="s">
        <v>5754</v>
      </c>
      <c r="D13" s="43" t="s">
        <v>136</v>
      </c>
      <c r="E13" s="43" t="s">
        <v>92</v>
      </c>
      <c r="F13" s="42" t="s">
        <v>11469</v>
      </c>
      <c r="G13" t="s">
        <v>13197</v>
      </c>
    </row>
    <row r="14" spans="1:7" x14ac:dyDescent="0.3">
      <c r="A14" s="42" t="s">
        <v>134</v>
      </c>
      <c r="B14" s="42" t="s">
        <v>149</v>
      </c>
      <c r="C14" s="42" t="s">
        <v>5755</v>
      </c>
      <c r="D14" s="43" t="s">
        <v>136</v>
      </c>
      <c r="E14" s="43" t="s">
        <v>92</v>
      </c>
      <c r="F14" s="42" t="s">
        <v>11469</v>
      </c>
      <c r="G14" t="s">
        <v>13197</v>
      </c>
    </row>
    <row r="15" spans="1:7" x14ac:dyDescent="0.3">
      <c r="A15" s="42" t="s">
        <v>134</v>
      </c>
      <c r="B15" s="42" t="s">
        <v>150</v>
      </c>
      <c r="C15" s="42" t="s">
        <v>5756</v>
      </c>
      <c r="D15" s="43" t="s">
        <v>136</v>
      </c>
      <c r="E15" s="43" t="s">
        <v>92</v>
      </c>
      <c r="F15" s="42" t="s">
        <v>11469</v>
      </c>
      <c r="G15" t="s">
        <v>13197</v>
      </c>
    </row>
    <row r="16" spans="1:7" x14ac:dyDescent="0.3">
      <c r="A16" s="42" t="s">
        <v>134</v>
      </c>
      <c r="B16" s="42" t="s">
        <v>151</v>
      </c>
      <c r="C16" s="42" t="s">
        <v>5757</v>
      </c>
      <c r="D16" s="43" t="s">
        <v>136</v>
      </c>
      <c r="E16" s="43" t="s">
        <v>92</v>
      </c>
      <c r="F16" s="42" t="s">
        <v>11469</v>
      </c>
      <c r="G16" t="s">
        <v>13197</v>
      </c>
    </row>
    <row r="17" spans="1:7" x14ac:dyDescent="0.3">
      <c r="A17" s="42" t="s">
        <v>134</v>
      </c>
      <c r="B17" s="42" t="s">
        <v>152</v>
      </c>
      <c r="C17" s="42" t="s">
        <v>5758</v>
      </c>
      <c r="D17" s="43" t="s">
        <v>136</v>
      </c>
      <c r="E17" s="43" t="s">
        <v>92</v>
      </c>
      <c r="F17" s="42" t="s">
        <v>11469</v>
      </c>
      <c r="G17" t="s">
        <v>13197</v>
      </c>
    </row>
    <row r="18" spans="1:7" x14ac:dyDescent="0.3">
      <c r="A18" s="42" t="s">
        <v>134</v>
      </c>
      <c r="B18" s="42" t="s">
        <v>153</v>
      </c>
      <c r="C18" s="42" t="s">
        <v>5759</v>
      </c>
      <c r="D18" s="43" t="s">
        <v>136</v>
      </c>
      <c r="E18" s="43" t="s">
        <v>92</v>
      </c>
      <c r="F18" s="42" t="s">
        <v>11469</v>
      </c>
      <c r="G18" t="s">
        <v>13197</v>
      </c>
    </row>
    <row r="19" spans="1:7" x14ac:dyDescent="0.3">
      <c r="A19" s="42" t="s">
        <v>134</v>
      </c>
      <c r="B19" s="42" t="s">
        <v>154</v>
      </c>
      <c r="C19" s="42" t="s">
        <v>5760</v>
      </c>
      <c r="D19" s="43" t="s">
        <v>136</v>
      </c>
      <c r="E19" s="43" t="s">
        <v>92</v>
      </c>
      <c r="F19" s="42" t="s">
        <v>11469</v>
      </c>
      <c r="G19" t="s">
        <v>13197</v>
      </c>
    </row>
    <row r="20" spans="1:7" x14ac:dyDescent="0.3">
      <c r="A20" s="42" t="s">
        <v>134</v>
      </c>
      <c r="B20" s="42" t="s">
        <v>155</v>
      </c>
      <c r="C20" s="42" t="s">
        <v>5761</v>
      </c>
      <c r="D20" s="43" t="s">
        <v>136</v>
      </c>
      <c r="E20" s="43" t="s">
        <v>92</v>
      </c>
      <c r="F20" s="42" t="s">
        <v>11469</v>
      </c>
      <c r="G20" t="s">
        <v>13197</v>
      </c>
    </row>
    <row r="21" spans="1:7" x14ac:dyDescent="0.3">
      <c r="A21" s="42" t="s">
        <v>134</v>
      </c>
      <c r="B21" s="42" t="s">
        <v>235</v>
      </c>
      <c r="C21" s="42" t="s">
        <v>5762</v>
      </c>
      <c r="D21" s="43" t="s">
        <v>136</v>
      </c>
      <c r="E21" s="43" t="s">
        <v>92</v>
      </c>
      <c r="F21" s="42" t="s">
        <v>11469</v>
      </c>
      <c r="G21" t="s">
        <v>13197</v>
      </c>
    </row>
    <row r="22" spans="1:7" x14ac:dyDescent="0.3">
      <c r="A22" s="42" t="s">
        <v>134</v>
      </c>
      <c r="B22" s="42" t="s">
        <v>236</v>
      </c>
      <c r="C22" s="42" t="s">
        <v>5763</v>
      </c>
      <c r="D22" s="43" t="s">
        <v>136</v>
      </c>
      <c r="E22" s="43" t="s">
        <v>92</v>
      </c>
      <c r="F22" s="42" t="s">
        <v>11469</v>
      </c>
      <c r="G22" t="s">
        <v>13197</v>
      </c>
    </row>
    <row r="23" spans="1:7" x14ac:dyDescent="0.3">
      <c r="A23" s="42" t="s">
        <v>134</v>
      </c>
      <c r="B23" s="42" t="s">
        <v>237</v>
      </c>
      <c r="C23" s="42" t="s">
        <v>5764</v>
      </c>
      <c r="D23" s="43" t="s">
        <v>136</v>
      </c>
      <c r="E23" s="43" t="s">
        <v>92</v>
      </c>
      <c r="F23" s="42" t="s">
        <v>11469</v>
      </c>
      <c r="G23" t="s">
        <v>13197</v>
      </c>
    </row>
    <row r="24" spans="1:7" x14ac:dyDescent="0.3">
      <c r="A24" s="42" t="s">
        <v>238</v>
      </c>
      <c r="B24" s="42" t="s">
        <v>239</v>
      </c>
      <c r="C24" s="42" t="s">
        <v>5765</v>
      </c>
      <c r="D24" s="43" t="s">
        <v>229</v>
      </c>
      <c r="E24" s="43" t="s">
        <v>92</v>
      </c>
      <c r="F24" s="42" t="s">
        <v>11469</v>
      </c>
      <c r="G24" t="s">
        <v>13197</v>
      </c>
    </row>
    <row r="25" spans="1:7" x14ac:dyDescent="0.3">
      <c r="A25" s="42" t="s">
        <v>238</v>
      </c>
      <c r="B25" s="42" t="s">
        <v>240</v>
      </c>
      <c r="C25" s="42" t="s">
        <v>5766</v>
      </c>
      <c r="D25" s="43" t="s">
        <v>229</v>
      </c>
      <c r="E25" s="43" t="s">
        <v>92</v>
      </c>
      <c r="F25" s="42" t="s">
        <v>11469</v>
      </c>
      <c r="G25" t="s">
        <v>13197</v>
      </c>
    </row>
    <row r="26" spans="1:7" x14ac:dyDescent="0.3">
      <c r="A26" s="42" t="s">
        <v>238</v>
      </c>
      <c r="B26" s="42" t="s">
        <v>241</v>
      </c>
      <c r="C26" s="42" t="s">
        <v>5767</v>
      </c>
      <c r="D26" s="43" t="s">
        <v>229</v>
      </c>
      <c r="E26" s="43" t="s">
        <v>92</v>
      </c>
      <c r="F26" s="42" t="s">
        <v>11469</v>
      </c>
      <c r="G26" t="s">
        <v>13197</v>
      </c>
    </row>
    <row r="27" spans="1:7" x14ac:dyDescent="0.3">
      <c r="A27" s="42" t="s">
        <v>238</v>
      </c>
      <c r="B27" s="42" t="s">
        <v>242</v>
      </c>
      <c r="C27" s="42" t="s">
        <v>5768</v>
      </c>
      <c r="D27" s="43" t="s">
        <v>229</v>
      </c>
      <c r="E27" s="43" t="s">
        <v>92</v>
      </c>
      <c r="F27" s="42" t="s">
        <v>11469</v>
      </c>
      <c r="G27" t="s">
        <v>13197</v>
      </c>
    </row>
    <row r="28" spans="1:7" x14ac:dyDescent="0.3">
      <c r="A28" s="42" t="s">
        <v>238</v>
      </c>
      <c r="B28" s="42" t="s">
        <v>243</v>
      </c>
      <c r="C28" s="42" t="s">
        <v>5769</v>
      </c>
      <c r="D28" s="43" t="s">
        <v>229</v>
      </c>
      <c r="E28" s="43" t="s">
        <v>92</v>
      </c>
      <c r="F28" s="42" t="s">
        <v>11469</v>
      </c>
      <c r="G28" t="s">
        <v>13197</v>
      </c>
    </row>
    <row r="29" spans="1:7" x14ac:dyDescent="0.3">
      <c r="A29" s="42" t="s">
        <v>238</v>
      </c>
      <c r="B29" s="42" t="s">
        <v>244</v>
      </c>
      <c r="C29" s="42" t="s">
        <v>5770</v>
      </c>
      <c r="D29" s="43" t="s">
        <v>229</v>
      </c>
      <c r="E29" s="43" t="s">
        <v>92</v>
      </c>
      <c r="F29" s="42" t="s">
        <v>11469</v>
      </c>
      <c r="G29" t="s">
        <v>13197</v>
      </c>
    </row>
    <row r="30" spans="1:7" x14ac:dyDescent="0.3">
      <c r="A30" s="42" t="s">
        <v>238</v>
      </c>
      <c r="B30" s="42" t="s">
        <v>245</v>
      </c>
      <c r="C30" s="42" t="s">
        <v>5771</v>
      </c>
      <c r="D30" s="43" t="s">
        <v>229</v>
      </c>
      <c r="E30" s="43" t="s">
        <v>92</v>
      </c>
      <c r="F30" s="42" t="s">
        <v>11469</v>
      </c>
      <c r="G30" t="s">
        <v>13197</v>
      </c>
    </row>
    <row r="31" spans="1:7" x14ac:dyDescent="0.3">
      <c r="A31" s="42" t="s">
        <v>238</v>
      </c>
      <c r="B31" s="42" t="s">
        <v>246</v>
      </c>
      <c r="C31" s="42" t="s">
        <v>5772</v>
      </c>
      <c r="D31" s="43" t="s">
        <v>229</v>
      </c>
      <c r="E31" s="43" t="s">
        <v>92</v>
      </c>
      <c r="F31" s="42" t="s">
        <v>11469</v>
      </c>
      <c r="G31" t="s">
        <v>13197</v>
      </c>
    </row>
    <row r="32" spans="1:7" x14ac:dyDescent="0.3">
      <c r="A32" s="42" t="s">
        <v>238</v>
      </c>
      <c r="B32" s="42" t="s">
        <v>247</v>
      </c>
      <c r="C32" s="42" t="s">
        <v>5773</v>
      </c>
      <c r="D32" s="43" t="s">
        <v>229</v>
      </c>
      <c r="E32" s="43" t="s">
        <v>92</v>
      </c>
      <c r="F32" s="42" t="s">
        <v>11469</v>
      </c>
      <c r="G32" t="s">
        <v>13197</v>
      </c>
    </row>
    <row r="33" spans="1:7" x14ac:dyDescent="0.3">
      <c r="A33" s="42" t="s">
        <v>238</v>
      </c>
      <c r="B33" s="42" t="s">
        <v>248</v>
      </c>
      <c r="C33" s="42" t="s">
        <v>5774</v>
      </c>
      <c r="D33" s="43" t="s">
        <v>229</v>
      </c>
      <c r="E33" s="43" t="s">
        <v>92</v>
      </c>
      <c r="F33" s="42" t="s">
        <v>11469</v>
      </c>
      <c r="G33" t="s">
        <v>13197</v>
      </c>
    </row>
    <row r="34" spans="1:7" x14ac:dyDescent="0.3">
      <c r="A34" s="42" t="s">
        <v>238</v>
      </c>
      <c r="B34" s="42" t="s">
        <v>249</v>
      </c>
      <c r="C34" s="42" t="s">
        <v>5775</v>
      </c>
      <c r="D34" s="43" t="s">
        <v>229</v>
      </c>
      <c r="E34" s="43" t="s">
        <v>92</v>
      </c>
      <c r="F34" s="42" t="s">
        <v>11469</v>
      </c>
      <c r="G34" t="s">
        <v>13197</v>
      </c>
    </row>
    <row r="35" spans="1:7" x14ac:dyDescent="0.3">
      <c r="A35" s="42" t="s">
        <v>238</v>
      </c>
      <c r="B35" s="42" t="s">
        <v>250</v>
      </c>
      <c r="C35" s="42" t="s">
        <v>5776</v>
      </c>
      <c r="D35" s="43" t="s">
        <v>229</v>
      </c>
      <c r="E35" s="43" t="s">
        <v>92</v>
      </c>
      <c r="F35" s="42" t="s">
        <v>11469</v>
      </c>
      <c r="G35" t="s">
        <v>13197</v>
      </c>
    </row>
    <row r="36" spans="1:7" x14ac:dyDescent="0.3">
      <c r="A36" s="42" t="s">
        <v>238</v>
      </c>
      <c r="B36" s="42" t="s">
        <v>251</v>
      </c>
      <c r="C36" s="42" t="s">
        <v>5777</v>
      </c>
      <c r="D36" s="43" t="s">
        <v>229</v>
      </c>
      <c r="E36" s="43" t="s">
        <v>92</v>
      </c>
      <c r="F36" s="42" t="s">
        <v>11469</v>
      </c>
      <c r="G36" t="s">
        <v>13197</v>
      </c>
    </row>
    <row r="37" spans="1:7" x14ac:dyDescent="0.3">
      <c r="A37" s="42" t="s">
        <v>238</v>
      </c>
      <c r="B37" s="42" t="s">
        <v>252</v>
      </c>
      <c r="C37" s="42" t="s">
        <v>5778</v>
      </c>
      <c r="D37" s="43" t="s">
        <v>229</v>
      </c>
      <c r="E37" s="43" t="s">
        <v>92</v>
      </c>
      <c r="F37" s="42" t="s">
        <v>11469</v>
      </c>
      <c r="G37" t="s">
        <v>13197</v>
      </c>
    </row>
    <row r="38" spans="1:7" x14ac:dyDescent="0.3">
      <c r="A38" s="42" t="s">
        <v>238</v>
      </c>
      <c r="B38" s="42" t="s">
        <v>253</v>
      </c>
      <c r="C38" s="42" t="s">
        <v>5779</v>
      </c>
      <c r="D38" s="43" t="s">
        <v>229</v>
      </c>
      <c r="E38" s="43" t="s">
        <v>92</v>
      </c>
      <c r="F38" s="42" t="s">
        <v>11469</v>
      </c>
      <c r="G38" t="s">
        <v>13197</v>
      </c>
    </row>
    <row r="39" spans="1:7" x14ac:dyDescent="0.3">
      <c r="A39" s="42" t="s">
        <v>238</v>
      </c>
      <c r="B39" s="42" t="s">
        <v>254</v>
      </c>
      <c r="C39" s="42" t="s">
        <v>5780</v>
      </c>
      <c r="D39" s="43" t="s">
        <v>229</v>
      </c>
      <c r="E39" s="43" t="s">
        <v>92</v>
      </c>
      <c r="F39" s="42" t="s">
        <v>11469</v>
      </c>
      <c r="G39" t="s">
        <v>13197</v>
      </c>
    </row>
    <row r="40" spans="1:7" x14ac:dyDescent="0.3">
      <c r="A40" s="42" t="s">
        <v>238</v>
      </c>
      <c r="B40" s="42" t="s">
        <v>255</v>
      </c>
      <c r="C40" s="42" t="s">
        <v>5781</v>
      </c>
      <c r="D40" s="43" t="s">
        <v>229</v>
      </c>
      <c r="E40" s="43" t="s">
        <v>92</v>
      </c>
      <c r="F40" s="42" t="s">
        <v>192</v>
      </c>
      <c r="G40" t="s">
        <v>13196</v>
      </c>
    </row>
    <row r="41" spans="1:7" x14ac:dyDescent="0.3">
      <c r="A41" s="42" t="s">
        <v>238</v>
      </c>
      <c r="B41" s="42" t="s">
        <v>256</v>
      </c>
      <c r="C41" s="42" t="s">
        <v>5782</v>
      </c>
      <c r="D41" s="43" t="s">
        <v>229</v>
      </c>
      <c r="E41" s="43" t="s">
        <v>92</v>
      </c>
      <c r="F41" s="42" t="s">
        <v>11469</v>
      </c>
      <c r="G41" t="s">
        <v>13197</v>
      </c>
    </row>
    <row r="42" spans="1:7" x14ac:dyDescent="0.3">
      <c r="A42" s="42" t="s">
        <v>238</v>
      </c>
      <c r="B42" s="42" t="s">
        <v>257</v>
      </c>
      <c r="C42" s="42" t="s">
        <v>5783</v>
      </c>
      <c r="D42" s="43" t="s">
        <v>229</v>
      </c>
      <c r="E42" s="43" t="s">
        <v>92</v>
      </c>
      <c r="F42" s="42" t="s">
        <v>192</v>
      </c>
      <c r="G42" t="s">
        <v>13196</v>
      </c>
    </row>
    <row r="43" spans="1:7" x14ac:dyDescent="0.3">
      <c r="A43" s="42" t="s">
        <v>238</v>
      </c>
      <c r="B43" s="42" t="s">
        <v>258</v>
      </c>
      <c r="C43" s="42" t="s">
        <v>5784</v>
      </c>
      <c r="D43" s="43" t="s">
        <v>229</v>
      </c>
      <c r="E43" s="43" t="s">
        <v>92</v>
      </c>
      <c r="F43" s="42" t="s">
        <v>11469</v>
      </c>
      <c r="G43" t="s">
        <v>13197</v>
      </c>
    </row>
    <row r="44" spans="1:7" x14ac:dyDescent="0.3">
      <c r="A44" s="42" t="s">
        <v>238</v>
      </c>
      <c r="B44" s="42" t="s">
        <v>259</v>
      </c>
      <c r="C44" s="42" t="s">
        <v>5785</v>
      </c>
      <c r="D44" s="43" t="s">
        <v>229</v>
      </c>
      <c r="E44" s="43" t="s">
        <v>92</v>
      </c>
      <c r="F44" s="42" t="s">
        <v>11469</v>
      </c>
      <c r="G44" t="s">
        <v>13197</v>
      </c>
    </row>
    <row r="45" spans="1:7" x14ac:dyDescent="0.3">
      <c r="A45" s="42" t="s">
        <v>238</v>
      </c>
      <c r="B45" s="42" t="s">
        <v>260</v>
      </c>
      <c r="C45" s="42" t="s">
        <v>5786</v>
      </c>
      <c r="D45" s="43" t="s">
        <v>229</v>
      </c>
      <c r="E45" s="43" t="s">
        <v>92</v>
      </c>
      <c r="F45" s="42" t="s">
        <v>11469</v>
      </c>
      <c r="G45" t="s">
        <v>13198</v>
      </c>
    </row>
    <row r="46" spans="1:7" x14ac:dyDescent="0.3">
      <c r="A46" s="42" t="s">
        <v>238</v>
      </c>
      <c r="B46" s="42" t="s">
        <v>261</v>
      </c>
      <c r="C46" s="42" t="s">
        <v>5787</v>
      </c>
      <c r="D46" s="43" t="s">
        <v>229</v>
      </c>
      <c r="E46" s="43" t="s">
        <v>92</v>
      </c>
      <c r="F46" s="42" t="s">
        <v>11469</v>
      </c>
      <c r="G46" t="s">
        <v>13198</v>
      </c>
    </row>
    <row r="47" spans="1:7" x14ac:dyDescent="0.3">
      <c r="A47" s="42" t="s">
        <v>238</v>
      </c>
      <c r="B47" s="42" t="s">
        <v>262</v>
      </c>
      <c r="C47" s="42" t="s">
        <v>5788</v>
      </c>
      <c r="D47" s="43" t="s">
        <v>229</v>
      </c>
      <c r="E47" s="43" t="s">
        <v>92</v>
      </c>
      <c r="F47" s="42" t="s">
        <v>11469</v>
      </c>
      <c r="G47" t="s">
        <v>13197</v>
      </c>
    </row>
    <row r="48" spans="1:7" x14ac:dyDescent="0.3">
      <c r="A48" s="42" t="s">
        <v>238</v>
      </c>
      <c r="B48" s="42" t="s">
        <v>263</v>
      </c>
      <c r="C48" s="42" t="s">
        <v>5789</v>
      </c>
      <c r="D48" s="43" t="s">
        <v>229</v>
      </c>
      <c r="E48" s="43" t="s">
        <v>92</v>
      </c>
      <c r="F48" s="42" t="s">
        <v>11469</v>
      </c>
      <c r="G48" t="s">
        <v>13197</v>
      </c>
    </row>
    <row r="49" spans="1:7" x14ac:dyDescent="0.3">
      <c r="A49" s="42" t="s">
        <v>238</v>
      </c>
      <c r="B49" s="42" t="s">
        <v>264</v>
      </c>
      <c r="C49" s="42" t="s">
        <v>5790</v>
      </c>
      <c r="D49" s="43" t="s">
        <v>229</v>
      </c>
      <c r="E49" s="43" t="s">
        <v>92</v>
      </c>
      <c r="F49" s="42" t="s">
        <v>11469</v>
      </c>
      <c r="G49" t="s">
        <v>13197</v>
      </c>
    </row>
    <row r="50" spans="1:7" x14ac:dyDescent="0.3">
      <c r="A50" s="42" t="s">
        <v>238</v>
      </c>
      <c r="B50" s="42" t="s">
        <v>265</v>
      </c>
      <c r="C50" s="42" t="s">
        <v>5791</v>
      </c>
      <c r="D50" s="43" t="s">
        <v>229</v>
      </c>
      <c r="E50" s="43" t="s">
        <v>92</v>
      </c>
      <c r="F50" s="42" t="s">
        <v>11469</v>
      </c>
      <c r="G50" t="s">
        <v>13197</v>
      </c>
    </row>
    <row r="51" spans="1:7" x14ac:dyDescent="0.3">
      <c r="A51" s="42" t="s">
        <v>238</v>
      </c>
      <c r="B51" s="42" t="s">
        <v>266</v>
      </c>
      <c r="C51" s="42" t="s">
        <v>5792</v>
      </c>
      <c r="D51" s="43" t="s">
        <v>229</v>
      </c>
      <c r="E51" s="43" t="s">
        <v>92</v>
      </c>
      <c r="F51" s="42" t="s">
        <v>11469</v>
      </c>
      <c r="G51" t="s">
        <v>13197</v>
      </c>
    </row>
    <row r="52" spans="1:7" x14ac:dyDescent="0.3">
      <c r="A52" s="42" t="s">
        <v>238</v>
      </c>
      <c r="B52" s="42" t="s">
        <v>267</v>
      </c>
      <c r="C52" s="42" t="s">
        <v>5793</v>
      </c>
      <c r="D52" s="43" t="s">
        <v>229</v>
      </c>
      <c r="E52" s="43" t="s">
        <v>92</v>
      </c>
      <c r="F52" s="42" t="s">
        <v>11469</v>
      </c>
      <c r="G52" t="s">
        <v>13197</v>
      </c>
    </row>
    <row r="53" spans="1:7" x14ac:dyDescent="0.3">
      <c r="A53" s="42" t="s">
        <v>238</v>
      </c>
      <c r="B53" s="42" t="s">
        <v>268</v>
      </c>
      <c r="C53" s="42" t="s">
        <v>5794</v>
      </c>
      <c r="D53" s="43" t="s">
        <v>229</v>
      </c>
      <c r="E53" s="43" t="s">
        <v>92</v>
      </c>
      <c r="F53" s="42" t="s">
        <v>11469</v>
      </c>
      <c r="G53" t="s">
        <v>13197</v>
      </c>
    </row>
    <row r="54" spans="1:7" x14ac:dyDescent="0.3">
      <c r="A54" s="42" t="s">
        <v>238</v>
      </c>
      <c r="B54" s="42" t="s">
        <v>269</v>
      </c>
      <c r="C54" s="42" t="s">
        <v>5795</v>
      </c>
      <c r="D54" s="43" t="s">
        <v>229</v>
      </c>
      <c r="E54" s="43" t="s">
        <v>92</v>
      </c>
      <c r="F54" s="42" t="s">
        <v>11469</v>
      </c>
      <c r="G54" t="s">
        <v>13197</v>
      </c>
    </row>
    <row r="55" spans="1:7" x14ac:dyDescent="0.3">
      <c r="A55" s="42" t="s">
        <v>238</v>
      </c>
      <c r="B55" s="42" t="s">
        <v>270</v>
      </c>
      <c r="C55" s="42" t="s">
        <v>5796</v>
      </c>
      <c r="D55" s="43" t="s">
        <v>229</v>
      </c>
      <c r="E55" s="43" t="s">
        <v>92</v>
      </c>
      <c r="F55" s="42" t="s">
        <v>11469</v>
      </c>
      <c r="G55" t="s">
        <v>13197</v>
      </c>
    </row>
    <row r="56" spans="1:7" x14ac:dyDescent="0.3">
      <c r="A56" s="42" t="s">
        <v>238</v>
      </c>
      <c r="B56" s="42" t="s">
        <v>271</v>
      </c>
      <c r="C56" s="42" t="s">
        <v>5797</v>
      </c>
      <c r="D56" s="43" t="s">
        <v>229</v>
      </c>
      <c r="E56" s="43" t="s">
        <v>92</v>
      </c>
      <c r="F56" s="42" t="s">
        <v>11469</v>
      </c>
      <c r="G56" t="s">
        <v>13197</v>
      </c>
    </row>
    <row r="57" spans="1:7" x14ac:dyDescent="0.3">
      <c r="A57" s="42" t="s">
        <v>238</v>
      </c>
      <c r="B57" s="42" t="s">
        <v>272</v>
      </c>
      <c r="C57" s="42" t="s">
        <v>5798</v>
      </c>
      <c r="D57" s="43" t="s">
        <v>229</v>
      </c>
      <c r="E57" s="43" t="s">
        <v>92</v>
      </c>
      <c r="F57" s="42" t="s">
        <v>11469</v>
      </c>
      <c r="G57" t="s">
        <v>13197</v>
      </c>
    </row>
    <row r="58" spans="1:7" x14ac:dyDescent="0.3">
      <c r="A58" s="42" t="s">
        <v>238</v>
      </c>
      <c r="B58" s="42" t="s">
        <v>273</v>
      </c>
      <c r="C58" s="42" t="s">
        <v>5799</v>
      </c>
      <c r="D58" s="43" t="s">
        <v>229</v>
      </c>
      <c r="E58" s="43" t="s">
        <v>92</v>
      </c>
      <c r="F58" s="42" t="s">
        <v>11469</v>
      </c>
      <c r="G58" t="s">
        <v>13197</v>
      </c>
    </row>
    <row r="59" spans="1:7" x14ac:dyDescent="0.3">
      <c r="A59" s="42" t="s">
        <v>238</v>
      </c>
      <c r="B59" s="42" t="s">
        <v>274</v>
      </c>
      <c r="C59" s="42" t="s">
        <v>5800</v>
      </c>
      <c r="D59" s="43" t="s">
        <v>229</v>
      </c>
      <c r="E59" s="43" t="s">
        <v>92</v>
      </c>
      <c r="F59" s="42" t="s">
        <v>11469</v>
      </c>
      <c r="G59" t="s">
        <v>13197</v>
      </c>
    </row>
    <row r="60" spans="1:7" x14ac:dyDescent="0.3">
      <c r="A60" s="42" t="s">
        <v>238</v>
      </c>
      <c r="B60" s="42" t="s">
        <v>275</v>
      </c>
      <c r="C60" s="42" t="s">
        <v>5801</v>
      </c>
      <c r="D60" s="43" t="s">
        <v>229</v>
      </c>
      <c r="E60" s="43" t="s">
        <v>92</v>
      </c>
      <c r="F60" s="42" t="s">
        <v>11469</v>
      </c>
      <c r="G60" t="s">
        <v>13197</v>
      </c>
    </row>
    <row r="61" spans="1:7" x14ac:dyDescent="0.3">
      <c r="A61" s="42" t="s">
        <v>238</v>
      </c>
      <c r="B61" s="42" t="s">
        <v>276</v>
      </c>
      <c r="C61" s="42" t="s">
        <v>5802</v>
      </c>
      <c r="D61" s="43" t="s">
        <v>229</v>
      </c>
      <c r="E61" s="43" t="s">
        <v>92</v>
      </c>
      <c r="F61" s="42" t="s">
        <v>11469</v>
      </c>
      <c r="G61" t="s">
        <v>13197</v>
      </c>
    </row>
    <row r="62" spans="1:7" x14ac:dyDescent="0.3">
      <c r="A62" s="42" t="s">
        <v>238</v>
      </c>
      <c r="B62" s="42" t="s">
        <v>277</v>
      </c>
      <c r="C62" s="42" t="s">
        <v>5803</v>
      </c>
      <c r="D62" s="43" t="s">
        <v>229</v>
      </c>
      <c r="E62" s="43" t="s">
        <v>92</v>
      </c>
      <c r="F62" s="42" t="s">
        <v>11469</v>
      </c>
      <c r="G62" t="s">
        <v>13197</v>
      </c>
    </row>
    <row r="63" spans="1:7" x14ac:dyDescent="0.3">
      <c r="A63" s="42" t="s">
        <v>238</v>
      </c>
      <c r="B63" s="42" t="s">
        <v>278</v>
      </c>
      <c r="C63" s="42" t="s">
        <v>5804</v>
      </c>
      <c r="D63" s="43" t="s">
        <v>229</v>
      </c>
      <c r="E63" s="43" t="s">
        <v>92</v>
      </c>
      <c r="F63" s="42" t="s">
        <v>11469</v>
      </c>
      <c r="G63" t="s">
        <v>13197</v>
      </c>
    </row>
    <row r="64" spans="1:7" x14ac:dyDescent="0.3">
      <c r="A64" s="42" t="s">
        <v>238</v>
      </c>
      <c r="B64" s="42" t="s">
        <v>279</v>
      </c>
      <c r="C64" s="42" t="s">
        <v>5805</v>
      </c>
      <c r="D64" s="43" t="s">
        <v>229</v>
      </c>
      <c r="E64" s="43" t="s">
        <v>92</v>
      </c>
      <c r="F64" s="42" t="s">
        <v>11469</v>
      </c>
      <c r="G64" t="s">
        <v>13197</v>
      </c>
    </row>
    <row r="65" spans="1:7" x14ac:dyDescent="0.3">
      <c r="A65" s="42" t="s">
        <v>238</v>
      </c>
      <c r="B65" s="42" t="s">
        <v>280</v>
      </c>
      <c r="C65" s="42" t="s">
        <v>5806</v>
      </c>
      <c r="D65" s="43" t="s">
        <v>229</v>
      </c>
      <c r="E65" s="43" t="s">
        <v>92</v>
      </c>
      <c r="F65" s="42" t="s">
        <v>11469</v>
      </c>
      <c r="G65" t="s">
        <v>13197</v>
      </c>
    </row>
    <row r="66" spans="1:7" x14ac:dyDescent="0.3">
      <c r="A66" s="42" t="s">
        <v>238</v>
      </c>
      <c r="B66" s="42" t="s">
        <v>281</v>
      </c>
      <c r="C66" s="42" t="s">
        <v>5807</v>
      </c>
      <c r="D66" s="43" t="s">
        <v>229</v>
      </c>
      <c r="E66" s="43" t="s">
        <v>92</v>
      </c>
      <c r="F66" s="42" t="s">
        <v>11469</v>
      </c>
      <c r="G66" t="s">
        <v>13197</v>
      </c>
    </row>
    <row r="67" spans="1:7" x14ac:dyDescent="0.3">
      <c r="A67" s="42" t="s">
        <v>238</v>
      </c>
      <c r="B67" s="42" t="s">
        <v>282</v>
      </c>
      <c r="C67" s="42" t="s">
        <v>5808</v>
      </c>
      <c r="D67" s="43" t="s">
        <v>229</v>
      </c>
      <c r="E67" s="43" t="s">
        <v>92</v>
      </c>
      <c r="F67" s="42" t="s">
        <v>11469</v>
      </c>
      <c r="G67" t="s">
        <v>13197</v>
      </c>
    </row>
    <row r="68" spans="1:7" x14ac:dyDescent="0.3">
      <c r="A68" s="42" t="s">
        <v>238</v>
      </c>
      <c r="B68" s="42" t="s">
        <v>283</v>
      </c>
      <c r="C68" s="42" t="s">
        <v>5809</v>
      </c>
      <c r="D68" s="43" t="s">
        <v>229</v>
      </c>
      <c r="E68" s="43" t="s">
        <v>92</v>
      </c>
      <c r="F68" s="42" t="s">
        <v>11469</v>
      </c>
      <c r="G68" t="s">
        <v>13197</v>
      </c>
    </row>
    <row r="69" spans="1:7" x14ac:dyDescent="0.3">
      <c r="A69" s="42" t="s">
        <v>238</v>
      </c>
      <c r="B69" s="42" t="s">
        <v>284</v>
      </c>
      <c r="C69" s="42" t="s">
        <v>5810</v>
      </c>
      <c r="D69" s="43" t="s">
        <v>229</v>
      </c>
      <c r="E69" s="43" t="s">
        <v>92</v>
      </c>
      <c r="F69" s="42" t="s">
        <v>192</v>
      </c>
      <c r="G69" t="s">
        <v>13196</v>
      </c>
    </row>
    <row r="70" spans="1:7" x14ac:dyDescent="0.3">
      <c r="A70" s="42" t="s">
        <v>238</v>
      </c>
      <c r="B70" s="42" t="s">
        <v>285</v>
      </c>
      <c r="C70" s="42" t="s">
        <v>5811</v>
      </c>
      <c r="D70" s="43" t="s">
        <v>229</v>
      </c>
      <c r="E70" s="43" t="s">
        <v>92</v>
      </c>
      <c r="F70" s="42" t="s">
        <v>11469</v>
      </c>
      <c r="G70" t="s">
        <v>13197</v>
      </c>
    </row>
    <row r="71" spans="1:7" x14ac:dyDescent="0.3">
      <c r="A71" s="42" t="s">
        <v>238</v>
      </c>
      <c r="B71" s="42" t="s">
        <v>286</v>
      </c>
      <c r="C71" s="42" t="s">
        <v>5812</v>
      </c>
      <c r="D71" s="43" t="s">
        <v>229</v>
      </c>
      <c r="E71" s="43" t="s">
        <v>92</v>
      </c>
      <c r="F71" s="42" t="s">
        <v>11469</v>
      </c>
      <c r="G71" t="s">
        <v>13197</v>
      </c>
    </row>
    <row r="72" spans="1:7" x14ac:dyDescent="0.3">
      <c r="A72" s="42" t="s">
        <v>238</v>
      </c>
      <c r="B72" s="42" t="s">
        <v>287</v>
      </c>
      <c r="C72" s="42" t="s">
        <v>5813</v>
      </c>
      <c r="D72" s="43" t="s">
        <v>229</v>
      </c>
      <c r="E72" s="43" t="s">
        <v>92</v>
      </c>
      <c r="F72" s="42" t="s">
        <v>11469</v>
      </c>
      <c r="G72" t="s">
        <v>13197</v>
      </c>
    </row>
    <row r="73" spans="1:7" x14ac:dyDescent="0.3">
      <c r="A73" s="42" t="s">
        <v>238</v>
      </c>
      <c r="B73" s="42" t="s">
        <v>288</v>
      </c>
      <c r="C73" s="42" t="s">
        <v>5814</v>
      </c>
      <c r="D73" s="43" t="s">
        <v>229</v>
      </c>
      <c r="E73" s="43" t="s">
        <v>92</v>
      </c>
      <c r="F73" s="42" t="s">
        <v>11469</v>
      </c>
      <c r="G73" t="s">
        <v>13197</v>
      </c>
    </row>
    <row r="74" spans="1:7" x14ac:dyDescent="0.3">
      <c r="A74" s="42" t="s">
        <v>238</v>
      </c>
      <c r="B74" s="42" t="s">
        <v>289</v>
      </c>
      <c r="C74" s="42" t="s">
        <v>5815</v>
      </c>
      <c r="D74" s="43" t="s">
        <v>229</v>
      </c>
      <c r="E74" s="43" t="s">
        <v>92</v>
      </c>
      <c r="F74" s="42" t="s">
        <v>11469</v>
      </c>
      <c r="G74" t="s">
        <v>13197</v>
      </c>
    </row>
    <row r="75" spans="1:7" x14ac:dyDescent="0.3">
      <c r="A75" s="42" t="s">
        <v>238</v>
      </c>
      <c r="B75" s="42" t="s">
        <v>290</v>
      </c>
      <c r="C75" s="42" t="s">
        <v>5816</v>
      </c>
      <c r="D75" s="43" t="s">
        <v>229</v>
      </c>
      <c r="E75" s="43" t="s">
        <v>92</v>
      </c>
      <c r="F75" s="42" t="s">
        <v>11469</v>
      </c>
      <c r="G75" t="s">
        <v>13197</v>
      </c>
    </row>
    <row r="76" spans="1:7" x14ac:dyDescent="0.3">
      <c r="A76" s="42" t="s">
        <v>238</v>
      </c>
      <c r="B76" s="42" t="s">
        <v>291</v>
      </c>
      <c r="C76" s="42" t="s">
        <v>5817</v>
      </c>
      <c r="D76" s="43" t="s">
        <v>229</v>
      </c>
      <c r="E76" s="43" t="s">
        <v>92</v>
      </c>
      <c r="F76" s="42" t="s">
        <v>11469</v>
      </c>
      <c r="G76" t="s">
        <v>13197</v>
      </c>
    </row>
    <row r="77" spans="1:7" x14ac:dyDescent="0.3">
      <c r="A77" s="42" t="s">
        <v>238</v>
      </c>
      <c r="B77" s="42" t="s">
        <v>292</v>
      </c>
      <c r="C77" s="42" t="s">
        <v>5818</v>
      </c>
      <c r="D77" s="43" t="s">
        <v>229</v>
      </c>
      <c r="E77" s="43" t="s">
        <v>92</v>
      </c>
      <c r="F77" s="42" t="s">
        <v>11469</v>
      </c>
      <c r="G77" t="s">
        <v>13197</v>
      </c>
    </row>
    <row r="78" spans="1:7" x14ac:dyDescent="0.3">
      <c r="A78" s="42" t="s">
        <v>238</v>
      </c>
      <c r="B78" s="42" t="s">
        <v>293</v>
      </c>
      <c r="C78" s="42" t="s">
        <v>5819</v>
      </c>
      <c r="D78" s="43" t="s">
        <v>229</v>
      </c>
      <c r="E78" s="43" t="s">
        <v>92</v>
      </c>
      <c r="F78" s="42" t="s">
        <v>11469</v>
      </c>
      <c r="G78" t="s">
        <v>13197</v>
      </c>
    </row>
    <row r="79" spans="1:7" x14ac:dyDescent="0.3">
      <c r="A79" s="42" t="s">
        <v>238</v>
      </c>
      <c r="B79" s="42" t="s">
        <v>294</v>
      </c>
      <c r="C79" s="42" t="s">
        <v>5820</v>
      </c>
      <c r="D79" s="43" t="s">
        <v>229</v>
      </c>
      <c r="E79" s="43" t="s">
        <v>92</v>
      </c>
      <c r="F79" s="42" t="s">
        <v>192</v>
      </c>
      <c r="G79" t="s">
        <v>13196</v>
      </c>
    </row>
    <row r="80" spans="1:7" x14ac:dyDescent="0.3">
      <c r="A80" s="42" t="s">
        <v>238</v>
      </c>
      <c r="B80" s="42" t="s">
        <v>295</v>
      </c>
      <c r="C80" s="42" t="s">
        <v>5821</v>
      </c>
      <c r="D80" s="43" t="s">
        <v>229</v>
      </c>
      <c r="E80" s="43" t="s">
        <v>92</v>
      </c>
      <c r="F80" s="42" t="s">
        <v>11469</v>
      </c>
      <c r="G80" t="s">
        <v>13197</v>
      </c>
    </row>
    <row r="81" spans="1:7" x14ac:dyDescent="0.3">
      <c r="A81" s="42" t="s">
        <v>238</v>
      </c>
      <c r="B81" s="42" t="s">
        <v>296</v>
      </c>
      <c r="C81" s="42" t="s">
        <v>5822</v>
      </c>
      <c r="D81" s="43" t="s">
        <v>229</v>
      </c>
      <c r="E81" s="43" t="s">
        <v>92</v>
      </c>
      <c r="F81" s="42" t="s">
        <v>192</v>
      </c>
      <c r="G81" t="s">
        <v>13196</v>
      </c>
    </row>
    <row r="82" spans="1:7" x14ac:dyDescent="0.3">
      <c r="A82" s="42" t="s">
        <v>238</v>
      </c>
      <c r="B82" s="42" t="s">
        <v>297</v>
      </c>
      <c r="C82" s="42" t="s">
        <v>5823</v>
      </c>
      <c r="D82" s="43" t="s">
        <v>229</v>
      </c>
      <c r="E82" s="43" t="s">
        <v>92</v>
      </c>
      <c r="F82" s="42" t="s">
        <v>11469</v>
      </c>
      <c r="G82" t="s">
        <v>13197</v>
      </c>
    </row>
    <row r="83" spans="1:7" x14ac:dyDescent="0.3">
      <c r="A83" s="42" t="s">
        <v>238</v>
      </c>
      <c r="B83" s="42" t="s">
        <v>298</v>
      </c>
      <c r="C83" s="42" t="s">
        <v>5824</v>
      </c>
      <c r="D83" s="43" t="s">
        <v>229</v>
      </c>
      <c r="E83" s="43" t="s">
        <v>92</v>
      </c>
      <c r="F83" s="42" t="s">
        <v>11469</v>
      </c>
      <c r="G83" t="s">
        <v>13197</v>
      </c>
    </row>
    <row r="84" spans="1:7" x14ac:dyDescent="0.3">
      <c r="A84" s="42" t="s">
        <v>238</v>
      </c>
      <c r="B84" s="42" t="s">
        <v>299</v>
      </c>
      <c r="C84" s="42" t="s">
        <v>5825</v>
      </c>
      <c r="D84" s="43" t="s">
        <v>229</v>
      </c>
      <c r="E84" s="43" t="s">
        <v>92</v>
      </c>
      <c r="F84" s="42" t="s">
        <v>11469</v>
      </c>
      <c r="G84" t="s">
        <v>13197</v>
      </c>
    </row>
    <row r="85" spans="1:7" x14ac:dyDescent="0.3">
      <c r="A85" s="42" t="s">
        <v>238</v>
      </c>
      <c r="B85" s="42" t="s">
        <v>300</v>
      </c>
      <c r="C85" s="42" t="s">
        <v>5826</v>
      </c>
      <c r="D85" s="43" t="s">
        <v>229</v>
      </c>
      <c r="E85" s="43" t="s">
        <v>92</v>
      </c>
      <c r="F85" s="42" t="s">
        <v>11469</v>
      </c>
      <c r="G85" t="s">
        <v>13197</v>
      </c>
    </row>
    <row r="86" spans="1:7" x14ac:dyDescent="0.3">
      <c r="A86" s="42" t="s">
        <v>238</v>
      </c>
      <c r="B86" s="42" t="s">
        <v>301</v>
      </c>
      <c r="C86" s="42" t="s">
        <v>5827</v>
      </c>
      <c r="D86" s="43" t="s">
        <v>229</v>
      </c>
      <c r="E86" s="43" t="s">
        <v>92</v>
      </c>
      <c r="F86" s="42" t="s">
        <v>11469</v>
      </c>
      <c r="G86" t="s">
        <v>13197</v>
      </c>
    </row>
    <row r="87" spans="1:7" x14ac:dyDescent="0.3">
      <c r="A87" s="42" t="s">
        <v>238</v>
      </c>
      <c r="B87" s="42" t="s">
        <v>302</v>
      </c>
      <c r="C87" s="42" t="s">
        <v>5828</v>
      </c>
      <c r="D87" s="43" t="s">
        <v>229</v>
      </c>
      <c r="E87" s="43" t="s">
        <v>92</v>
      </c>
      <c r="F87" s="42" t="s">
        <v>11469</v>
      </c>
      <c r="G87" t="s">
        <v>13197</v>
      </c>
    </row>
    <row r="88" spans="1:7" x14ac:dyDescent="0.3">
      <c r="A88" s="42" t="s">
        <v>238</v>
      </c>
      <c r="B88" s="42" t="s">
        <v>303</v>
      </c>
      <c r="C88" s="42" t="s">
        <v>5829</v>
      </c>
      <c r="D88" s="43" t="s">
        <v>229</v>
      </c>
      <c r="E88" s="43" t="s">
        <v>92</v>
      </c>
      <c r="F88" s="42" t="s">
        <v>11469</v>
      </c>
      <c r="G88" t="s">
        <v>13197</v>
      </c>
    </row>
    <row r="89" spans="1:7" x14ac:dyDescent="0.3">
      <c r="A89" s="42" t="s">
        <v>238</v>
      </c>
      <c r="B89" s="42" t="s">
        <v>304</v>
      </c>
      <c r="C89" s="42" t="s">
        <v>5830</v>
      </c>
      <c r="D89" s="43" t="s">
        <v>229</v>
      </c>
      <c r="E89" s="43" t="s">
        <v>92</v>
      </c>
      <c r="F89" s="42" t="s">
        <v>11469</v>
      </c>
      <c r="G89" t="s">
        <v>13197</v>
      </c>
    </row>
    <row r="90" spans="1:7" x14ac:dyDescent="0.3">
      <c r="A90" s="42" t="s">
        <v>238</v>
      </c>
      <c r="B90" s="42" t="s">
        <v>305</v>
      </c>
      <c r="C90" s="42" t="s">
        <v>5831</v>
      </c>
      <c r="D90" s="43" t="s">
        <v>229</v>
      </c>
      <c r="E90" s="43" t="s">
        <v>92</v>
      </c>
      <c r="F90" s="42" t="s">
        <v>11469</v>
      </c>
      <c r="G90" t="s">
        <v>13197</v>
      </c>
    </row>
    <row r="91" spans="1:7" x14ac:dyDescent="0.3">
      <c r="A91" s="42" t="s">
        <v>238</v>
      </c>
      <c r="B91" s="42" t="s">
        <v>306</v>
      </c>
      <c r="C91" s="42" t="s">
        <v>5832</v>
      </c>
      <c r="D91" s="43" t="s">
        <v>229</v>
      </c>
      <c r="E91" s="43" t="s">
        <v>92</v>
      </c>
      <c r="F91" s="42" t="s">
        <v>11469</v>
      </c>
      <c r="G91" t="s">
        <v>13197</v>
      </c>
    </row>
    <row r="92" spans="1:7" x14ac:dyDescent="0.3">
      <c r="A92" s="42" t="s">
        <v>238</v>
      </c>
      <c r="B92" s="42" t="s">
        <v>307</v>
      </c>
      <c r="C92" s="42" t="s">
        <v>5833</v>
      </c>
      <c r="D92" s="43" t="s">
        <v>229</v>
      </c>
      <c r="E92" s="43" t="s">
        <v>92</v>
      </c>
      <c r="F92" s="42" t="s">
        <v>11469</v>
      </c>
      <c r="G92" t="s">
        <v>13197</v>
      </c>
    </row>
    <row r="93" spans="1:7" x14ac:dyDescent="0.3">
      <c r="A93" s="42" t="s">
        <v>238</v>
      </c>
      <c r="B93" s="42" t="s">
        <v>308</v>
      </c>
      <c r="C93" s="42" t="s">
        <v>5834</v>
      </c>
      <c r="D93" s="43" t="s">
        <v>229</v>
      </c>
      <c r="E93" s="43" t="s">
        <v>92</v>
      </c>
      <c r="F93" s="42" t="s">
        <v>11469</v>
      </c>
      <c r="G93" t="s">
        <v>13197</v>
      </c>
    </row>
    <row r="94" spans="1:7" x14ac:dyDescent="0.3">
      <c r="A94" s="42" t="s">
        <v>238</v>
      </c>
      <c r="B94" s="42" t="s">
        <v>309</v>
      </c>
      <c r="C94" s="42" t="s">
        <v>5835</v>
      </c>
      <c r="D94" s="43" t="s">
        <v>229</v>
      </c>
      <c r="E94" s="43" t="s">
        <v>92</v>
      </c>
      <c r="F94" s="42" t="s">
        <v>11469</v>
      </c>
      <c r="G94" t="s">
        <v>13197</v>
      </c>
    </row>
    <row r="95" spans="1:7" x14ac:dyDescent="0.3">
      <c r="A95" s="42" t="s">
        <v>238</v>
      </c>
      <c r="B95" s="42" t="s">
        <v>310</v>
      </c>
      <c r="C95" s="42" t="s">
        <v>5836</v>
      </c>
      <c r="D95" s="43" t="s">
        <v>229</v>
      </c>
      <c r="E95" s="43" t="s">
        <v>92</v>
      </c>
      <c r="F95" s="42" t="s">
        <v>11469</v>
      </c>
      <c r="G95" t="s">
        <v>13197</v>
      </c>
    </row>
    <row r="96" spans="1:7" x14ac:dyDescent="0.3">
      <c r="A96" s="42" t="s">
        <v>238</v>
      </c>
      <c r="B96" s="42" t="s">
        <v>311</v>
      </c>
      <c r="C96" s="42" t="s">
        <v>5837</v>
      </c>
      <c r="D96" s="43" t="s">
        <v>229</v>
      </c>
      <c r="E96" s="43" t="s">
        <v>92</v>
      </c>
      <c r="F96" s="42" t="s">
        <v>11469</v>
      </c>
      <c r="G96" t="s">
        <v>13197</v>
      </c>
    </row>
    <row r="97" spans="1:7" x14ac:dyDescent="0.3">
      <c r="A97" s="42" t="s">
        <v>238</v>
      </c>
      <c r="B97" s="42" t="s">
        <v>312</v>
      </c>
      <c r="C97" s="42" t="s">
        <v>5838</v>
      </c>
      <c r="D97" s="43" t="s">
        <v>229</v>
      </c>
      <c r="E97" s="43" t="s">
        <v>92</v>
      </c>
      <c r="F97" s="42" t="s">
        <v>11469</v>
      </c>
      <c r="G97" t="s">
        <v>13197</v>
      </c>
    </row>
    <row r="98" spans="1:7" x14ac:dyDescent="0.3">
      <c r="A98" s="42" t="s">
        <v>238</v>
      </c>
      <c r="B98" s="42" t="s">
        <v>313</v>
      </c>
      <c r="C98" s="42" t="s">
        <v>5839</v>
      </c>
      <c r="D98" s="43" t="s">
        <v>229</v>
      </c>
      <c r="E98" s="43" t="s">
        <v>92</v>
      </c>
      <c r="F98" s="42" t="s">
        <v>11469</v>
      </c>
      <c r="G98" t="s">
        <v>13197</v>
      </c>
    </row>
    <row r="99" spans="1:7" x14ac:dyDescent="0.3">
      <c r="A99" s="42" t="s">
        <v>238</v>
      </c>
      <c r="B99" s="42" t="s">
        <v>314</v>
      </c>
      <c r="C99" s="42" t="s">
        <v>5840</v>
      </c>
      <c r="D99" s="43" t="s">
        <v>229</v>
      </c>
      <c r="E99" s="43" t="s">
        <v>92</v>
      </c>
      <c r="F99" s="42" t="s">
        <v>11469</v>
      </c>
      <c r="G99" t="s">
        <v>13197</v>
      </c>
    </row>
    <row r="100" spans="1:7" x14ac:dyDescent="0.3">
      <c r="A100" s="42" t="s">
        <v>238</v>
      </c>
      <c r="B100" s="42" t="s">
        <v>315</v>
      </c>
      <c r="C100" s="42" t="s">
        <v>5841</v>
      </c>
      <c r="D100" s="43" t="s">
        <v>229</v>
      </c>
      <c r="E100" s="43" t="s">
        <v>92</v>
      </c>
      <c r="F100" s="42" t="s">
        <v>11469</v>
      </c>
      <c r="G100" t="s">
        <v>13197</v>
      </c>
    </row>
    <row r="101" spans="1:7" x14ac:dyDescent="0.3">
      <c r="A101" s="42" t="s">
        <v>238</v>
      </c>
      <c r="B101" s="42" t="s">
        <v>316</v>
      </c>
      <c r="C101" s="42" t="s">
        <v>5842</v>
      </c>
      <c r="D101" s="43" t="s">
        <v>229</v>
      </c>
      <c r="E101" s="43" t="s">
        <v>92</v>
      </c>
      <c r="F101" s="42" t="s">
        <v>11469</v>
      </c>
      <c r="G101" t="s">
        <v>13197</v>
      </c>
    </row>
    <row r="102" spans="1:7" x14ac:dyDescent="0.3">
      <c r="A102" s="42" t="s">
        <v>238</v>
      </c>
      <c r="B102" s="42" t="s">
        <v>317</v>
      </c>
      <c r="C102" s="42" t="s">
        <v>5843</v>
      </c>
      <c r="D102" s="43" t="s">
        <v>229</v>
      </c>
      <c r="E102" s="43" t="s">
        <v>92</v>
      </c>
      <c r="F102" s="42" t="s">
        <v>11469</v>
      </c>
      <c r="G102" t="s">
        <v>13197</v>
      </c>
    </row>
    <row r="103" spans="1:7" x14ac:dyDescent="0.3">
      <c r="A103" s="42" t="s">
        <v>238</v>
      </c>
      <c r="B103" s="42" t="s">
        <v>318</v>
      </c>
      <c r="C103" s="42" t="s">
        <v>5844</v>
      </c>
      <c r="D103" s="43" t="s">
        <v>229</v>
      </c>
      <c r="E103" s="43" t="s">
        <v>92</v>
      </c>
      <c r="F103" s="42" t="s">
        <v>11469</v>
      </c>
      <c r="G103" t="s">
        <v>13197</v>
      </c>
    </row>
    <row r="104" spans="1:7" x14ac:dyDescent="0.3">
      <c r="A104" s="42" t="s">
        <v>238</v>
      </c>
      <c r="B104" s="42" t="s">
        <v>319</v>
      </c>
      <c r="C104" s="42" t="s">
        <v>5845</v>
      </c>
      <c r="D104" s="43" t="s">
        <v>229</v>
      </c>
      <c r="E104" s="43" t="s">
        <v>92</v>
      </c>
      <c r="F104" s="42" t="s">
        <v>11469</v>
      </c>
      <c r="G104" t="s">
        <v>13197</v>
      </c>
    </row>
    <row r="105" spans="1:7" x14ac:dyDescent="0.3">
      <c r="A105" s="42" t="s">
        <v>238</v>
      </c>
      <c r="B105" s="42" t="s">
        <v>320</v>
      </c>
      <c r="C105" s="42" t="s">
        <v>5846</v>
      </c>
      <c r="D105" s="43" t="s">
        <v>229</v>
      </c>
      <c r="E105" s="43" t="s">
        <v>92</v>
      </c>
      <c r="F105" s="42" t="s">
        <v>11469</v>
      </c>
      <c r="G105" t="s">
        <v>13197</v>
      </c>
    </row>
    <row r="106" spans="1:7" x14ac:dyDescent="0.3">
      <c r="A106" s="42" t="s">
        <v>238</v>
      </c>
      <c r="B106" s="42" t="s">
        <v>321</v>
      </c>
      <c r="C106" s="42" t="s">
        <v>5847</v>
      </c>
      <c r="D106" s="43" t="s">
        <v>229</v>
      </c>
      <c r="E106" s="43" t="s">
        <v>92</v>
      </c>
      <c r="F106" s="42" t="s">
        <v>11469</v>
      </c>
      <c r="G106" t="s">
        <v>13197</v>
      </c>
    </row>
    <row r="107" spans="1:7" x14ac:dyDescent="0.3">
      <c r="A107" s="42" t="s">
        <v>238</v>
      </c>
      <c r="B107" s="42" t="s">
        <v>322</v>
      </c>
      <c r="C107" s="42" t="s">
        <v>5848</v>
      </c>
      <c r="D107" s="43" t="s">
        <v>229</v>
      </c>
      <c r="E107" s="43" t="s">
        <v>92</v>
      </c>
      <c r="F107" s="42" t="s">
        <v>11469</v>
      </c>
      <c r="G107" t="s">
        <v>13197</v>
      </c>
    </row>
    <row r="108" spans="1:7" x14ac:dyDescent="0.3">
      <c r="A108" s="42" t="s">
        <v>238</v>
      </c>
      <c r="B108" s="42" t="s">
        <v>323</v>
      </c>
      <c r="C108" s="42" t="s">
        <v>5849</v>
      </c>
      <c r="D108" s="43" t="s">
        <v>229</v>
      </c>
      <c r="E108" s="43" t="s">
        <v>92</v>
      </c>
      <c r="F108" s="42" t="s">
        <v>11469</v>
      </c>
      <c r="G108" t="s">
        <v>13197</v>
      </c>
    </row>
    <row r="109" spans="1:7" x14ac:dyDescent="0.3">
      <c r="A109" s="42" t="s">
        <v>238</v>
      </c>
      <c r="B109" s="42" t="s">
        <v>324</v>
      </c>
      <c r="C109" s="42" t="s">
        <v>5850</v>
      </c>
      <c r="D109" s="43" t="s">
        <v>229</v>
      </c>
      <c r="E109" s="43" t="s">
        <v>92</v>
      </c>
      <c r="F109" s="42" t="s">
        <v>11469</v>
      </c>
      <c r="G109" t="s">
        <v>13197</v>
      </c>
    </row>
    <row r="110" spans="1:7" x14ac:dyDescent="0.3">
      <c r="A110" s="42" t="s">
        <v>238</v>
      </c>
      <c r="B110" s="42" t="s">
        <v>325</v>
      </c>
      <c r="C110" s="42" t="s">
        <v>5851</v>
      </c>
      <c r="D110" s="43" t="s">
        <v>229</v>
      </c>
      <c r="E110" s="43" t="s">
        <v>92</v>
      </c>
      <c r="F110" s="42" t="s">
        <v>11469</v>
      </c>
      <c r="G110" t="s">
        <v>13197</v>
      </c>
    </row>
    <row r="111" spans="1:7" x14ac:dyDescent="0.3">
      <c r="A111" s="42" t="s">
        <v>238</v>
      </c>
      <c r="B111" s="42" t="s">
        <v>326</v>
      </c>
      <c r="C111" s="42" t="s">
        <v>5852</v>
      </c>
      <c r="D111" s="43" t="s">
        <v>229</v>
      </c>
      <c r="E111" s="43" t="s">
        <v>92</v>
      </c>
      <c r="F111" s="42" t="s">
        <v>11469</v>
      </c>
      <c r="G111" t="s">
        <v>13197</v>
      </c>
    </row>
    <row r="112" spans="1:7" x14ac:dyDescent="0.3">
      <c r="A112" s="42" t="s">
        <v>238</v>
      </c>
      <c r="B112" s="42" t="s">
        <v>327</v>
      </c>
      <c r="C112" s="42" t="s">
        <v>5853</v>
      </c>
      <c r="D112" s="43" t="s">
        <v>229</v>
      </c>
      <c r="E112" s="43" t="s">
        <v>92</v>
      </c>
      <c r="F112" s="42" t="s">
        <v>11469</v>
      </c>
      <c r="G112" t="s">
        <v>13197</v>
      </c>
    </row>
    <row r="113" spans="1:7" x14ac:dyDescent="0.3">
      <c r="A113" s="42" t="s">
        <v>238</v>
      </c>
      <c r="B113" s="42" t="s">
        <v>328</v>
      </c>
      <c r="C113" s="42" t="s">
        <v>5854</v>
      </c>
      <c r="D113" s="43" t="s">
        <v>229</v>
      </c>
      <c r="E113" s="43" t="s">
        <v>92</v>
      </c>
      <c r="F113" s="42" t="s">
        <v>11469</v>
      </c>
      <c r="G113" t="s">
        <v>13197</v>
      </c>
    </row>
    <row r="114" spans="1:7" x14ac:dyDescent="0.3">
      <c r="A114" s="42" t="s">
        <v>238</v>
      </c>
      <c r="B114" s="42" t="s">
        <v>329</v>
      </c>
      <c r="C114" s="42" t="s">
        <v>5855</v>
      </c>
      <c r="D114" s="43" t="s">
        <v>229</v>
      </c>
      <c r="E114" s="43" t="s">
        <v>92</v>
      </c>
      <c r="F114" s="42" t="s">
        <v>11469</v>
      </c>
      <c r="G114" t="s">
        <v>13197</v>
      </c>
    </row>
    <row r="115" spans="1:7" x14ac:dyDescent="0.3">
      <c r="A115" s="42" t="s">
        <v>238</v>
      </c>
      <c r="B115" s="42" t="s">
        <v>330</v>
      </c>
      <c r="C115" s="42" t="s">
        <v>5856</v>
      </c>
      <c r="D115" s="43" t="s">
        <v>229</v>
      </c>
      <c r="E115" s="43" t="s">
        <v>92</v>
      </c>
      <c r="F115" s="42" t="s">
        <v>11469</v>
      </c>
      <c r="G115" t="s">
        <v>13197</v>
      </c>
    </row>
    <row r="116" spans="1:7" x14ac:dyDescent="0.3">
      <c r="A116" s="42" t="s">
        <v>238</v>
      </c>
      <c r="B116" s="42" t="s">
        <v>331</v>
      </c>
      <c r="C116" s="42" t="s">
        <v>5857</v>
      </c>
      <c r="D116" s="43" t="s">
        <v>229</v>
      </c>
      <c r="E116" s="43" t="s">
        <v>92</v>
      </c>
      <c r="F116" s="42" t="s">
        <v>11469</v>
      </c>
      <c r="G116" t="s">
        <v>13197</v>
      </c>
    </row>
    <row r="117" spans="1:7" x14ac:dyDescent="0.3">
      <c r="A117" s="42" t="s">
        <v>238</v>
      </c>
      <c r="B117" s="42" t="s">
        <v>332</v>
      </c>
      <c r="C117" s="42" t="s">
        <v>5858</v>
      </c>
      <c r="D117" s="43" t="s">
        <v>229</v>
      </c>
      <c r="E117" s="43" t="s">
        <v>92</v>
      </c>
      <c r="F117" s="42" t="s">
        <v>11469</v>
      </c>
      <c r="G117" t="s">
        <v>13197</v>
      </c>
    </row>
    <row r="118" spans="1:7" x14ac:dyDescent="0.3">
      <c r="A118" s="42" t="s">
        <v>238</v>
      </c>
      <c r="B118" s="42" t="s">
        <v>333</v>
      </c>
      <c r="C118" s="42" t="s">
        <v>5859</v>
      </c>
      <c r="D118" s="43" t="s">
        <v>229</v>
      </c>
      <c r="E118" s="43" t="s">
        <v>92</v>
      </c>
      <c r="F118" s="42" t="s">
        <v>11469</v>
      </c>
      <c r="G118" t="s">
        <v>13197</v>
      </c>
    </row>
    <row r="119" spans="1:7" x14ac:dyDescent="0.3">
      <c r="A119" s="42" t="s">
        <v>238</v>
      </c>
      <c r="B119" s="42" t="s">
        <v>334</v>
      </c>
      <c r="C119" s="42" t="s">
        <v>5860</v>
      </c>
      <c r="D119" s="43" t="s">
        <v>229</v>
      </c>
      <c r="E119" s="43" t="s">
        <v>92</v>
      </c>
      <c r="F119" s="42" t="s">
        <v>11469</v>
      </c>
      <c r="G119" t="s">
        <v>13197</v>
      </c>
    </row>
    <row r="120" spans="1:7" x14ac:dyDescent="0.3">
      <c r="A120" s="42" t="s">
        <v>238</v>
      </c>
      <c r="B120" s="42" t="s">
        <v>335</v>
      </c>
      <c r="C120" s="42" t="s">
        <v>5861</v>
      </c>
      <c r="D120" s="43" t="s">
        <v>229</v>
      </c>
      <c r="E120" s="43" t="s">
        <v>92</v>
      </c>
      <c r="F120" s="42" t="s">
        <v>192</v>
      </c>
      <c r="G120" t="s">
        <v>13196</v>
      </c>
    </row>
    <row r="121" spans="1:7" x14ac:dyDescent="0.3">
      <c r="A121" s="42" t="s">
        <v>238</v>
      </c>
      <c r="B121" s="42" t="s">
        <v>336</v>
      </c>
      <c r="C121" s="42" t="s">
        <v>5862</v>
      </c>
      <c r="D121" s="43" t="s">
        <v>229</v>
      </c>
      <c r="E121" s="43" t="s">
        <v>92</v>
      </c>
      <c r="F121" s="42" t="s">
        <v>11469</v>
      </c>
      <c r="G121" t="s">
        <v>13197</v>
      </c>
    </row>
    <row r="122" spans="1:7" x14ac:dyDescent="0.3">
      <c r="A122" s="42" t="s">
        <v>238</v>
      </c>
      <c r="B122" s="42" t="s">
        <v>337</v>
      </c>
      <c r="C122" s="42" t="s">
        <v>5863</v>
      </c>
      <c r="D122" s="43" t="s">
        <v>229</v>
      </c>
      <c r="E122" s="43" t="s">
        <v>92</v>
      </c>
      <c r="F122" s="42" t="s">
        <v>192</v>
      </c>
      <c r="G122" t="s">
        <v>13196</v>
      </c>
    </row>
    <row r="123" spans="1:7" x14ac:dyDescent="0.3">
      <c r="A123" s="42" t="s">
        <v>238</v>
      </c>
      <c r="B123" s="42" t="s">
        <v>338</v>
      </c>
      <c r="C123" s="42" t="s">
        <v>5864</v>
      </c>
      <c r="D123" s="43" t="s">
        <v>229</v>
      </c>
      <c r="E123" s="43" t="s">
        <v>92</v>
      </c>
      <c r="F123" s="42" t="s">
        <v>11469</v>
      </c>
      <c r="G123" t="s">
        <v>13197</v>
      </c>
    </row>
    <row r="124" spans="1:7" x14ac:dyDescent="0.3">
      <c r="A124" s="42" t="s">
        <v>238</v>
      </c>
      <c r="B124" s="42" t="s">
        <v>339</v>
      </c>
      <c r="C124" s="42" t="s">
        <v>5865</v>
      </c>
      <c r="D124" s="43" t="s">
        <v>229</v>
      </c>
      <c r="E124" s="43" t="s">
        <v>92</v>
      </c>
      <c r="F124" s="42" t="s">
        <v>11469</v>
      </c>
      <c r="G124" t="s">
        <v>13197</v>
      </c>
    </row>
    <row r="125" spans="1:7" x14ac:dyDescent="0.3">
      <c r="A125" s="42" t="s">
        <v>238</v>
      </c>
      <c r="B125" s="42" t="s">
        <v>340</v>
      </c>
      <c r="C125" s="42" t="s">
        <v>5866</v>
      </c>
      <c r="D125" s="43" t="s">
        <v>229</v>
      </c>
      <c r="E125" s="43" t="s">
        <v>92</v>
      </c>
      <c r="F125" s="42" t="s">
        <v>11469</v>
      </c>
      <c r="G125" t="s">
        <v>13197</v>
      </c>
    </row>
    <row r="126" spans="1:7" x14ac:dyDescent="0.3">
      <c r="A126" s="42" t="s">
        <v>238</v>
      </c>
      <c r="B126" s="42" t="s">
        <v>341</v>
      </c>
      <c r="C126" s="42" t="s">
        <v>5867</v>
      </c>
      <c r="D126" s="43" t="s">
        <v>229</v>
      </c>
      <c r="E126" s="43" t="s">
        <v>92</v>
      </c>
      <c r="F126" s="42" t="s">
        <v>11469</v>
      </c>
      <c r="G126" t="s">
        <v>13198</v>
      </c>
    </row>
    <row r="127" spans="1:7" x14ac:dyDescent="0.3">
      <c r="A127" s="42" t="s">
        <v>238</v>
      </c>
      <c r="B127" s="42" t="s">
        <v>342</v>
      </c>
      <c r="C127" s="42" t="s">
        <v>5868</v>
      </c>
      <c r="D127" s="43" t="s">
        <v>229</v>
      </c>
      <c r="E127" s="43" t="s">
        <v>92</v>
      </c>
      <c r="F127" s="42" t="s">
        <v>11469</v>
      </c>
      <c r="G127" t="s">
        <v>13197</v>
      </c>
    </row>
    <row r="128" spans="1:7" x14ac:dyDescent="0.3">
      <c r="A128" s="42" t="s">
        <v>238</v>
      </c>
      <c r="B128" s="42" t="s">
        <v>343</v>
      </c>
      <c r="C128" s="42" t="s">
        <v>5869</v>
      </c>
      <c r="D128" s="43" t="s">
        <v>229</v>
      </c>
      <c r="E128" s="43" t="s">
        <v>92</v>
      </c>
      <c r="F128" s="42" t="s">
        <v>11469</v>
      </c>
      <c r="G128" t="s">
        <v>13197</v>
      </c>
    </row>
    <row r="129" spans="1:7" x14ac:dyDescent="0.3">
      <c r="A129" s="42" t="s">
        <v>238</v>
      </c>
      <c r="B129" s="42" t="s">
        <v>344</v>
      </c>
      <c r="C129" s="42" t="s">
        <v>5870</v>
      </c>
      <c r="D129" s="43" t="s">
        <v>229</v>
      </c>
      <c r="E129" s="43" t="s">
        <v>92</v>
      </c>
      <c r="F129" s="42" t="s">
        <v>11469</v>
      </c>
      <c r="G129" t="s">
        <v>13197</v>
      </c>
    </row>
    <row r="130" spans="1:7" x14ac:dyDescent="0.3">
      <c r="A130" s="42" t="s">
        <v>238</v>
      </c>
      <c r="B130" s="42" t="s">
        <v>345</v>
      </c>
      <c r="C130" s="42" t="s">
        <v>5871</v>
      </c>
      <c r="D130" s="43" t="s">
        <v>229</v>
      </c>
      <c r="E130" s="43" t="s">
        <v>92</v>
      </c>
      <c r="F130" s="42" t="s">
        <v>11469</v>
      </c>
      <c r="G130" t="s">
        <v>13197</v>
      </c>
    </row>
    <row r="131" spans="1:7" x14ac:dyDescent="0.3">
      <c r="A131" s="42" t="s">
        <v>238</v>
      </c>
      <c r="B131" s="42" t="s">
        <v>346</v>
      </c>
      <c r="C131" s="42" t="s">
        <v>5872</v>
      </c>
      <c r="D131" s="43" t="s">
        <v>229</v>
      </c>
      <c r="E131" s="43" t="s">
        <v>92</v>
      </c>
      <c r="F131" s="42" t="s">
        <v>11469</v>
      </c>
      <c r="G131" t="s">
        <v>13197</v>
      </c>
    </row>
    <row r="132" spans="1:7" x14ac:dyDescent="0.3">
      <c r="A132" s="42" t="s">
        <v>238</v>
      </c>
      <c r="B132" s="42" t="s">
        <v>347</v>
      </c>
      <c r="C132" s="42" t="s">
        <v>5873</v>
      </c>
      <c r="D132" s="43" t="s">
        <v>229</v>
      </c>
      <c r="E132" s="43" t="s">
        <v>92</v>
      </c>
      <c r="F132" s="42" t="s">
        <v>11469</v>
      </c>
      <c r="G132" t="s">
        <v>13197</v>
      </c>
    </row>
    <row r="133" spans="1:7" x14ac:dyDescent="0.3">
      <c r="A133" s="42" t="s">
        <v>238</v>
      </c>
      <c r="B133" s="42" t="s">
        <v>348</v>
      </c>
      <c r="C133" s="42" t="s">
        <v>5874</v>
      </c>
      <c r="D133" s="43" t="s">
        <v>229</v>
      </c>
      <c r="E133" s="43" t="s">
        <v>92</v>
      </c>
      <c r="F133" s="42" t="s">
        <v>11469</v>
      </c>
      <c r="G133" t="s">
        <v>13197</v>
      </c>
    </row>
    <row r="134" spans="1:7" x14ac:dyDescent="0.3">
      <c r="A134" s="42" t="s">
        <v>238</v>
      </c>
      <c r="B134" s="42" t="s">
        <v>349</v>
      </c>
      <c r="C134" s="42" t="s">
        <v>5875</v>
      </c>
      <c r="D134" s="43" t="s">
        <v>229</v>
      </c>
      <c r="E134" s="43" t="s">
        <v>92</v>
      </c>
      <c r="F134" s="42" t="s">
        <v>11469</v>
      </c>
      <c r="G134" t="s">
        <v>13197</v>
      </c>
    </row>
    <row r="135" spans="1:7" x14ac:dyDescent="0.3">
      <c r="A135" s="42" t="s">
        <v>238</v>
      </c>
      <c r="B135" s="42" t="s">
        <v>350</v>
      </c>
      <c r="C135" s="42" t="s">
        <v>5876</v>
      </c>
      <c r="D135" s="43" t="s">
        <v>229</v>
      </c>
      <c r="E135" s="43" t="s">
        <v>92</v>
      </c>
      <c r="F135" s="42" t="s">
        <v>11469</v>
      </c>
      <c r="G135" t="s">
        <v>13197</v>
      </c>
    </row>
    <row r="136" spans="1:7" x14ac:dyDescent="0.3">
      <c r="A136" s="42" t="s">
        <v>238</v>
      </c>
      <c r="B136" s="42" t="s">
        <v>351</v>
      </c>
      <c r="C136" s="42" t="s">
        <v>5877</v>
      </c>
      <c r="D136" s="43" t="s">
        <v>229</v>
      </c>
      <c r="E136" s="43" t="s">
        <v>92</v>
      </c>
      <c r="F136" s="42" t="s">
        <v>11469</v>
      </c>
      <c r="G136" t="s">
        <v>13197</v>
      </c>
    </row>
    <row r="137" spans="1:7" x14ac:dyDescent="0.3">
      <c r="A137" s="42" t="s">
        <v>238</v>
      </c>
      <c r="B137" s="42" t="s">
        <v>352</v>
      </c>
      <c r="C137" s="42" t="s">
        <v>5878</v>
      </c>
      <c r="D137" s="43" t="s">
        <v>229</v>
      </c>
      <c r="E137" s="43" t="s">
        <v>92</v>
      </c>
      <c r="F137" s="42" t="s">
        <v>11469</v>
      </c>
      <c r="G137" t="s">
        <v>13197</v>
      </c>
    </row>
    <row r="138" spans="1:7" x14ac:dyDescent="0.3">
      <c r="A138" s="42" t="s">
        <v>238</v>
      </c>
      <c r="B138" s="42" t="s">
        <v>353</v>
      </c>
      <c r="C138" s="42" t="s">
        <v>5879</v>
      </c>
      <c r="D138" s="43" t="s">
        <v>229</v>
      </c>
      <c r="E138" s="43" t="s">
        <v>92</v>
      </c>
      <c r="F138" s="42" t="s">
        <v>11469</v>
      </c>
      <c r="G138" t="s">
        <v>13197</v>
      </c>
    </row>
    <row r="139" spans="1:7" x14ac:dyDescent="0.3">
      <c r="A139" s="42" t="s">
        <v>238</v>
      </c>
      <c r="B139" s="42" t="s">
        <v>354</v>
      </c>
      <c r="C139" s="42" t="s">
        <v>5880</v>
      </c>
      <c r="D139" s="43" t="s">
        <v>229</v>
      </c>
      <c r="E139" s="43" t="s">
        <v>92</v>
      </c>
      <c r="F139" s="42" t="s">
        <v>192</v>
      </c>
      <c r="G139" t="s">
        <v>13196</v>
      </c>
    </row>
    <row r="140" spans="1:7" x14ac:dyDescent="0.3">
      <c r="A140" s="42" t="s">
        <v>238</v>
      </c>
      <c r="B140" s="42" t="s">
        <v>355</v>
      </c>
      <c r="C140" s="42" t="s">
        <v>5881</v>
      </c>
      <c r="D140" s="43" t="s">
        <v>229</v>
      </c>
      <c r="E140" s="43" t="s">
        <v>92</v>
      </c>
      <c r="F140" s="42" t="s">
        <v>11469</v>
      </c>
      <c r="G140" t="s">
        <v>13197</v>
      </c>
    </row>
    <row r="141" spans="1:7" x14ac:dyDescent="0.3">
      <c r="A141" s="42" t="s">
        <v>238</v>
      </c>
      <c r="B141" s="42" t="s">
        <v>356</v>
      </c>
      <c r="C141" s="42" t="s">
        <v>5882</v>
      </c>
      <c r="D141" s="43" t="s">
        <v>229</v>
      </c>
      <c r="E141" s="43" t="s">
        <v>92</v>
      </c>
      <c r="F141" s="42" t="s">
        <v>11469</v>
      </c>
      <c r="G141" t="s">
        <v>13197</v>
      </c>
    </row>
    <row r="142" spans="1:7" x14ac:dyDescent="0.3">
      <c r="A142" s="42" t="s">
        <v>238</v>
      </c>
      <c r="B142" s="42" t="s">
        <v>357</v>
      </c>
      <c r="C142" s="42" t="s">
        <v>5883</v>
      </c>
      <c r="D142" s="43" t="s">
        <v>229</v>
      </c>
      <c r="E142" s="43" t="s">
        <v>92</v>
      </c>
      <c r="F142" s="42" t="s">
        <v>11469</v>
      </c>
      <c r="G142" t="s">
        <v>13197</v>
      </c>
    </row>
    <row r="143" spans="1:7" x14ac:dyDescent="0.3">
      <c r="A143" s="42" t="s">
        <v>238</v>
      </c>
      <c r="B143" s="42" t="s">
        <v>358</v>
      </c>
      <c r="C143" s="42" t="s">
        <v>5884</v>
      </c>
      <c r="D143" s="43" t="s">
        <v>229</v>
      </c>
      <c r="E143" s="43" t="s">
        <v>92</v>
      </c>
      <c r="F143" s="42" t="s">
        <v>11469</v>
      </c>
      <c r="G143" t="s">
        <v>13197</v>
      </c>
    </row>
    <row r="144" spans="1:7" x14ac:dyDescent="0.3">
      <c r="A144" s="42" t="s">
        <v>238</v>
      </c>
      <c r="B144" s="42" t="s">
        <v>359</v>
      </c>
      <c r="C144" s="42" t="s">
        <v>5885</v>
      </c>
      <c r="D144" s="43" t="s">
        <v>229</v>
      </c>
      <c r="E144" s="43" t="s">
        <v>92</v>
      </c>
      <c r="F144" s="42" t="s">
        <v>11469</v>
      </c>
      <c r="G144" t="s">
        <v>13197</v>
      </c>
    </row>
    <row r="145" spans="1:7" x14ac:dyDescent="0.3">
      <c r="A145" s="42" t="s">
        <v>238</v>
      </c>
      <c r="B145" s="42" t="s">
        <v>360</v>
      </c>
      <c r="C145" s="42" t="s">
        <v>5886</v>
      </c>
      <c r="D145" s="43" t="s">
        <v>229</v>
      </c>
      <c r="E145" s="43" t="s">
        <v>92</v>
      </c>
      <c r="F145" s="42" t="s">
        <v>11469</v>
      </c>
      <c r="G145" t="s">
        <v>13197</v>
      </c>
    </row>
    <row r="146" spans="1:7" x14ac:dyDescent="0.3">
      <c r="A146" s="42" t="s">
        <v>238</v>
      </c>
      <c r="B146" s="42" t="s">
        <v>361</v>
      </c>
      <c r="C146" s="42" t="s">
        <v>5887</v>
      </c>
      <c r="D146" s="43" t="s">
        <v>229</v>
      </c>
      <c r="E146" s="43" t="s">
        <v>92</v>
      </c>
      <c r="F146" s="42" t="s">
        <v>11469</v>
      </c>
      <c r="G146" t="s">
        <v>13197</v>
      </c>
    </row>
    <row r="147" spans="1:7" x14ac:dyDescent="0.3">
      <c r="A147" s="42" t="s">
        <v>238</v>
      </c>
      <c r="B147" s="42" t="s">
        <v>362</v>
      </c>
      <c r="C147" s="42" t="s">
        <v>5888</v>
      </c>
      <c r="D147" s="43" t="s">
        <v>229</v>
      </c>
      <c r="E147" s="43" t="s">
        <v>92</v>
      </c>
      <c r="F147" s="42" t="s">
        <v>11469</v>
      </c>
      <c r="G147" t="s">
        <v>13197</v>
      </c>
    </row>
    <row r="148" spans="1:7" x14ac:dyDescent="0.3">
      <c r="A148" s="42" t="s">
        <v>238</v>
      </c>
      <c r="B148" s="42" t="s">
        <v>363</v>
      </c>
      <c r="C148" s="42" t="s">
        <v>5889</v>
      </c>
      <c r="D148" s="43" t="s">
        <v>229</v>
      </c>
      <c r="E148" s="43" t="s">
        <v>92</v>
      </c>
      <c r="F148" s="42" t="s">
        <v>11469</v>
      </c>
      <c r="G148" t="s">
        <v>13197</v>
      </c>
    </row>
    <row r="149" spans="1:7" x14ac:dyDescent="0.3">
      <c r="A149" s="42" t="s">
        <v>238</v>
      </c>
      <c r="B149" s="42" t="s">
        <v>364</v>
      </c>
      <c r="C149" s="42" t="s">
        <v>5890</v>
      </c>
      <c r="D149" s="43" t="s">
        <v>229</v>
      </c>
      <c r="E149" s="43" t="s">
        <v>92</v>
      </c>
      <c r="F149" s="42" t="s">
        <v>11469</v>
      </c>
      <c r="G149" t="s">
        <v>13197</v>
      </c>
    </row>
    <row r="150" spans="1:7" x14ac:dyDescent="0.3">
      <c r="A150" s="42" t="s">
        <v>238</v>
      </c>
      <c r="B150" s="42" t="s">
        <v>365</v>
      </c>
      <c r="C150" s="42" t="s">
        <v>5891</v>
      </c>
      <c r="D150" s="43" t="s">
        <v>229</v>
      </c>
      <c r="E150" s="43" t="s">
        <v>92</v>
      </c>
      <c r="F150" s="42" t="s">
        <v>11469</v>
      </c>
      <c r="G150" t="s">
        <v>13197</v>
      </c>
    </row>
    <row r="151" spans="1:7" x14ac:dyDescent="0.3">
      <c r="A151" s="42" t="s">
        <v>238</v>
      </c>
      <c r="B151" s="42" t="s">
        <v>366</v>
      </c>
      <c r="C151" s="42" t="s">
        <v>5892</v>
      </c>
      <c r="D151" s="43" t="s">
        <v>229</v>
      </c>
      <c r="E151" s="43" t="s">
        <v>92</v>
      </c>
      <c r="F151" s="42" t="s">
        <v>11469</v>
      </c>
      <c r="G151" t="s">
        <v>13197</v>
      </c>
    </row>
    <row r="152" spans="1:7" x14ac:dyDescent="0.3">
      <c r="A152" s="42" t="s">
        <v>238</v>
      </c>
      <c r="B152" s="42" t="s">
        <v>367</v>
      </c>
      <c r="C152" s="42" t="s">
        <v>5893</v>
      </c>
      <c r="D152" s="43" t="s">
        <v>229</v>
      </c>
      <c r="E152" s="43" t="s">
        <v>92</v>
      </c>
      <c r="F152" s="42" t="s">
        <v>192</v>
      </c>
      <c r="G152" t="s">
        <v>13196</v>
      </c>
    </row>
    <row r="153" spans="1:7" x14ac:dyDescent="0.3">
      <c r="A153" s="42" t="s">
        <v>238</v>
      </c>
      <c r="B153" s="42" t="s">
        <v>368</v>
      </c>
      <c r="C153" s="42" t="s">
        <v>5894</v>
      </c>
      <c r="D153" s="43" t="s">
        <v>229</v>
      </c>
      <c r="E153" s="43" t="s">
        <v>92</v>
      </c>
      <c r="F153" s="42" t="s">
        <v>11469</v>
      </c>
      <c r="G153" t="s">
        <v>13197</v>
      </c>
    </row>
    <row r="154" spans="1:7" x14ac:dyDescent="0.3">
      <c r="A154" s="42" t="s">
        <v>238</v>
      </c>
      <c r="B154" s="42" t="s">
        <v>369</v>
      </c>
      <c r="C154" s="42" t="s">
        <v>5895</v>
      </c>
      <c r="D154" s="43" t="s">
        <v>229</v>
      </c>
      <c r="E154" s="43" t="s">
        <v>92</v>
      </c>
      <c r="F154" s="42" t="s">
        <v>11469</v>
      </c>
      <c r="G154" t="s">
        <v>13197</v>
      </c>
    </row>
    <row r="155" spans="1:7" x14ac:dyDescent="0.3">
      <c r="A155" s="42" t="s">
        <v>238</v>
      </c>
      <c r="B155" s="42" t="s">
        <v>370</v>
      </c>
      <c r="C155" s="42" t="s">
        <v>5896</v>
      </c>
      <c r="D155" s="43" t="s">
        <v>229</v>
      </c>
      <c r="E155" s="43" t="s">
        <v>92</v>
      </c>
      <c r="F155" s="42" t="s">
        <v>11469</v>
      </c>
      <c r="G155" t="s">
        <v>13197</v>
      </c>
    </row>
    <row r="156" spans="1:7" x14ac:dyDescent="0.3">
      <c r="A156" s="42" t="s">
        <v>238</v>
      </c>
      <c r="B156" s="42" t="s">
        <v>371</v>
      </c>
      <c r="C156" s="42" t="s">
        <v>5897</v>
      </c>
      <c r="D156" s="43" t="s">
        <v>229</v>
      </c>
      <c r="E156" s="43" t="s">
        <v>92</v>
      </c>
      <c r="F156" s="42" t="s">
        <v>11469</v>
      </c>
      <c r="G156" t="s">
        <v>13197</v>
      </c>
    </row>
    <row r="157" spans="1:7" x14ac:dyDescent="0.3">
      <c r="A157" s="42" t="s">
        <v>238</v>
      </c>
      <c r="B157" s="42" t="s">
        <v>372</v>
      </c>
      <c r="C157" s="42" t="s">
        <v>5898</v>
      </c>
      <c r="D157" s="43" t="s">
        <v>229</v>
      </c>
      <c r="E157" s="43" t="s">
        <v>92</v>
      </c>
      <c r="F157" s="42" t="s">
        <v>11469</v>
      </c>
      <c r="G157" t="s">
        <v>13197</v>
      </c>
    </row>
    <row r="158" spans="1:7" x14ac:dyDescent="0.3">
      <c r="A158" s="42" t="s">
        <v>238</v>
      </c>
      <c r="B158" s="42" t="s">
        <v>373</v>
      </c>
      <c r="C158" s="42" t="s">
        <v>5899</v>
      </c>
      <c r="D158" s="43" t="s">
        <v>229</v>
      </c>
      <c r="E158" s="43" t="s">
        <v>92</v>
      </c>
      <c r="F158" s="42" t="s">
        <v>192</v>
      </c>
      <c r="G158" t="s">
        <v>13196</v>
      </c>
    </row>
    <row r="159" spans="1:7" x14ac:dyDescent="0.3">
      <c r="A159" s="42" t="s">
        <v>238</v>
      </c>
      <c r="B159" s="42" t="s">
        <v>374</v>
      </c>
      <c r="C159" s="42" t="s">
        <v>5900</v>
      </c>
      <c r="D159" s="43" t="s">
        <v>229</v>
      </c>
      <c r="E159" s="43" t="s">
        <v>92</v>
      </c>
      <c r="F159" s="42" t="s">
        <v>11469</v>
      </c>
      <c r="G159" t="s">
        <v>13197</v>
      </c>
    </row>
    <row r="160" spans="1:7" x14ac:dyDescent="0.3">
      <c r="A160" s="42" t="s">
        <v>238</v>
      </c>
      <c r="B160" s="42" t="s">
        <v>375</v>
      </c>
      <c r="C160" s="42" t="s">
        <v>5901</v>
      </c>
      <c r="D160" s="43" t="s">
        <v>229</v>
      </c>
      <c r="E160" s="43" t="s">
        <v>92</v>
      </c>
      <c r="F160" s="42" t="s">
        <v>11469</v>
      </c>
      <c r="G160" t="s">
        <v>13197</v>
      </c>
    </row>
    <row r="161" spans="1:7" x14ac:dyDescent="0.3">
      <c r="A161" s="42" t="s">
        <v>238</v>
      </c>
      <c r="B161" s="42" t="s">
        <v>376</v>
      </c>
      <c r="C161" s="42" t="s">
        <v>5902</v>
      </c>
      <c r="D161" s="43" t="s">
        <v>229</v>
      </c>
      <c r="E161" s="43" t="s">
        <v>92</v>
      </c>
      <c r="F161" s="42" t="s">
        <v>11469</v>
      </c>
      <c r="G161" t="s">
        <v>13197</v>
      </c>
    </row>
    <row r="162" spans="1:7" x14ac:dyDescent="0.3">
      <c r="A162" s="42" t="s">
        <v>238</v>
      </c>
      <c r="B162" s="42" t="s">
        <v>377</v>
      </c>
      <c r="C162" s="42" t="s">
        <v>5903</v>
      </c>
      <c r="D162" s="43" t="s">
        <v>229</v>
      </c>
      <c r="E162" s="43" t="s">
        <v>92</v>
      </c>
      <c r="F162" s="42" t="s">
        <v>11469</v>
      </c>
      <c r="G162" t="s">
        <v>13197</v>
      </c>
    </row>
    <row r="163" spans="1:7" x14ac:dyDescent="0.3">
      <c r="A163" s="42" t="s">
        <v>238</v>
      </c>
      <c r="B163" s="42" t="s">
        <v>378</v>
      </c>
      <c r="C163" s="42" t="s">
        <v>5904</v>
      </c>
      <c r="D163" s="43" t="s">
        <v>229</v>
      </c>
      <c r="E163" s="43" t="s">
        <v>92</v>
      </c>
      <c r="F163" s="42" t="s">
        <v>11469</v>
      </c>
      <c r="G163" t="s">
        <v>13197</v>
      </c>
    </row>
    <row r="164" spans="1:7" x14ac:dyDescent="0.3">
      <c r="A164" s="42" t="s">
        <v>238</v>
      </c>
      <c r="B164" s="42" t="s">
        <v>379</v>
      </c>
      <c r="C164" s="42" t="s">
        <v>5905</v>
      </c>
      <c r="D164" s="43" t="s">
        <v>229</v>
      </c>
      <c r="E164" s="43" t="s">
        <v>92</v>
      </c>
      <c r="F164" s="42" t="s">
        <v>11469</v>
      </c>
      <c r="G164" t="s">
        <v>13197</v>
      </c>
    </row>
    <row r="165" spans="1:7" x14ac:dyDescent="0.3">
      <c r="A165" s="42" t="s">
        <v>238</v>
      </c>
      <c r="B165" s="42" t="s">
        <v>380</v>
      </c>
      <c r="C165" s="42" t="s">
        <v>5906</v>
      </c>
      <c r="D165" s="43" t="s">
        <v>229</v>
      </c>
      <c r="E165" s="43" t="s">
        <v>92</v>
      </c>
      <c r="F165" s="42" t="s">
        <v>11469</v>
      </c>
      <c r="G165" t="s">
        <v>13197</v>
      </c>
    </row>
    <row r="166" spans="1:7" x14ac:dyDescent="0.3">
      <c r="A166" s="42" t="s">
        <v>238</v>
      </c>
      <c r="B166" s="42" t="s">
        <v>381</v>
      </c>
      <c r="C166" s="42" t="s">
        <v>5907</v>
      </c>
      <c r="D166" s="43" t="s">
        <v>229</v>
      </c>
      <c r="E166" s="43" t="s">
        <v>92</v>
      </c>
      <c r="F166" s="42" t="s">
        <v>11469</v>
      </c>
      <c r="G166" t="s">
        <v>13197</v>
      </c>
    </row>
    <row r="167" spans="1:7" x14ac:dyDescent="0.3">
      <c r="A167" s="42" t="s">
        <v>238</v>
      </c>
      <c r="B167" s="42" t="s">
        <v>382</v>
      </c>
      <c r="C167" s="42" t="s">
        <v>5908</v>
      </c>
      <c r="D167" s="43" t="s">
        <v>229</v>
      </c>
      <c r="E167" s="43" t="s">
        <v>92</v>
      </c>
      <c r="F167" s="42" t="s">
        <v>11469</v>
      </c>
      <c r="G167" t="s">
        <v>13197</v>
      </c>
    </row>
    <row r="168" spans="1:7" x14ac:dyDescent="0.3">
      <c r="A168" s="42" t="s">
        <v>238</v>
      </c>
      <c r="B168" s="42" t="s">
        <v>383</v>
      </c>
      <c r="C168" s="42" t="s">
        <v>5909</v>
      </c>
      <c r="D168" s="43" t="s">
        <v>229</v>
      </c>
      <c r="E168" s="43" t="s">
        <v>92</v>
      </c>
      <c r="F168" s="42" t="s">
        <v>11469</v>
      </c>
      <c r="G168" t="s">
        <v>13197</v>
      </c>
    </row>
    <row r="169" spans="1:7" x14ac:dyDescent="0.3">
      <c r="A169" s="42" t="s">
        <v>238</v>
      </c>
      <c r="B169" s="42" t="s">
        <v>384</v>
      </c>
      <c r="C169" s="42" t="s">
        <v>5910</v>
      </c>
      <c r="D169" s="43" t="s">
        <v>229</v>
      </c>
      <c r="E169" s="43" t="s">
        <v>92</v>
      </c>
      <c r="F169" s="42" t="s">
        <v>11469</v>
      </c>
      <c r="G169" t="s">
        <v>13197</v>
      </c>
    </row>
    <row r="170" spans="1:7" x14ac:dyDescent="0.3">
      <c r="A170" s="42" t="s">
        <v>238</v>
      </c>
      <c r="B170" s="42" t="s">
        <v>385</v>
      </c>
      <c r="C170" s="42" t="s">
        <v>5911</v>
      </c>
      <c r="D170" s="43" t="s">
        <v>229</v>
      </c>
      <c r="E170" s="43" t="s">
        <v>92</v>
      </c>
      <c r="F170" s="42" t="s">
        <v>11469</v>
      </c>
      <c r="G170" t="s">
        <v>13197</v>
      </c>
    </row>
    <row r="171" spans="1:7" x14ac:dyDescent="0.3">
      <c r="A171" s="42" t="s">
        <v>238</v>
      </c>
      <c r="B171" s="42" t="s">
        <v>386</v>
      </c>
      <c r="C171" s="42" t="s">
        <v>5912</v>
      </c>
      <c r="D171" s="43" t="s">
        <v>229</v>
      </c>
      <c r="E171" s="43" t="s">
        <v>92</v>
      </c>
      <c r="F171" s="42" t="s">
        <v>11469</v>
      </c>
      <c r="G171" t="s">
        <v>13197</v>
      </c>
    </row>
    <row r="172" spans="1:7" x14ac:dyDescent="0.3">
      <c r="A172" s="42" t="s">
        <v>238</v>
      </c>
      <c r="B172" s="42" t="s">
        <v>387</v>
      </c>
      <c r="C172" s="42" t="s">
        <v>5913</v>
      </c>
      <c r="D172" s="43" t="s">
        <v>229</v>
      </c>
      <c r="E172" s="43" t="s">
        <v>92</v>
      </c>
      <c r="F172" s="42" t="s">
        <v>11469</v>
      </c>
      <c r="G172" t="s">
        <v>13197</v>
      </c>
    </row>
    <row r="173" spans="1:7" x14ac:dyDescent="0.3">
      <c r="A173" s="42" t="s">
        <v>238</v>
      </c>
      <c r="B173" s="42" t="s">
        <v>388</v>
      </c>
      <c r="C173" s="42" t="s">
        <v>5914</v>
      </c>
      <c r="D173" s="43" t="s">
        <v>229</v>
      </c>
      <c r="E173" s="43" t="s">
        <v>92</v>
      </c>
      <c r="F173" s="42" t="s">
        <v>11469</v>
      </c>
      <c r="G173" t="s">
        <v>13197</v>
      </c>
    </row>
    <row r="174" spans="1:7" x14ac:dyDescent="0.3">
      <c r="A174" s="42" t="s">
        <v>238</v>
      </c>
      <c r="B174" s="42" t="s">
        <v>389</v>
      </c>
      <c r="C174" s="42" t="s">
        <v>5915</v>
      </c>
      <c r="D174" s="43" t="s">
        <v>229</v>
      </c>
      <c r="E174" s="43" t="s">
        <v>92</v>
      </c>
      <c r="F174" s="42" t="s">
        <v>11469</v>
      </c>
      <c r="G174" t="s">
        <v>13197</v>
      </c>
    </row>
    <row r="175" spans="1:7" x14ac:dyDescent="0.3">
      <c r="A175" s="42" t="s">
        <v>238</v>
      </c>
      <c r="B175" s="42" t="s">
        <v>390</v>
      </c>
      <c r="C175" s="42" t="s">
        <v>5916</v>
      </c>
      <c r="D175" s="43" t="s">
        <v>229</v>
      </c>
      <c r="E175" s="43" t="s">
        <v>92</v>
      </c>
      <c r="F175" s="42" t="s">
        <v>11469</v>
      </c>
      <c r="G175" t="s">
        <v>13197</v>
      </c>
    </row>
    <row r="176" spans="1:7" x14ac:dyDescent="0.3">
      <c r="A176" s="42" t="s">
        <v>238</v>
      </c>
      <c r="B176" s="42" t="s">
        <v>391</v>
      </c>
      <c r="C176" s="42" t="s">
        <v>5917</v>
      </c>
      <c r="D176" s="43" t="s">
        <v>229</v>
      </c>
      <c r="E176" s="43" t="s">
        <v>92</v>
      </c>
      <c r="F176" s="42" t="s">
        <v>11469</v>
      </c>
      <c r="G176" t="s">
        <v>13197</v>
      </c>
    </row>
    <row r="177" spans="1:7" x14ac:dyDescent="0.3">
      <c r="A177" s="42" t="s">
        <v>238</v>
      </c>
      <c r="B177" s="42" t="s">
        <v>392</v>
      </c>
      <c r="C177" s="42" t="s">
        <v>5918</v>
      </c>
      <c r="D177" s="43" t="s">
        <v>229</v>
      </c>
      <c r="E177" s="43" t="s">
        <v>92</v>
      </c>
      <c r="F177" s="42" t="s">
        <v>11469</v>
      </c>
      <c r="G177" t="s">
        <v>13197</v>
      </c>
    </row>
    <row r="178" spans="1:7" x14ac:dyDescent="0.3">
      <c r="A178" s="42" t="s">
        <v>238</v>
      </c>
      <c r="B178" s="42" t="s">
        <v>393</v>
      </c>
      <c r="C178" s="42" t="s">
        <v>5919</v>
      </c>
      <c r="D178" s="43" t="s">
        <v>229</v>
      </c>
      <c r="E178" s="43" t="s">
        <v>92</v>
      </c>
      <c r="F178" s="42" t="s">
        <v>11469</v>
      </c>
      <c r="G178" t="s">
        <v>13197</v>
      </c>
    </row>
    <row r="179" spans="1:7" x14ac:dyDescent="0.3">
      <c r="A179" s="42" t="s">
        <v>238</v>
      </c>
      <c r="B179" s="42" t="s">
        <v>394</v>
      </c>
      <c r="C179" s="42" t="s">
        <v>5920</v>
      </c>
      <c r="D179" s="43" t="s">
        <v>229</v>
      </c>
      <c r="E179" s="43" t="s">
        <v>92</v>
      </c>
      <c r="F179" s="42" t="s">
        <v>11469</v>
      </c>
      <c r="G179" t="s">
        <v>13197</v>
      </c>
    </row>
    <row r="180" spans="1:7" x14ac:dyDescent="0.3">
      <c r="A180" s="42" t="s">
        <v>238</v>
      </c>
      <c r="B180" s="42" t="s">
        <v>395</v>
      </c>
      <c r="C180" s="42" t="s">
        <v>5921</v>
      </c>
      <c r="D180" s="43" t="s">
        <v>229</v>
      </c>
      <c r="E180" s="43" t="s">
        <v>92</v>
      </c>
      <c r="F180" s="42" t="s">
        <v>11469</v>
      </c>
      <c r="G180" t="s">
        <v>13197</v>
      </c>
    </row>
    <row r="181" spans="1:7" x14ac:dyDescent="0.3">
      <c r="A181" s="42" t="s">
        <v>238</v>
      </c>
      <c r="B181" s="42" t="s">
        <v>396</v>
      </c>
      <c r="C181" s="42" t="s">
        <v>5922</v>
      </c>
      <c r="D181" s="43" t="s">
        <v>229</v>
      </c>
      <c r="E181" s="43" t="s">
        <v>92</v>
      </c>
      <c r="F181" s="42" t="s">
        <v>11469</v>
      </c>
      <c r="G181" t="s">
        <v>13197</v>
      </c>
    </row>
    <row r="182" spans="1:7" x14ac:dyDescent="0.3">
      <c r="A182" s="42" t="s">
        <v>238</v>
      </c>
      <c r="B182" s="42" t="s">
        <v>397</v>
      </c>
      <c r="C182" s="42" t="s">
        <v>5923</v>
      </c>
      <c r="D182" s="43" t="s">
        <v>229</v>
      </c>
      <c r="E182" s="43" t="s">
        <v>92</v>
      </c>
      <c r="F182" s="42" t="s">
        <v>11469</v>
      </c>
      <c r="G182" t="s">
        <v>13197</v>
      </c>
    </row>
    <row r="183" spans="1:7" x14ac:dyDescent="0.3">
      <c r="A183" s="42" t="s">
        <v>238</v>
      </c>
      <c r="B183" s="42" t="s">
        <v>398</v>
      </c>
      <c r="C183" s="42" t="s">
        <v>5924</v>
      </c>
      <c r="D183" s="43" t="s">
        <v>229</v>
      </c>
      <c r="E183" s="43" t="s">
        <v>92</v>
      </c>
      <c r="F183" s="42" t="s">
        <v>192</v>
      </c>
      <c r="G183" t="s">
        <v>13196</v>
      </c>
    </row>
    <row r="184" spans="1:7" x14ac:dyDescent="0.3">
      <c r="A184" s="42" t="s">
        <v>238</v>
      </c>
      <c r="B184" s="42" t="s">
        <v>399</v>
      </c>
      <c r="C184" s="42" t="s">
        <v>5925</v>
      </c>
      <c r="D184" s="43" t="s">
        <v>229</v>
      </c>
      <c r="E184" s="43" t="s">
        <v>92</v>
      </c>
      <c r="F184" s="42" t="s">
        <v>11469</v>
      </c>
      <c r="G184" t="s">
        <v>13197</v>
      </c>
    </row>
    <row r="185" spans="1:7" x14ac:dyDescent="0.3">
      <c r="A185" s="42" t="s">
        <v>238</v>
      </c>
      <c r="B185" s="42" t="s">
        <v>400</v>
      </c>
      <c r="C185" s="42" t="s">
        <v>5926</v>
      </c>
      <c r="D185" s="43" t="s">
        <v>229</v>
      </c>
      <c r="E185" s="43" t="s">
        <v>92</v>
      </c>
      <c r="F185" s="42" t="s">
        <v>11469</v>
      </c>
      <c r="G185" t="s">
        <v>13197</v>
      </c>
    </row>
    <row r="186" spans="1:7" x14ac:dyDescent="0.3">
      <c r="A186" s="42" t="s">
        <v>238</v>
      </c>
      <c r="B186" s="42" t="s">
        <v>401</v>
      </c>
      <c r="C186" s="42" t="s">
        <v>5927</v>
      </c>
      <c r="D186" s="43" t="s">
        <v>229</v>
      </c>
      <c r="E186" s="43" t="s">
        <v>92</v>
      </c>
      <c r="F186" s="42" t="s">
        <v>192</v>
      </c>
      <c r="G186" t="s">
        <v>13196</v>
      </c>
    </row>
    <row r="187" spans="1:7" x14ac:dyDescent="0.3">
      <c r="A187" s="42" t="s">
        <v>238</v>
      </c>
      <c r="B187" s="42" t="s">
        <v>402</v>
      </c>
      <c r="C187" s="42" t="s">
        <v>5928</v>
      </c>
      <c r="D187" s="43" t="s">
        <v>229</v>
      </c>
      <c r="E187" s="43" t="s">
        <v>92</v>
      </c>
      <c r="F187" s="42" t="s">
        <v>11469</v>
      </c>
      <c r="G187" t="s">
        <v>13197</v>
      </c>
    </row>
    <row r="188" spans="1:7" x14ac:dyDescent="0.3">
      <c r="A188" s="42" t="s">
        <v>238</v>
      </c>
      <c r="B188" s="42" t="s">
        <v>403</v>
      </c>
      <c r="C188" s="42" t="s">
        <v>5929</v>
      </c>
      <c r="D188" s="43" t="s">
        <v>229</v>
      </c>
      <c r="E188" s="43" t="s">
        <v>92</v>
      </c>
      <c r="F188" s="42" t="s">
        <v>11469</v>
      </c>
      <c r="G188" t="s">
        <v>13197</v>
      </c>
    </row>
    <row r="189" spans="1:7" x14ac:dyDescent="0.3">
      <c r="A189" s="42" t="s">
        <v>238</v>
      </c>
      <c r="B189" s="42" t="s">
        <v>404</v>
      </c>
      <c r="C189" s="42" t="s">
        <v>5930</v>
      </c>
      <c r="D189" s="43" t="s">
        <v>229</v>
      </c>
      <c r="E189" s="43" t="s">
        <v>92</v>
      </c>
      <c r="F189" s="42" t="s">
        <v>11469</v>
      </c>
      <c r="G189" t="s">
        <v>13197</v>
      </c>
    </row>
    <row r="190" spans="1:7" x14ac:dyDescent="0.3">
      <c r="A190" s="42" t="s">
        <v>238</v>
      </c>
      <c r="B190" s="42" t="s">
        <v>405</v>
      </c>
      <c r="C190" s="42" t="s">
        <v>5931</v>
      </c>
      <c r="D190" s="43" t="s">
        <v>229</v>
      </c>
      <c r="E190" s="43" t="s">
        <v>92</v>
      </c>
      <c r="F190" s="42" t="s">
        <v>11469</v>
      </c>
      <c r="G190" t="s">
        <v>13197</v>
      </c>
    </row>
    <row r="191" spans="1:7" x14ac:dyDescent="0.3">
      <c r="A191" s="42" t="s">
        <v>238</v>
      </c>
      <c r="B191" s="42" t="s">
        <v>406</v>
      </c>
      <c r="C191" s="42" t="s">
        <v>5932</v>
      </c>
      <c r="D191" s="43" t="s">
        <v>229</v>
      </c>
      <c r="E191" s="43" t="s">
        <v>92</v>
      </c>
      <c r="F191" s="42" t="s">
        <v>11469</v>
      </c>
      <c r="G191" t="s">
        <v>13198</v>
      </c>
    </row>
    <row r="192" spans="1:7" x14ac:dyDescent="0.3">
      <c r="A192" s="42" t="s">
        <v>238</v>
      </c>
      <c r="B192" s="42" t="s">
        <v>407</v>
      </c>
      <c r="C192" s="42" t="s">
        <v>5933</v>
      </c>
      <c r="D192" s="43" t="s">
        <v>229</v>
      </c>
      <c r="E192" s="43" t="s">
        <v>92</v>
      </c>
      <c r="F192" s="42" t="s">
        <v>11469</v>
      </c>
      <c r="G192" t="s">
        <v>13197</v>
      </c>
    </row>
    <row r="193" spans="1:7" x14ac:dyDescent="0.3">
      <c r="A193" s="42" t="s">
        <v>238</v>
      </c>
      <c r="B193" s="42" t="s">
        <v>408</v>
      </c>
      <c r="C193" s="42" t="s">
        <v>5934</v>
      </c>
      <c r="D193" s="43" t="s">
        <v>229</v>
      </c>
      <c r="E193" s="43" t="s">
        <v>92</v>
      </c>
      <c r="F193" s="42" t="s">
        <v>11469</v>
      </c>
      <c r="G193" t="s">
        <v>13197</v>
      </c>
    </row>
    <row r="194" spans="1:7" x14ac:dyDescent="0.3">
      <c r="A194" s="42" t="s">
        <v>238</v>
      </c>
      <c r="B194" s="42" t="s">
        <v>409</v>
      </c>
      <c r="C194" s="42" t="s">
        <v>5935</v>
      </c>
      <c r="D194" s="43" t="s">
        <v>229</v>
      </c>
      <c r="E194" s="43" t="s">
        <v>92</v>
      </c>
      <c r="F194" s="42" t="s">
        <v>11469</v>
      </c>
      <c r="G194" t="s">
        <v>13197</v>
      </c>
    </row>
    <row r="195" spans="1:7" x14ac:dyDescent="0.3">
      <c r="A195" s="42" t="s">
        <v>238</v>
      </c>
      <c r="B195" s="42" t="s">
        <v>410</v>
      </c>
      <c r="C195" s="42" t="s">
        <v>5936</v>
      </c>
      <c r="D195" s="43" t="s">
        <v>229</v>
      </c>
      <c r="E195" s="43" t="s">
        <v>92</v>
      </c>
      <c r="F195" s="42" t="s">
        <v>11469</v>
      </c>
      <c r="G195" t="s">
        <v>13197</v>
      </c>
    </row>
    <row r="196" spans="1:7" x14ac:dyDescent="0.3">
      <c r="A196" s="42" t="s">
        <v>238</v>
      </c>
      <c r="B196" s="42" t="s">
        <v>411</v>
      </c>
      <c r="C196" s="42" t="s">
        <v>5937</v>
      </c>
      <c r="D196" s="43" t="s">
        <v>229</v>
      </c>
      <c r="E196" s="43" t="s">
        <v>92</v>
      </c>
      <c r="F196" s="42" t="s">
        <v>11469</v>
      </c>
      <c r="G196" t="s">
        <v>13197</v>
      </c>
    </row>
    <row r="197" spans="1:7" x14ac:dyDescent="0.3">
      <c r="A197" s="42" t="s">
        <v>238</v>
      </c>
      <c r="B197" s="42" t="s">
        <v>412</v>
      </c>
      <c r="C197" s="42" t="s">
        <v>5938</v>
      </c>
      <c r="D197" s="43" t="s">
        <v>229</v>
      </c>
      <c r="E197" s="43" t="s">
        <v>92</v>
      </c>
      <c r="F197" s="42" t="s">
        <v>192</v>
      </c>
      <c r="G197" t="s">
        <v>13196</v>
      </c>
    </row>
    <row r="198" spans="1:7" x14ac:dyDescent="0.3">
      <c r="A198" s="42" t="s">
        <v>238</v>
      </c>
      <c r="B198" s="42" t="s">
        <v>413</v>
      </c>
      <c r="C198" s="42" t="s">
        <v>5939</v>
      </c>
      <c r="D198" s="43" t="s">
        <v>229</v>
      </c>
      <c r="E198" s="43" t="s">
        <v>92</v>
      </c>
      <c r="F198" s="42" t="s">
        <v>11469</v>
      </c>
      <c r="G198" t="s">
        <v>13197</v>
      </c>
    </row>
    <row r="199" spans="1:7" x14ac:dyDescent="0.3">
      <c r="A199" s="42" t="s">
        <v>238</v>
      </c>
      <c r="B199" s="42" t="s">
        <v>414</v>
      </c>
      <c r="C199" s="42" t="s">
        <v>5940</v>
      </c>
      <c r="D199" s="43" t="s">
        <v>229</v>
      </c>
      <c r="E199" s="43" t="s">
        <v>92</v>
      </c>
      <c r="F199" s="42" t="s">
        <v>11469</v>
      </c>
      <c r="G199" t="s">
        <v>13197</v>
      </c>
    </row>
    <row r="200" spans="1:7" x14ac:dyDescent="0.3">
      <c r="A200" s="42" t="s">
        <v>238</v>
      </c>
      <c r="B200" s="42" t="s">
        <v>415</v>
      </c>
      <c r="C200" s="42" t="s">
        <v>5941</v>
      </c>
      <c r="D200" s="43" t="s">
        <v>229</v>
      </c>
      <c r="E200" s="43" t="s">
        <v>92</v>
      </c>
      <c r="F200" s="42" t="s">
        <v>11469</v>
      </c>
      <c r="G200" t="s">
        <v>13197</v>
      </c>
    </row>
    <row r="201" spans="1:7" x14ac:dyDescent="0.3">
      <c r="A201" s="42" t="s">
        <v>238</v>
      </c>
      <c r="B201" s="42" t="s">
        <v>416</v>
      </c>
      <c r="C201" s="42" t="s">
        <v>5942</v>
      </c>
      <c r="D201" s="43" t="s">
        <v>229</v>
      </c>
      <c r="E201" s="43" t="s">
        <v>92</v>
      </c>
      <c r="F201" s="42" t="s">
        <v>11469</v>
      </c>
      <c r="G201" t="s">
        <v>13197</v>
      </c>
    </row>
    <row r="202" spans="1:7" x14ac:dyDescent="0.3">
      <c r="A202" s="42" t="s">
        <v>238</v>
      </c>
      <c r="B202" s="42" t="s">
        <v>417</v>
      </c>
      <c r="C202" s="42" t="s">
        <v>5943</v>
      </c>
      <c r="D202" s="43" t="s">
        <v>229</v>
      </c>
      <c r="E202" s="43" t="s">
        <v>92</v>
      </c>
      <c r="F202" s="42" t="s">
        <v>192</v>
      </c>
      <c r="G202" t="s">
        <v>13196</v>
      </c>
    </row>
    <row r="203" spans="1:7" x14ac:dyDescent="0.3">
      <c r="A203" s="42" t="s">
        <v>238</v>
      </c>
      <c r="B203" s="42" t="s">
        <v>418</v>
      </c>
      <c r="C203" s="42" t="s">
        <v>5944</v>
      </c>
      <c r="D203" s="43" t="s">
        <v>229</v>
      </c>
      <c r="E203" s="43" t="s">
        <v>92</v>
      </c>
      <c r="F203" s="42" t="s">
        <v>11469</v>
      </c>
      <c r="G203" t="s">
        <v>13197</v>
      </c>
    </row>
    <row r="204" spans="1:7" x14ac:dyDescent="0.3">
      <c r="A204" s="42" t="s">
        <v>238</v>
      </c>
      <c r="B204" s="42" t="s">
        <v>419</v>
      </c>
      <c r="C204" s="42" t="s">
        <v>5945</v>
      </c>
      <c r="D204" s="43" t="s">
        <v>229</v>
      </c>
      <c r="E204" s="43" t="s">
        <v>92</v>
      </c>
      <c r="F204" s="42" t="s">
        <v>11469</v>
      </c>
      <c r="G204" t="s">
        <v>13197</v>
      </c>
    </row>
    <row r="205" spans="1:7" x14ac:dyDescent="0.3">
      <c r="A205" s="42" t="s">
        <v>238</v>
      </c>
      <c r="B205" s="42" t="s">
        <v>420</v>
      </c>
      <c r="C205" s="42" t="s">
        <v>5946</v>
      </c>
      <c r="D205" s="43" t="s">
        <v>229</v>
      </c>
      <c r="E205" s="43" t="s">
        <v>92</v>
      </c>
      <c r="F205" s="42" t="s">
        <v>11469</v>
      </c>
      <c r="G205" t="s">
        <v>13197</v>
      </c>
    </row>
    <row r="206" spans="1:7" x14ac:dyDescent="0.3">
      <c r="A206" s="42" t="s">
        <v>238</v>
      </c>
      <c r="B206" s="42" t="s">
        <v>421</v>
      </c>
      <c r="C206" s="42" t="s">
        <v>5947</v>
      </c>
      <c r="D206" s="43" t="s">
        <v>229</v>
      </c>
      <c r="E206" s="43" t="s">
        <v>92</v>
      </c>
      <c r="F206" s="42" t="s">
        <v>11469</v>
      </c>
      <c r="G206" t="s">
        <v>13197</v>
      </c>
    </row>
    <row r="207" spans="1:7" x14ac:dyDescent="0.3">
      <c r="A207" s="42" t="s">
        <v>238</v>
      </c>
      <c r="B207" s="42" t="s">
        <v>422</v>
      </c>
      <c r="C207" s="42" t="s">
        <v>5948</v>
      </c>
      <c r="D207" s="43" t="s">
        <v>229</v>
      </c>
      <c r="E207" s="43" t="s">
        <v>92</v>
      </c>
      <c r="F207" s="42" t="s">
        <v>11469</v>
      </c>
      <c r="G207" t="s">
        <v>13197</v>
      </c>
    </row>
    <row r="208" spans="1:7" x14ac:dyDescent="0.3">
      <c r="A208" s="42" t="s">
        <v>238</v>
      </c>
      <c r="B208" s="42" t="s">
        <v>423</v>
      </c>
      <c r="C208" s="42" t="s">
        <v>5949</v>
      </c>
      <c r="D208" s="43" t="s">
        <v>229</v>
      </c>
      <c r="E208" s="43" t="s">
        <v>92</v>
      </c>
      <c r="F208" s="42" t="s">
        <v>11469</v>
      </c>
      <c r="G208" t="s">
        <v>13197</v>
      </c>
    </row>
    <row r="209" spans="1:7" x14ac:dyDescent="0.3">
      <c r="A209" s="42" t="s">
        <v>238</v>
      </c>
      <c r="B209" s="42" t="s">
        <v>424</v>
      </c>
      <c r="C209" s="42" t="s">
        <v>5950</v>
      </c>
      <c r="D209" s="43" t="s">
        <v>229</v>
      </c>
      <c r="E209" s="43" t="s">
        <v>92</v>
      </c>
      <c r="F209" s="42" t="s">
        <v>11469</v>
      </c>
      <c r="G209" t="s">
        <v>13197</v>
      </c>
    </row>
    <row r="210" spans="1:7" x14ac:dyDescent="0.3">
      <c r="A210" s="42" t="s">
        <v>238</v>
      </c>
      <c r="B210" s="42" t="s">
        <v>425</v>
      </c>
      <c r="C210" s="42" t="s">
        <v>5951</v>
      </c>
      <c r="D210" s="43" t="s">
        <v>229</v>
      </c>
      <c r="E210" s="43" t="s">
        <v>92</v>
      </c>
      <c r="F210" s="42" t="s">
        <v>11469</v>
      </c>
      <c r="G210" t="s">
        <v>13197</v>
      </c>
    </row>
    <row r="211" spans="1:7" x14ac:dyDescent="0.3">
      <c r="A211" s="42" t="s">
        <v>238</v>
      </c>
      <c r="B211" s="42" t="s">
        <v>426</v>
      </c>
      <c r="C211" s="42" t="s">
        <v>5952</v>
      </c>
      <c r="D211" s="43" t="s">
        <v>229</v>
      </c>
      <c r="E211" s="43" t="s">
        <v>92</v>
      </c>
      <c r="F211" s="42" t="s">
        <v>11469</v>
      </c>
      <c r="G211" t="s">
        <v>13197</v>
      </c>
    </row>
    <row r="212" spans="1:7" x14ac:dyDescent="0.3">
      <c r="A212" s="42" t="s">
        <v>238</v>
      </c>
      <c r="B212" s="42" t="s">
        <v>427</v>
      </c>
      <c r="C212" s="42" t="s">
        <v>5953</v>
      </c>
      <c r="D212" s="43" t="s">
        <v>229</v>
      </c>
      <c r="E212" s="43" t="s">
        <v>92</v>
      </c>
      <c r="F212" s="42" t="s">
        <v>11469</v>
      </c>
      <c r="G212" t="s">
        <v>13197</v>
      </c>
    </row>
    <row r="213" spans="1:7" x14ac:dyDescent="0.3">
      <c r="A213" s="42" t="s">
        <v>238</v>
      </c>
      <c r="B213" s="42" t="s">
        <v>428</v>
      </c>
      <c r="C213" s="42" t="s">
        <v>5954</v>
      </c>
      <c r="D213" s="43" t="s">
        <v>229</v>
      </c>
      <c r="E213" s="43" t="s">
        <v>92</v>
      </c>
      <c r="F213" s="42" t="s">
        <v>11469</v>
      </c>
      <c r="G213" t="s">
        <v>13197</v>
      </c>
    </row>
    <row r="214" spans="1:7" x14ac:dyDescent="0.3">
      <c r="A214" s="42" t="s">
        <v>238</v>
      </c>
      <c r="B214" s="42" t="s">
        <v>429</v>
      </c>
      <c r="C214" s="42" t="s">
        <v>5955</v>
      </c>
      <c r="D214" s="43" t="s">
        <v>229</v>
      </c>
      <c r="E214" s="43" t="s">
        <v>92</v>
      </c>
      <c r="F214" s="42" t="s">
        <v>11469</v>
      </c>
      <c r="G214" t="s">
        <v>13197</v>
      </c>
    </row>
    <row r="215" spans="1:7" x14ac:dyDescent="0.3">
      <c r="A215" s="42" t="s">
        <v>238</v>
      </c>
      <c r="B215" s="42" t="s">
        <v>430</v>
      </c>
      <c r="C215" s="42" t="s">
        <v>5956</v>
      </c>
      <c r="D215" s="43" t="s">
        <v>229</v>
      </c>
      <c r="E215" s="43" t="s">
        <v>92</v>
      </c>
      <c r="F215" s="42" t="s">
        <v>11469</v>
      </c>
      <c r="G215" t="s">
        <v>13197</v>
      </c>
    </row>
    <row r="216" spans="1:7" x14ac:dyDescent="0.3">
      <c r="A216" s="42" t="s">
        <v>238</v>
      </c>
      <c r="B216" s="42" t="s">
        <v>431</v>
      </c>
      <c r="C216" s="42" t="s">
        <v>5957</v>
      </c>
      <c r="D216" s="43" t="s">
        <v>229</v>
      </c>
      <c r="E216" s="43" t="s">
        <v>92</v>
      </c>
      <c r="F216" s="42" t="s">
        <v>11469</v>
      </c>
      <c r="G216" t="s">
        <v>13197</v>
      </c>
    </row>
    <row r="217" spans="1:7" x14ac:dyDescent="0.3">
      <c r="A217" s="42" t="s">
        <v>238</v>
      </c>
      <c r="B217" s="42" t="s">
        <v>432</v>
      </c>
      <c r="C217" s="42" t="s">
        <v>5958</v>
      </c>
      <c r="D217" s="43" t="s">
        <v>229</v>
      </c>
      <c r="E217" s="43" t="s">
        <v>92</v>
      </c>
      <c r="F217" s="42" t="s">
        <v>192</v>
      </c>
      <c r="G217" t="s">
        <v>13196</v>
      </c>
    </row>
    <row r="218" spans="1:7" x14ac:dyDescent="0.3">
      <c r="A218" s="42" t="s">
        <v>238</v>
      </c>
      <c r="B218" s="42" t="s">
        <v>433</v>
      </c>
      <c r="C218" s="42" t="s">
        <v>5959</v>
      </c>
      <c r="D218" s="43" t="s">
        <v>229</v>
      </c>
      <c r="E218" s="43" t="s">
        <v>92</v>
      </c>
      <c r="F218" s="42" t="s">
        <v>11469</v>
      </c>
      <c r="G218" t="s">
        <v>13197</v>
      </c>
    </row>
    <row r="219" spans="1:7" x14ac:dyDescent="0.3">
      <c r="A219" s="42" t="s">
        <v>238</v>
      </c>
      <c r="B219" s="42" t="s">
        <v>434</v>
      </c>
      <c r="C219" s="42" t="s">
        <v>5960</v>
      </c>
      <c r="D219" s="43" t="s">
        <v>229</v>
      </c>
      <c r="E219" s="43" t="s">
        <v>92</v>
      </c>
      <c r="F219" s="42" t="s">
        <v>11469</v>
      </c>
      <c r="G219" t="s">
        <v>13197</v>
      </c>
    </row>
    <row r="220" spans="1:7" x14ac:dyDescent="0.3">
      <c r="A220" s="42" t="s">
        <v>238</v>
      </c>
      <c r="B220" s="42" t="s">
        <v>435</v>
      </c>
      <c r="C220" s="42" t="s">
        <v>5961</v>
      </c>
      <c r="D220" s="43" t="s">
        <v>229</v>
      </c>
      <c r="E220" s="43" t="s">
        <v>92</v>
      </c>
      <c r="F220" s="42" t="s">
        <v>11469</v>
      </c>
      <c r="G220" t="s">
        <v>13197</v>
      </c>
    </row>
    <row r="221" spans="1:7" x14ac:dyDescent="0.3">
      <c r="A221" s="42" t="s">
        <v>238</v>
      </c>
      <c r="B221" s="42" t="s">
        <v>436</v>
      </c>
      <c r="C221" s="42" t="s">
        <v>5962</v>
      </c>
      <c r="D221" s="43" t="s">
        <v>229</v>
      </c>
      <c r="E221" s="43" t="s">
        <v>92</v>
      </c>
      <c r="F221" s="42" t="s">
        <v>11469</v>
      </c>
      <c r="G221" t="s">
        <v>13197</v>
      </c>
    </row>
    <row r="222" spans="1:7" x14ac:dyDescent="0.3">
      <c r="A222" s="42" t="s">
        <v>238</v>
      </c>
      <c r="B222" s="42" t="s">
        <v>437</v>
      </c>
      <c r="C222" s="42" t="s">
        <v>5963</v>
      </c>
      <c r="D222" s="43" t="s">
        <v>229</v>
      </c>
      <c r="E222" s="43" t="s">
        <v>92</v>
      </c>
      <c r="F222" s="42" t="s">
        <v>192</v>
      </c>
      <c r="G222" t="s">
        <v>13196</v>
      </c>
    </row>
    <row r="223" spans="1:7" x14ac:dyDescent="0.3">
      <c r="A223" s="42" t="s">
        <v>238</v>
      </c>
      <c r="B223" s="42" t="s">
        <v>438</v>
      </c>
      <c r="C223" s="42" t="s">
        <v>5964</v>
      </c>
      <c r="D223" s="43" t="s">
        <v>229</v>
      </c>
      <c r="E223" s="43" t="s">
        <v>92</v>
      </c>
      <c r="F223" s="42" t="s">
        <v>11469</v>
      </c>
      <c r="G223" t="s">
        <v>13197</v>
      </c>
    </row>
    <row r="224" spans="1:7" x14ac:dyDescent="0.3">
      <c r="A224" s="42" t="s">
        <v>238</v>
      </c>
      <c r="B224" s="42" t="s">
        <v>439</v>
      </c>
      <c r="C224" s="42" t="s">
        <v>5965</v>
      </c>
      <c r="D224" s="43" t="s">
        <v>229</v>
      </c>
      <c r="E224" s="43" t="s">
        <v>92</v>
      </c>
      <c r="F224" s="42" t="s">
        <v>11469</v>
      </c>
      <c r="G224" t="s">
        <v>13197</v>
      </c>
    </row>
    <row r="225" spans="1:7" x14ac:dyDescent="0.3">
      <c r="A225" s="42" t="s">
        <v>238</v>
      </c>
      <c r="B225" s="42" t="s">
        <v>440</v>
      </c>
      <c r="C225" s="42" t="s">
        <v>5966</v>
      </c>
      <c r="D225" s="43" t="s">
        <v>229</v>
      </c>
      <c r="E225" s="43" t="s">
        <v>92</v>
      </c>
      <c r="F225" s="42" t="s">
        <v>11469</v>
      </c>
      <c r="G225" t="s">
        <v>13198</v>
      </c>
    </row>
    <row r="226" spans="1:7" x14ac:dyDescent="0.3">
      <c r="A226" s="42" t="s">
        <v>238</v>
      </c>
      <c r="B226" s="42" t="s">
        <v>441</v>
      </c>
      <c r="C226" s="42" t="s">
        <v>5967</v>
      </c>
      <c r="D226" s="43" t="s">
        <v>229</v>
      </c>
      <c r="E226" s="43" t="s">
        <v>92</v>
      </c>
      <c r="F226" s="42" t="s">
        <v>11469</v>
      </c>
      <c r="G226" t="s">
        <v>13197</v>
      </c>
    </row>
    <row r="227" spans="1:7" x14ac:dyDescent="0.3">
      <c r="A227" s="42" t="s">
        <v>238</v>
      </c>
      <c r="B227" s="42" t="s">
        <v>442</v>
      </c>
      <c r="C227" s="42" t="s">
        <v>5968</v>
      </c>
      <c r="D227" s="43" t="s">
        <v>229</v>
      </c>
      <c r="E227" s="43" t="s">
        <v>92</v>
      </c>
      <c r="F227" s="42" t="s">
        <v>11469</v>
      </c>
      <c r="G227" t="s">
        <v>13197</v>
      </c>
    </row>
    <row r="228" spans="1:7" x14ac:dyDescent="0.3">
      <c r="A228" s="42" t="s">
        <v>238</v>
      </c>
      <c r="B228" s="42" t="s">
        <v>443</v>
      </c>
      <c r="C228" s="42" t="s">
        <v>5969</v>
      </c>
      <c r="D228" s="43" t="s">
        <v>229</v>
      </c>
      <c r="E228" s="43" t="s">
        <v>92</v>
      </c>
      <c r="F228" s="42" t="s">
        <v>11469</v>
      </c>
      <c r="G228" t="s">
        <v>13197</v>
      </c>
    </row>
    <row r="229" spans="1:7" x14ac:dyDescent="0.3">
      <c r="A229" s="42" t="s">
        <v>238</v>
      </c>
      <c r="B229" s="42" t="s">
        <v>444</v>
      </c>
      <c r="C229" s="42" t="s">
        <v>5970</v>
      </c>
      <c r="D229" s="43" t="s">
        <v>229</v>
      </c>
      <c r="E229" s="43" t="s">
        <v>92</v>
      </c>
      <c r="F229" s="42" t="s">
        <v>11469</v>
      </c>
      <c r="G229" t="s">
        <v>13197</v>
      </c>
    </row>
    <row r="230" spans="1:7" x14ac:dyDescent="0.3">
      <c r="A230" s="42" t="s">
        <v>238</v>
      </c>
      <c r="B230" s="42" t="s">
        <v>445</v>
      </c>
      <c r="C230" s="42" t="s">
        <v>5971</v>
      </c>
      <c r="D230" s="43" t="s">
        <v>229</v>
      </c>
      <c r="E230" s="43" t="s">
        <v>92</v>
      </c>
      <c r="F230" s="42" t="s">
        <v>11469</v>
      </c>
      <c r="G230" t="s">
        <v>13197</v>
      </c>
    </row>
    <row r="231" spans="1:7" x14ac:dyDescent="0.3">
      <c r="A231" s="42" t="s">
        <v>238</v>
      </c>
      <c r="B231" s="42" t="s">
        <v>446</v>
      </c>
      <c r="C231" s="42" t="s">
        <v>5972</v>
      </c>
      <c r="D231" s="43" t="s">
        <v>229</v>
      </c>
      <c r="E231" s="43" t="s">
        <v>92</v>
      </c>
      <c r="F231" s="42" t="s">
        <v>11469</v>
      </c>
      <c r="G231" t="s">
        <v>13197</v>
      </c>
    </row>
    <row r="232" spans="1:7" x14ac:dyDescent="0.3">
      <c r="A232" s="42" t="s">
        <v>238</v>
      </c>
      <c r="B232" s="42" t="s">
        <v>447</v>
      </c>
      <c r="C232" s="42" t="s">
        <v>5973</v>
      </c>
      <c r="D232" s="43" t="s">
        <v>229</v>
      </c>
      <c r="E232" s="43" t="s">
        <v>92</v>
      </c>
      <c r="F232" s="42" t="s">
        <v>11469</v>
      </c>
      <c r="G232" t="s">
        <v>13197</v>
      </c>
    </row>
    <row r="233" spans="1:7" x14ac:dyDescent="0.3">
      <c r="A233" s="42" t="s">
        <v>238</v>
      </c>
      <c r="B233" s="42" t="s">
        <v>448</v>
      </c>
      <c r="C233" s="42" t="s">
        <v>5974</v>
      </c>
      <c r="D233" s="43" t="s">
        <v>229</v>
      </c>
      <c r="E233" s="43" t="s">
        <v>92</v>
      </c>
      <c r="F233" s="42" t="s">
        <v>11469</v>
      </c>
      <c r="G233" t="s">
        <v>13197</v>
      </c>
    </row>
    <row r="234" spans="1:7" x14ac:dyDescent="0.3">
      <c r="A234" s="42" t="s">
        <v>238</v>
      </c>
      <c r="B234" s="42" t="s">
        <v>449</v>
      </c>
      <c r="C234" s="42" t="s">
        <v>5975</v>
      </c>
      <c r="D234" s="43" t="s">
        <v>229</v>
      </c>
      <c r="E234" s="43" t="s">
        <v>92</v>
      </c>
      <c r="F234" s="42" t="s">
        <v>11469</v>
      </c>
      <c r="G234" t="s">
        <v>13197</v>
      </c>
    </row>
    <row r="235" spans="1:7" x14ac:dyDescent="0.3">
      <c r="A235" s="42" t="s">
        <v>238</v>
      </c>
      <c r="B235" s="42" t="s">
        <v>450</v>
      </c>
      <c r="C235" s="42" t="s">
        <v>5976</v>
      </c>
      <c r="D235" s="43" t="s">
        <v>229</v>
      </c>
      <c r="E235" s="43" t="s">
        <v>92</v>
      </c>
      <c r="F235" s="42" t="s">
        <v>11469</v>
      </c>
      <c r="G235" t="s">
        <v>13197</v>
      </c>
    </row>
    <row r="236" spans="1:7" x14ac:dyDescent="0.3">
      <c r="A236" s="42" t="s">
        <v>238</v>
      </c>
      <c r="B236" s="42" t="s">
        <v>451</v>
      </c>
      <c r="C236" s="42" t="s">
        <v>5977</v>
      </c>
      <c r="D236" s="43" t="s">
        <v>229</v>
      </c>
      <c r="E236" s="43" t="s">
        <v>92</v>
      </c>
      <c r="F236" s="42" t="s">
        <v>11469</v>
      </c>
      <c r="G236" t="s">
        <v>13197</v>
      </c>
    </row>
    <row r="237" spans="1:7" x14ac:dyDescent="0.3">
      <c r="A237" s="42" t="s">
        <v>238</v>
      </c>
      <c r="B237" s="42" t="s">
        <v>452</v>
      </c>
      <c r="C237" s="42" t="s">
        <v>5978</v>
      </c>
      <c r="D237" s="43" t="s">
        <v>229</v>
      </c>
      <c r="E237" s="43" t="s">
        <v>92</v>
      </c>
      <c r="F237" s="42" t="s">
        <v>11469</v>
      </c>
      <c r="G237" t="s">
        <v>13197</v>
      </c>
    </row>
    <row r="238" spans="1:7" x14ac:dyDescent="0.3">
      <c r="A238" s="42" t="s">
        <v>238</v>
      </c>
      <c r="B238" s="42" t="s">
        <v>453</v>
      </c>
      <c r="C238" s="42" t="s">
        <v>5979</v>
      </c>
      <c r="D238" s="43" t="s">
        <v>229</v>
      </c>
      <c r="E238" s="43" t="s">
        <v>92</v>
      </c>
      <c r="F238" s="42" t="s">
        <v>11469</v>
      </c>
      <c r="G238" t="s">
        <v>13197</v>
      </c>
    </row>
    <row r="239" spans="1:7" x14ac:dyDescent="0.3">
      <c r="A239" s="42" t="s">
        <v>238</v>
      </c>
      <c r="B239" s="42" t="s">
        <v>454</v>
      </c>
      <c r="C239" s="42" t="s">
        <v>5980</v>
      </c>
      <c r="D239" s="43" t="s">
        <v>229</v>
      </c>
      <c r="E239" s="43" t="s">
        <v>92</v>
      </c>
      <c r="F239" s="42" t="s">
        <v>11469</v>
      </c>
      <c r="G239" t="s">
        <v>13197</v>
      </c>
    </row>
    <row r="240" spans="1:7" x14ac:dyDescent="0.3">
      <c r="A240" s="42" t="s">
        <v>238</v>
      </c>
      <c r="B240" s="42" t="s">
        <v>455</v>
      </c>
      <c r="C240" s="42" t="s">
        <v>5981</v>
      </c>
      <c r="D240" s="43" t="s">
        <v>229</v>
      </c>
      <c r="E240" s="43" t="s">
        <v>92</v>
      </c>
      <c r="F240" s="42" t="s">
        <v>11469</v>
      </c>
      <c r="G240" t="s">
        <v>13197</v>
      </c>
    </row>
    <row r="241" spans="1:7" x14ac:dyDescent="0.3">
      <c r="A241" s="42" t="s">
        <v>238</v>
      </c>
      <c r="B241" s="42" t="s">
        <v>456</v>
      </c>
      <c r="C241" s="42" t="s">
        <v>5982</v>
      </c>
      <c r="D241" s="43" t="s">
        <v>229</v>
      </c>
      <c r="E241" s="43" t="s">
        <v>92</v>
      </c>
      <c r="F241" s="42" t="s">
        <v>11469</v>
      </c>
      <c r="G241" t="s">
        <v>13197</v>
      </c>
    </row>
    <row r="242" spans="1:7" x14ac:dyDescent="0.3">
      <c r="A242" s="42" t="s">
        <v>238</v>
      </c>
      <c r="B242" s="42" t="s">
        <v>457</v>
      </c>
      <c r="C242" s="42" t="s">
        <v>5983</v>
      </c>
      <c r="D242" s="43" t="s">
        <v>229</v>
      </c>
      <c r="E242" s="43" t="s">
        <v>92</v>
      </c>
      <c r="F242" s="42" t="s">
        <v>11469</v>
      </c>
      <c r="G242" t="s">
        <v>13197</v>
      </c>
    </row>
    <row r="243" spans="1:7" x14ac:dyDescent="0.3">
      <c r="A243" s="42" t="s">
        <v>238</v>
      </c>
      <c r="B243" s="42" t="s">
        <v>458</v>
      </c>
      <c r="C243" s="42" t="s">
        <v>5984</v>
      </c>
      <c r="D243" s="43" t="s">
        <v>229</v>
      </c>
      <c r="E243" s="43" t="s">
        <v>92</v>
      </c>
      <c r="F243" s="42" t="s">
        <v>11469</v>
      </c>
      <c r="G243" t="s">
        <v>13197</v>
      </c>
    </row>
    <row r="244" spans="1:7" x14ac:dyDescent="0.3">
      <c r="A244" s="42" t="s">
        <v>238</v>
      </c>
      <c r="B244" s="42" t="s">
        <v>459</v>
      </c>
      <c r="C244" s="42" t="s">
        <v>5985</v>
      </c>
      <c r="D244" s="43" t="s">
        <v>229</v>
      </c>
      <c r="E244" s="43" t="s">
        <v>92</v>
      </c>
      <c r="F244" s="42" t="s">
        <v>11469</v>
      </c>
      <c r="G244" t="s">
        <v>13197</v>
      </c>
    </row>
    <row r="245" spans="1:7" x14ac:dyDescent="0.3">
      <c r="A245" s="42" t="s">
        <v>238</v>
      </c>
      <c r="B245" s="42" t="s">
        <v>460</v>
      </c>
      <c r="C245" s="42" t="s">
        <v>5986</v>
      </c>
      <c r="D245" s="43" t="s">
        <v>229</v>
      </c>
      <c r="E245" s="43" t="s">
        <v>92</v>
      </c>
      <c r="F245" s="42" t="s">
        <v>11469</v>
      </c>
      <c r="G245" t="s">
        <v>13197</v>
      </c>
    </row>
    <row r="246" spans="1:7" x14ac:dyDescent="0.3">
      <c r="A246" s="42" t="s">
        <v>238</v>
      </c>
      <c r="B246" s="42" t="s">
        <v>461</v>
      </c>
      <c r="C246" s="42" t="s">
        <v>5987</v>
      </c>
      <c r="D246" s="43" t="s">
        <v>229</v>
      </c>
      <c r="E246" s="43" t="s">
        <v>92</v>
      </c>
      <c r="F246" s="42" t="s">
        <v>11469</v>
      </c>
      <c r="G246" t="s">
        <v>13197</v>
      </c>
    </row>
    <row r="247" spans="1:7" x14ac:dyDescent="0.3">
      <c r="A247" s="42" t="s">
        <v>238</v>
      </c>
      <c r="B247" s="42" t="s">
        <v>462</v>
      </c>
      <c r="C247" s="42" t="s">
        <v>5988</v>
      </c>
      <c r="D247" s="43" t="s">
        <v>229</v>
      </c>
      <c r="E247" s="43" t="s">
        <v>92</v>
      </c>
      <c r="F247" s="42" t="s">
        <v>11469</v>
      </c>
      <c r="G247" t="s">
        <v>13197</v>
      </c>
    </row>
    <row r="248" spans="1:7" x14ac:dyDescent="0.3">
      <c r="A248" s="42" t="s">
        <v>238</v>
      </c>
      <c r="B248" s="42" t="s">
        <v>463</v>
      </c>
      <c r="C248" s="42" t="s">
        <v>5989</v>
      </c>
      <c r="D248" s="43" t="s">
        <v>229</v>
      </c>
      <c r="E248" s="43" t="s">
        <v>92</v>
      </c>
      <c r="F248" s="42" t="s">
        <v>11469</v>
      </c>
      <c r="G248" t="s">
        <v>13197</v>
      </c>
    </row>
    <row r="249" spans="1:7" x14ac:dyDescent="0.3">
      <c r="A249" s="42" t="s">
        <v>238</v>
      </c>
      <c r="B249" s="42" t="s">
        <v>464</v>
      </c>
      <c r="C249" s="42" t="s">
        <v>5990</v>
      </c>
      <c r="D249" s="43" t="s">
        <v>229</v>
      </c>
      <c r="E249" s="43" t="s">
        <v>92</v>
      </c>
      <c r="F249" s="42" t="s">
        <v>11469</v>
      </c>
      <c r="G249" t="s">
        <v>13197</v>
      </c>
    </row>
    <row r="250" spans="1:7" x14ac:dyDescent="0.3">
      <c r="A250" s="42" t="s">
        <v>238</v>
      </c>
      <c r="B250" s="42" t="s">
        <v>465</v>
      </c>
      <c r="C250" s="42" t="s">
        <v>5991</v>
      </c>
      <c r="D250" s="43" t="s">
        <v>229</v>
      </c>
      <c r="E250" s="43" t="s">
        <v>92</v>
      </c>
      <c r="F250" s="42" t="s">
        <v>11469</v>
      </c>
      <c r="G250" t="s">
        <v>13197</v>
      </c>
    </row>
    <row r="251" spans="1:7" x14ac:dyDescent="0.3">
      <c r="A251" s="42" t="s">
        <v>238</v>
      </c>
      <c r="B251" s="42" t="s">
        <v>466</v>
      </c>
      <c r="C251" s="42" t="s">
        <v>5992</v>
      </c>
      <c r="D251" s="43" t="s">
        <v>229</v>
      </c>
      <c r="E251" s="43" t="s">
        <v>92</v>
      </c>
      <c r="F251" s="42" t="s">
        <v>11469</v>
      </c>
      <c r="G251" t="s">
        <v>13197</v>
      </c>
    </row>
    <row r="252" spans="1:7" x14ac:dyDescent="0.3">
      <c r="A252" s="42" t="s">
        <v>238</v>
      </c>
      <c r="B252" s="42" t="s">
        <v>467</v>
      </c>
      <c r="C252" s="42" t="s">
        <v>5993</v>
      </c>
      <c r="D252" s="43" t="s">
        <v>229</v>
      </c>
      <c r="E252" s="43" t="s">
        <v>92</v>
      </c>
      <c r="F252" s="42" t="s">
        <v>11469</v>
      </c>
      <c r="G252" t="s">
        <v>13197</v>
      </c>
    </row>
    <row r="253" spans="1:7" x14ac:dyDescent="0.3">
      <c r="A253" s="42" t="s">
        <v>238</v>
      </c>
      <c r="B253" s="42" t="s">
        <v>468</v>
      </c>
      <c r="C253" s="42" t="s">
        <v>5994</v>
      </c>
      <c r="D253" s="43" t="s">
        <v>229</v>
      </c>
      <c r="E253" s="43" t="s">
        <v>92</v>
      </c>
      <c r="F253" s="42" t="s">
        <v>192</v>
      </c>
      <c r="G253" t="s">
        <v>13196</v>
      </c>
    </row>
    <row r="254" spans="1:7" x14ac:dyDescent="0.3">
      <c r="A254" s="42" t="s">
        <v>238</v>
      </c>
      <c r="B254" s="42" t="s">
        <v>469</v>
      </c>
      <c r="C254" s="42" t="s">
        <v>5995</v>
      </c>
      <c r="D254" s="43" t="s">
        <v>229</v>
      </c>
      <c r="E254" s="43" t="s">
        <v>92</v>
      </c>
      <c r="F254" s="42" t="s">
        <v>11469</v>
      </c>
      <c r="G254" t="s">
        <v>13197</v>
      </c>
    </row>
    <row r="255" spans="1:7" x14ac:dyDescent="0.3">
      <c r="A255" s="42" t="s">
        <v>238</v>
      </c>
      <c r="B255" s="42" t="s">
        <v>470</v>
      </c>
      <c r="C255" s="42" t="s">
        <v>5996</v>
      </c>
      <c r="D255" s="43" t="s">
        <v>229</v>
      </c>
      <c r="E255" s="43" t="s">
        <v>92</v>
      </c>
      <c r="F255" s="42" t="s">
        <v>11469</v>
      </c>
      <c r="G255" t="s">
        <v>13197</v>
      </c>
    </row>
    <row r="256" spans="1:7" x14ac:dyDescent="0.3">
      <c r="A256" s="42" t="s">
        <v>238</v>
      </c>
      <c r="B256" s="42" t="s">
        <v>471</v>
      </c>
      <c r="C256" s="42" t="s">
        <v>5997</v>
      </c>
      <c r="D256" s="43" t="s">
        <v>229</v>
      </c>
      <c r="E256" s="43" t="s">
        <v>92</v>
      </c>
      <c r="F256" s="42" t="s">
        <v>11469</v>
      </c>
      <c r="G256" t="s">
        <v>13197</v>
      </c>
    </row>
    <row r="257" spans="1:7" x14ac:dyDescent="0.3">
      <c r="A257" s="42" t="s">
        <v>238</v>
      </c>
      <c r="B257" s="42" t="s">
        <v>472</v>
      </c>
      <c r="C257" s="42" t="s">
        <v>5998</v>
      </c>
      <c r="D257" s="43" t="s">
        <v>229</v>
      </c>
      <c r="E257" s="43" t="s">
        <v>92</v>
      </c>
      <c r="F257" s="42" t="s">
        <v>11469</v>
      </c>
      <c r="G257" t="s">
        <v>13197</v>
      </c>
    </row>
    <row r="258" spans="1:7" x14ac:dyDescent="0.3">
      <c r="A258" s="42" t="s">
        <v>238</v>
      </c>
      <c r="B258" s="42" t="s">
        <v>473</v>
      </c>
      <c r="C258" s="42" t="s">
        <v>5999</v>
      </c>
      <c r="D258" s="43" t="s">
        <v>229</v>
      </c>
      <c r="E258" s="43" t="s">
        <v>92</v>
      </c>
      <c r="F258" s="42" t="s">
        <v>11469</v>
      </c>
      <c r="G258" t="s">
        <v>13197</v>
      </c>
    </row>
    <row r="259" spans="1:7" x14ac:dyDescent="0.3">
      <c r="A259" s="42" t="s">
        <v>238</v>
      </c>
      <c r="B259" s="42" t="s">
        <v>474</v>
      </c>
      <c r="C259" s="42" t="s">
        <v>6000</v>
      </c>
      <c r="D259" s="43" t="s">
        <v>229</v>
      </c>
      <c r="E259" s="43" t="s">
        <v>92</v>
      </c>
      <c r="F259" s="42" t="s">
        <v>11469</v>
      </c>
      <c r="G259" t="s">
        <v>13197</v>
      </c>
    </row>
    <row r="260" spans="1:7" x14ac:dyDescent="0.3">
      <c r="A260" s="42" t="s">
        <v>238</v>
      </c>
      <c r="B260" s="42" t="s">
        <v>475</v>
      </c>
      <c r="C260" s="42" t="s">
        <v>6001</v>
      </c>
      <c r="D260" s="43" t="s">
        <v>229</v>
      </c>
      <c r="E260" s="43" t="s">
        <v>92</v>
      </c>
      <c r="F260" s="42" t="s">
        <v>11469</v>
      </c>
      <c r="G260" t="s">
        <v>13197</v>
      </c>
    </row>
    <row r="261" spans="1:7" x14ac:dyDescent="0.3">
      <c r="A261" s="42" t="s">
        <v>238</v>
      </c>
      <c r="B261" s="42" t="s">
        <v>476</v>
      </c>
      <c r="C261" s="42" t="s">
        <v>6002</v>
      </c>
      <c r="D261" s="43" t="s">
        <v>229</v>
      </c>
      <c r="E261" s="43" t="s">
        <v>92</v>
      </c>
      <c r="F261" s="42" t="s">
        <v>11469</v>
      </c>
      <c r="G261" t="s">
        <v>13197</v>
      </c>
    </row>
    <row r="262" spans="1:7" x14ac:dyDescent="0.3">
      <c r="A262" s="42" t="s">
        <v>238</v>
      </c>
      <c r="B262" s="42" t="s">
        <v>477</v>
      </c>
      <c r="C262" s="42" t="s">
        <v>6003</v>
      </c>
      <c r="D262" s="43" t="s">
        <v>229</v>
      </c>
      <c r="E262" s="43" t="s">
        <v>92</v>
      </c>
      <c r="F262" s="42" t="s">
        <v>11469</v>
      </c>
      <c r="G262" t="s">
        <v>13197</v>
      </c>
    </row>
    <row r="263" spans="1:7" x14ac:dyDescent="0.3">
      <c r="A263" s="42" t="s">
        <v>238</v>
      </c>
      <c r="B263" s="42" t="s">
        <v>478</v>
      </c>
      <c r="C263" s="42" t="s">
        <v>6004</v>
      </c>
      <c r="D263" s="43" t="s">
        <v>229</v>
      </c>
      <c r="E263" s="43" t="s">
        <v>92</v>
      </c>
      <c r="F263" s="42" t="s">
        <v>11469</v>
      </c>
      <c r="G263" t="s">
        <v>13197</v>
      </c>
    </row>
    <row r="264" spans="1:7" x14ac:dyDescent="0.3">
      <c r="A264" s="42" t="s">
        <v>238</v>
      </c>
      <c r="B264" s="42" t="s">
        <v>479</v>
      </c>
      <c r="C264" s="42" t="s">
        <v>6005</v>
      </c>
      <c r="D264" s="43" t="s">
        <v>229</v>
      </c>
      <c r="E264" s="43" t="s">
        <v>92</v>
      </c>
      <c r="F264" s="42" t="s">
        <v>11469</v>
      </c>
      <c r="G264" t="s">
        <v>13197</v>
      </c>
    </row>
    <row r="265" spans="1:7" x14ac:dyDescent="0.3">
      <c r="A265" s="42" t="s">
        <v>238</v>
      </c>
      <c r="B265" s="42" t="s">
        <v>480</v>
      </c>
      <c r="C265" s="42" t="s">
        <v>6006</v>
      </c>
      <c r="D265" s="43" t="s">
        <v>229</v>
      </c>
      <c r="E265" s="43" t="s">
        <v>92</v>
      </c>
      <c r="F265" s="42" t="s">
        <v>11469</v>
      </c>
      <c r="G265" t="s">
        <v>13197</v>
      </c>
    </row>
    <row r="266" spans="1:7" x14ac:dyDescent="0.3">
      <c r="A266" s="42" t="s">
        <v>238</v>
      </c>
      <c r="B266" s="42" t="s">
        <v>481</v>
      </c>
      <c r="C266" s="42" t="s">
        <v>6007</v>
      </c>
      <c r="D266" s="43" t="s">
        <v>229</v>
      </c>
      <c r="E266" s="43" t="s">
        <v>92</v>
      </c>
      <c r="F266" s="42" t="s">
        <v>11469</v>
      </c>
      <c r="G266" t="s">
        <v>13197</v>
      </c>
    </row>
    <row r="267" spans="1:7" x14ac:dyDescent="0.3">
      <c r="A267" s="42" t="s">
        <v>238</v>
      </c>
      <c r="B267" s="42" t="s">
        <v>482</v>
      </c>
      <c r="C267" s="42" t="s">
        <v>6008</v>
      </c>
      <c r="D267" s="43" t="s">
        <v>229</v>
      </c>
      <c r="E267" s="43" t="s">
        <v>92</v>
      </c>
      <c r="F267" s="42" t="s">
        <v>11469</v>
      </c>
      <c r="G267" t="s">
        <v>13197</v>
      </c>
    </row>
    <row r="268" spans="1:7" x14ac:dyDescent="0.3">
      <c r="A268" s="42" t="s">
        <v>238</v>
      </c>
      <c r="B268" s="42" t="s">
        <v>483</v>
      </c>
      <c r="C268" s="42" t="s">
        <v>6009</v>
      </c>
      <c r="D268" s="43" t="s">
        <v>229</v>
      </c>
      <c r="E268" s="43" t="s">
        <v>92</v>
      </c>
      <c r="F268" s="42" t="s">
        <v>11469</v>
      </c>
      <c r="G268" t="s">
        <v>13197</v>
      </c>
    </row>
    <row r="269" spans="1:7" x14ac:dyDescent="0.3">
      <c r="A269" s="42" t="s">
        <v>238</v>
      </c>
      <c r="B269" s="42" t="s">
        <v>484</v>
      </c>
      <c r="C269" s="42" t="s">
        <v>6010</v>
      </c>
      <c r="D269" s="43" t="s">
        <v>229</v>
      </c>
      <c r="E269" s="43" t="s">
        <v>92</v>
      </c>
      <c r="F269" s="42" t="s">
        <v>11469</v>
      </c>
      <c r="G269" t="s">
        <v>13197</v>
      </c>
    </row>
    <row r="270" spans="1:7" x14ac:dyDescent="0.3">
      <c r="A270" s="42" t="s">
        <v>238</v>
      </c>
      <c r="B270" s="42" t="s">
        <v>485</v>
      </c>
      <c r="C270" s="42" t="s">
        <v>6011</v>
      </c>
      <c r="D270" s="43" t="s">
        <v>229</v>
      </c>
      <c r="E270" s="43" t="s">
        <v>92</v>
      </c>
      <c r="F270" s="42" t="s">
        <v>11469</v>
      </c>
      <c r="G270" t="s">
        <v>13197</v>
      </c>
    </row>
    <row r="271" spans="1:7" x14ac:dyDescent="0.3">
      <c r="A271" s="42" t="s">
        <v>238</v>
      </c>
      <c r="B271" s="42" t="s">
        <v>486</v>
      </c>
      <c r="C271" s="42" t="s">
        <v>6012</v>
      </c>
      <c r="D271" s="43" t="s">
        <v>229</v>
      </c>
      <c r="E271" s="43" t="s">
        <v>92</v>
      </c>
      <c r="F271" s="42" t="s">
        <v>11469</v>
      </c>
      <c r="G271" t="s">
        <v>13197</v>
      </c>
    </row>
    <row r="272" spans="1:7" x14ac:dyDescent="0.3">
      <c r="A272" s="42" t="s">
        <v>238</v>
      </c>
      <c r="B272" s="42" t="s">
        <v>487</v>
      </c>
      <c r="C272" s="42" t="s">
        <v>6013</v>
      </c>
      <c r="D272" s="43" t="s">
        <v>229</v>
      </c>
      <c r="E272" s="43" t="s">
        <v>92</v>
      </c>
      <c r="F272" s="42" t="s">
        <v>11469</v>
      </c>
      <c r="G272" t="s">
        <v>13197</v>
      </c>
    </row>
    <row r="273" spans="1:7" x14ac:dyDescent="0.3">
      <c r="A273" s="42" t="s">
        <v>238</v>
      </c>
      <c r="B273" s="42" t="s">
        <v>488</v>
      </c>
      <c r="C273" s="42" t="s">
        <v>6014</v>
      </c>
      <c r="D273" s="43" t="s">
        <v>229</v>
      </c>
      <c r="E273" s="43" t="s">
        <v>92</v>
      </c>
      <c r="F273" s="42" t="s">
        <v>137</v>
      </c>
      <c r="G273" t="s">
        <v>13199</v>
      </c>
    </row>
    <row r="274" spans="1:7" x14ac:dyDescent="0.3">
      <c r="A274" s="42" t="s">
        <v>238</v>
      </c>
      <c r="B274" s="42" t="s">
        <v>489</v>
      </c>
      <c r="C274" s="42" t="s">
        <v>6015</v>
      </c>
      <c r="D274" s="43" t="s">
        <v>229</v>
      </c>
      <c r="E274" s="43" t="s">
        <v>92</v>
      </c>
      <c r="F274" s="42" t="s">
        <v>11469</v>
      </c>
      <c r="G274" t="s">
        <v>13197</v>
      </c>
    </row>
    <row r="275" spans="1:7" x14ac:dyDescent="0.3">
      <c r="A275" s="42" t="s">
        <v>238</v>
      </c>
      <c r="B275" s="42" t="s">
        <v>490</v>
      </c>
      <c r="C275" s="42" t="s">
        <v>6016</v>
      </c>
      <c r="D275" s="43" t="s">
        <v>229</v>
      </c>
      <c r="E275" s="43" t="s">
        <v>92</v>
      </c>
      <c r="F275" s="42" t="s">
        <v>11469</v>
      </c>
      <c r="G275" t="s">
        <v>13197</v>
      </c>
    </row>
    <row r="276" spans="1:7" x14ac:dyDescent="0.3">
      <c r="A276" s="42" t="s">
        <v>238</v>
      </c>
      <c r="B276" s="42" t="s">
        <v>491</v>
      </c>
      <c r="C276" s="42" t="s">
        <v>6017</v>
      </c>
      <c r="D276" s="43" t="s">
        <v>229</v>
      </c>
      <c r="E276" s="43" t="s">
        <v>92</v>
      </c>
      <c r="F276" s="42" t="s">
        <v>11469</v>
      </c>
      <c r="G276" t="s">
        <v>13197</v>
      </c>
    </row>
    <row r="277" spans="1:7" x14ac:dyDescent="0.3">
      <c r="A277" s="42" t="s">
        <v>238</v>
      </c>
      <c r="B277" s="42" t="s">
        <v>492</v>
      </c>
      <c r="C277" s="42" t="s">
        <v>6018</v>
      </c>
      <c r="D277" s="43" t="s">
        <v>229</v>
      </c>
      <c r="E277" s="43" t="s">
        <v>92</v>
      </c>
      <c r="F277" s="42" t="s">
        <v>11469</v>
      </c>
      <c r="G277" t="s">
        <v>13197</v>
      </c>
    </row>
    <row r="278" spans="1:7" x14ac:dyDescent="0.3">
      <c r="A278" s="42" t="s">
        <v>238</v>
      </c>
      <c r="B278" s="42" t="s">
        <v>493</v>
      </c>
      <c r="C278" s="42" t="s">
        <v>6019</v>
      </c>
      <c r="D278" s="43" t="s">
        <v>229</v>
      </c>
      <c r="E278" s="43" t="s">
        <v>92</v>
      </c>
      <c r="F278" s="42" t="s">
        <v>11469</v>
      </c>
      <c r="G278" t="s">
        <v>13197</v>
      </c>
    </row>
    <row r="279" spans="1:7" x14ac:dyDescent="0.3">
      <c r="A279" s="42" t="s">
        <v>238</v>
      </c>
      <c r="B279" s="42" t="s">
        <v>494</v>
      </c>
      <c r="C279" s="42" t="s">
        <v>6020</v>
      </c>
      <c r="D279" s="43" t="s">
        <v>229</v>
      </c>
      <c r="E279" s="43" t="s">
        <v>92</v>
      </c>
      <c r="F279" s="42" t="s">
        <v>11469</v>
      </c>
      <c r="G279" t="s">
        <v>13197</v>
      </c>
    </row>
    <row r="280" spans="1:7" x14ac:dyDescent="0.3">
      <c r="A280" s="42" t="s">
        <v>238</v>
      </c>
      <c r="B280" s="42" t="s">
        <v>495</v>
      </c>
      <c r="C280" s="42" t="s">
        <v>6021</v>
      </c>
      <c r="D280" s="43" t="s">
        <v>229</v>
      </c>
      <c r="E280" s="43" t="s">
        <v>92</v>
      </c>
      <c r="F280" s="42" t="s">
        <v>11469</v>
      </c>
      <c r="G280" t="s">
        <v>13197</v>
      </c>
    </row>
    <row r="281" spans="1:7" x14ac:dyDescent="0.3">
      <c r="A281" s="42" t="s">
        <v>238</v>
      </c>
      <c r="B281" s="42" t="s">
        <v>496</v>
      </c>
      <c r="C281" s="42" t="s">
        <v>6022</v>
      </c>
      <c r="D281" s="43" t="s">
        <v>229</v>
      </c>
      <c r="E281" s="43" t="s">
        <v>92</v>
      </c>
      <c r="F281" s="42" t="s">
        <v>11469</v>
      </c>
      <c r="G281" t="s">
        <v>13197</v>
      </c>
    </row>
    <row r="282" spans="1:7" x14ac:dyDescent="0.3">
      <c r="A282" s="42" t="s">
        <v>238</v>
      </c>
      <c r="B282" s="42" t="s">
        <v>497</v>
      </c>
      <c r="C282" s="42" t="s">
        <v>6023</v>
      </c>
      <c r="D282" s="43" t="s">
        <v>229</v>
      </c>
      <c r="E282" s="43" t="s">
        <v>92</v>
      </c>
      <c r="F282" s="42" t="s">
        <v>11469</v>
      </c>
      <c r="G282" t="s">
        <v>13197</v>
      </c>
    </row>
    <row r="283" spans="1:7" x14ac:dyDescent="0.3">
      <c r="A283" s="42" t="s">
        <v>238</v>
      </c>
      <c r="B283" s="42" t="s">
        <v>498</v>
      </c>
      <c r="C283" s="42" t="s">
        <v>6024</v>
      </c>
      <c r="D283" s="43" t="s">
        <v>229</v>
      </c>
      <c r="E283" s="43" t="s">
        <v>92</v>
      </c>
      <c r="F283" s="42" t="s">
        <v>11469</v>
      </c>
      <c r="G283" t="s">
        <v>13197</v>
      </c>
    </row>
    <row r="284" spans="1:7" x14ac:dyDescent="0.3">
      <c r="A284" s="42" t="s">
        <v>238</v>
      </c>
      <c r="B284" s="42" t="s">
        <v>499</v>
      </c>
      <c r="C284" s="42" t="s">
        <v>6025</v>
      </c>
      <c r="D284" s="43" t="s">
        <v>229</v>
      </c>
      <c r="E284" s="43" t="s">
        <v>92</v>
      </c>
      <c r="F284" s="42" t="s">
        <v>11469</v>
      </c>
      <c r="G284" t="s">
        <v>13197</v>
      </c>
    </row>
    <row r="285" spans="1:7" x14ac:dyDescent="0.3">
      <c r="A285" s="42" t="s">
        <v>238</v>
      </c>
      <c r="B285" s="42" t="s">
        <v>500</v>
      </c>
      <c r="C285" s="42" t="s">
        <v>6026</v>
      </c>
      <c r="D285" s="43" t="s">
        <v>229</v>
      </c>
      <c r="E285" s="43" t="s">
        <v>92</v>
      </c>
      <c r="F285" s="42" t="s">
        <v>11469</v>
      </c>
      <c r="G285" t="s">
        <v>13197</v>
      </c>
    </row>
    <row r="286" spans="1:7" x14ac:dyDescent="0.3">
      <c r="A286" s="42" t="s">
        <v>238</v>
      </c>
      <c r="B286" s="42" t="s">
        <v>501</v>
      </c>
      <c r="C286" s="42" t="s">
        <v>6027</v>
      </c>
      <c r="D286" s="43" t="s">
        <v>229</v>
      </c>
      <c r="E286" s="43" t="s">
        <v>92</v>
      </c>
      <c r="F286" s="42" t="s">
        <v>11469</v>
      </c>
      <c r="G286" t="s">
        <v>13197</v>
      </c>
    </row>
    <row r="287" spans="1:7" x14ac:dyDescent="0.3">
      <c r="A287" s="42" t="s">
        <v>238</v>
      </c>
      <c r="B287" s="42" t="s">
        <v>502</v>
      </c>
      <c r="C287" s="42" t="s">
        <v>6028</v>
      </c>
      <c r="D287" s="43" t="s">
        <v>229</v>
      </c>
      <c r="E287" s="43" t="s">
        <v>92</v>
      </c>
      <c r="F287" s="42" t="s">
        <v>11469</v>
      </c>
      <c r="G287" t="s">
        <v>13197</v>
      </c>
    </row>
    <row r="288" spans="1:7" x14ac:dyDescent="0.3">
      <c r="A288" s="42" t="s">
        <v>238</v>
      </c>
      <c r="B288" s="42" t="s">
        <v>503</v>
      </c>
      <c r="C288" s="42" t="s">
        <v>6029</v>
      </c>
      <c r="D288" s="43" t="s">
        <v>229</v>
      </c>
      <c r="E288" s="43" t="s">
        <v>92</v>
      </c>
      <c r="F288" s="42" t="s">
        <v>11469</v>
      </c>
      <c r="G288" t="s">
        <v>13197</v>
      </c>
    </row>
    <row r="289" spans="1:7" x14ac:dyDescent="0.3">
      <c r="A289" s="42" t="s">
        <v>238</v>
      </c>
      <c r="B289" s="42" t="s">
        <v>504</v>
      </c>
      <c r="C289" s="42" t="s">
        <v>6030</v>
      </c>
      <c r="D289" s="43" t="s">
        <v>229</v>
      </c>
      <c r="E289" s="43" t="s">
        <v>92</v>
      </c>
      <c r="F289" s="42" t="s">
        <v>192</v>
      </c>
      <c r="G289" t="s">
        <v>13196</v>
      </c>
    </row>
    <row r="290" spans="1:7" x14ac:dyDescent="0.3">
      <c r="A290" s="42" t="s">
        <v>238</v>
      </c>
      <c r="B290" s="42" t="s">
        <v>505</v>
      </c>
      <c r="C290" s="42" t="s">
        <v>6031</v>
      </c>
      <c r="D290" s="43" t="s">
        <v>229</v>
      </c>
      <c r="E290" s="43" t="s">
        <v>92</v>
      </c>
      <c r="F290" s="42" t="s">
        <v>11469</v>
      </c>
      <c r="G290" t="s">
        <v>13197</v>
      </c>
    </row>
    <row r="291" spans="1:7" x14ac:dyDescent="0.3">
      <c r="A291" s="42" t="s">
        <v>238</v>
      </c>
      <c r="B291" s="42" t="s">
        <v>506</v>
      </c>
      <c r="C291" s="42" t="s">
        <v>6032</v>
      </c>
      <c r="D291" s="43" t="s">
        <v>229</v>
      </c>
      <c r="E291" s="43" t="s">
        <v>92</v>
      </c>
      <c r="F291" s="42" t="s">
        <v>11469</v>
      </c>
      <c r="G291" t="s">
        <v>13197</v>
      </c>
    </row>
    <row r="292" spans="1:7" x14ac:dyDescent="0.3">
      <c r="A292" s="42" t="s">
        <v>238</v>
      </c>
      <c r="B292" s="42" t="s">
        <v>507</v>
      </c>
      <c r="C292" s="42" t="s">
        <v>6033</v>
      </c>
      <c r="D292" s="43" t="s">
        <v>229</v>
      </c>
      <c r="E292" s="43" t="s">
        <v>92</v>
      </c>
      <c r="F292" s="42" t="s">
        <v>11469</v>
      </c>
      <c r="G292" t="s">
        <v>13197</v>
      </c>
    </row>
    <row r="293" spans="1:7" x14ac:dyDescent="0.3">
      <c r="A293" s="42" t="s">
        <v>238</v>
      </c>
      <c r="B293" s="42" t="s">
        <v>508</v>
      </c>
      <c r="C293" s="42" t="s">
        <v>6034</v>
      </c>
      <c r="D293" s="43" t="s">
        <v>229</v>
      </c>
      <c r="E293" s="43" t="s">
        <v>92</v>
      </c>
      <c r="F293" s="42" t="s">
        <v>11469</v>
      </c>
      <c r="G293" t="s">
        <v>13197</v>
      </c>
    </row>
    <row r="294" spans="1:7" x14ac:dyDescent="0.3">
      <c r="A294" s="42" t="s">
        <v>238</v>
      </c>
      <c r="B294" s="42" t="s">
        <v>509</v>
      </c>
      <c r="C294" s="42" t="s">
        <v>6035</v>
      </c>
      <c r="D294" s="43" t="s">
        <v>229</v>
      </c>
      <c r="E294" s="43" t="s">
        <v>92</v>
      </c>
      <c r="F294" s="42" t="s">
        <v>11469</v>
      </c>
      <c r="G294" t="s">
        <v>13197</v>
      </c>
    </row>
    <row r="295" spans="1:7" x14ac:dyDescent="0.3">
      <c r="A295" s="42" t="s">
        <v>238</v>
      </c>
      <c r="B295" s="42" t="s">
        <v>510</v>
      </c>
      <c r="C295" s="42" t="s">
        <v>6036</v>
      </c>
      <c r="D295" s="43" t="s">
        <v>229</v>
      </c>
      <c r="E295" s="43" t="s">
        <v>92</v>
      </c>
      <c r="F295" s="42" t="s">
        <v>11469</v>
      </c>
      <c r="G295" t="s">
        <v>13197</v>
      </c>
    </row>
    <row r="296" spans="1:7" x14ac:dyDescent="0.3">
      <c r="A296" s="42" t="s">
        <v>238</v>
      </c>
      <c r="B296" s="42" t="s">
        <v>511</v>
      </c>
      <c r="C296" s="42" t="s">
        <v>6037</v>
      </c>
      <c r="D296" s="43" t="s">
        <v>229</v>
      </c>
      <c r="E296" s="43" t="s">
        <v>92</v>
      </c>
      <c r="F296" s="42" t="s">
        <v>11469</v>
      </c>
      <c r="G296" t="s">
        <v>13197</v>
      </c>
    </row>
    <row r="297" spans="1:7" x14ac:dyDescent="0.3">
      <c r="A297" s="42" t="s">
        <v>238</v>
      </c>
      <c r="B297" s="42" t="s">
        <v>512</v>
      </c>
      <c r="C297" s="42" t="s">
        <v>6038</v>
      </c>
      <c r="D297" s="43" t="s">
        <v>229</v>
      </c>
      <c r="E297" s="43" t="s">
        <v>92</v>
      </c>
      <c r="F297" s="42" t="s">
        <v>11469</v>
      </c>
      <c r="G297" t="s">
        <v>13198</v>
      </c>
    </row>
    <row r="298" spans="1:7" x14ac:dyDescent="0.3">
      <c r="A298" s="42" t="s">
        <v>238</v>
      </c>
      <c r="B298" s="42" t="s">
        <v>513</v>
      </c>
      <c r="C298" s="42" t="s">
        <v>6039</v>
      </c>
      <c r="D298" s="43" t="s">
        <v>229</v>
      </c>
      <c r="E298" s="43" t="s">
        <v>92</v>
      </c>
      <c r="F298" s="42" t="s">
        <v>11469</v>
      </c>
      <c r="G298" t="s">
        <v>13197</v>
      </c>
    </row>
    <row r="299" spans="1:7" x14ac:dyDescent="0.3">
      <c r="A299" s="42" t="s">
        <v>238</v>
      </c>
      <c r="B299" s="42" t="s">
        <v>514</v>
      </c>
      <c r="C299" s="42" t="s">
        <v>6040</v>
      </c>
      <c r="D299" s="43" t="s">
        <v>229</v>
      </c>
      <c r="E299" s="43" t="s">
        <v>92</v>
      </c>
      <c r="F299" s="42" t="s">
        <v>11469</v>
      </c>
      <c r="G299" t="s">
        <v>13197</v>
      </c>
    </row>
    <row r="300" spans="1:7" x14ac:dyDescent="0.3">
      <c r="A300" s="42" t="s">
        <v>238</v>
      </c>
      <c r="B300" s="42" t="s">
        <v>515</v>
      </c>
      <c r="C300" s="42" t="s">
        <v>6041</v>
      </c>
      <c r="D300" s="43" t="s">
        <v>229</v>
      </c>
      <c r="E300" s="43" t="s">
        <v>92</v>
      </c>
      <c r="F300" s="42" t="s">
        <v>11469</v>
      </c>
      <c r="G300" t="s">
        <v>13197</v>
      </c>
    </row>
    <row r="301" spans="1:7" x14ac:dyDescent="0.3">
      <c r="A301" s="42" t="s">
        <v>238</v>
      </c>
      <c r="B301" s="42" t="s">
        <v>516</v>
      </c>
      <c r="C301" s="42" t="s">
        <v>6042</v>
      </c>
      <c r="D301" s="43" t="s">
        <v>229</v>
      </c>
      <c r="E301" s="43" t="s">
        <v>92</v>
      </c>
      <c r="F301" s="42" t="s">
        <v>11469</v>
      </c>
      <c r="G301" t="s">
        <v>13197</v>
      </c>
    </row>
    <row r="302" spans="1:7" x14ac:dyDescent="0.3">
      <c r="A302" s="42" t="s">
        <v>238</v>
      </c>
      <c r="B302" s="42" t="s">
        <v>517</v>
      </c>
      <c r="C302" s="42" t="s">
        <v>6043</v>
      </c>
      <c r="D302" s="43" t="s">
        <v>229</v>
      </c>
      <c r="E302" s="43" t="s">
        <v>92</v>
      </c>
      <c r="F302" s="42" t="s">
        <v>11469</v>
      </c>
      <c r="G302" t="s">
        <v>13197</v>
      </c>
    </row>
    <row r="303" spans="1:7" x14ac:dyDescent="0.3">
      <c r="A303" s="42" t="s">
        <v>238</v>
      </c>
      <c r="B303" s="42" t="s">
        <v>518</v>
      </c>
      <c r="C303" s="42" t="s">
        <v>6044</v>
      </c>
      <c r="D303" s="43" t="s">
        <v>229</v>
      </c>
      <c r="E303" s="43" t="s">
        <v>92</v>
      </c>
      <c r="F303" s="42" t="s">
        <v>11469</v>
      </c>
      <c r="G303" t="s">
        <v>13197</v>
      </c>
    </row>
    <row r="304" spans="1:7" x14ac:dyDescent="0.3">
      <c r="A304" s="42" t="s">
        <v>238</v>
      </c>
      <c r="B304" s="42" t="s">
        <v>519</v>
      </c>
      <c r="C304" s="42" t="s">
        <v>6045</v>
      </c>
      <c r="D304" s="43" t="s">
        <v>229</v>
      </c>
      <c r="E304" s="43" t="s">
        <v>92</v>
      </c>
      <c r="F304" s="42" t="s">
        <v>11469</v>
      </c>
      <c r="G304" t="s">
        <v>13197</v>
      </c>
    </row>
    <row r="305" spans="1:7" x14ac:dyDescent="0.3">
      <c r="A305" s="42" t="s">
        <v>238</v>
      </c>
      <c r="B305" s="42" t="s">
        <v>520</v>
      </c>
      <c r="C305" s="42" t="s">
        <v>6046</v>
      </c>
      <c r="D305" s="43" t="s">
        <v>229</v>
      </c>
      <c r="E305" s="43" t="s">
        <v>92</v>
      </c>
      <c r="F305" s="42" t="s">
        <v>11469</v>
      </c>
      <c r="G305" t="s">
        <v>13197</v>
      </c>
    </row>
    <row r="306" spans="1:7" x14ac:dyDescent="0.3">
      <c r="A306" s="42" t="s">
        <v>238</v>
      </c>
      <c r="B306" s="42" t="s">
        <v>521</v>
      </c>
      <c r="C306" s="42" t="s">
        <v>6047</v>
      </c>
      <c r="D306" s="43" t="s">
        <v>229</v>
      </c>
      <c r="E306" s="43" t="s">
        <v>92</v>
      </c>
      <c r="F306" s="42" t="s">
        <v>11469</v>
      </c>
      <c r="G306" t="s">
        <v>13197</v>
      </c>
    </row>
    <row r="307" spans="1:7" x14ac:dyDescent="0.3">
      <c r="A307" s="42" t="s">
        <v>238</v>
      </c>
      <c r="B307" s="42" t="s">
        <v>522</v>
      </c>
      <c r="C307" s="42" t="s">
        <v>6048</v>
      </c>
      <c r="D307" s="43" t="s">
        <v>229</v>
      </c>
      <c r="E307" s="43" t="s">
        <v>92</v>
      </c>
      <c r="F307" s="42" t="s">
        <v>11469</v>
      </c>
      <c r="G307" t="s">
        <v>13197</v>
      </c>
    </row>
    <row r="308" spans="1:7" x14ac:dyDescent="0.3">
      <c r="A308" s="42" t="s">
        <v>238</v>
      </c>
      <c r="B308" s="42" t="s">
        <v>523</v>
      </c>
      <c r="C308" s="42" t="s">
        <v>6049</v>
      </c>
      <c r="D308" s="43" t="s">
        <v>229</v>
      </c>
      <c r="E308" s="43" t="s">
        <v>92</v>
      </c>
      <c r="F308" s="42" t="s">
        <v>11469</v>
      </c>
      <c r="G308" t="s">
        <v>13197</v>
      </c>
    </row>
    <row r="309" spans="1:7" x14ac:dyDescent="0.3">
      <c r="A309" s="42" t="s">
        <v>238</v>
      </c>
      <c r="B309" s="42" t="s">
        <v>524</v>
      </c>
      <c r="C309" s="42" t="s">
        <v>6050</v>
      </c>
      <c r="D309" s="43" t="s">
        <v>229</v>
      </c>
      <c r="E309" s="43" t="s">
        <v>92</v>
      </c>
      <c r="F309" s="42" t="s">
        <v>11469</v>
      </c>
      <c r="G309" t="s">
        <v>13197</v>
      </c>
    </row>
    <row r="310" spans="1:7" x14ac:dyDescent="0.3">
      <c r="A310" s="42" t="s">
        <v>238</v>
      </c>
      <c r="B310" s="42" t="s">
        <v>525</v>
      </c>
      <c r="C310" s="42" t="s">
        <v>6051</v>
      </c>
      <c r="D310" s="43" t="s">
        <v>229</v>
      </c>
      <c r="E310" s="43" t="s">
        <v>92</v>
      </c>
      <c r="F310" s="42" t="s">
        <v>11469</v>
      </c>
      <c r="G310" t="s">
        <v>13197</v>
      </c>
    </row>
    <row r="311" spans="1:7" x14ac:dyDescent="0.3">
      <c r="A311" s="42" t="s">
        <v>238</v>
      </c>
      <c r="B311" s="42" t="s">
        <v>526</v>
      </c>
      <c r="C311" s="42" t="s">
        <v>6052</v>
      </c>
      <c r="D311" s="43" t="s">
        <v>229</v>
      </c>
      <c r="E311" s="43" t="s">
        <v>92</v>
      </c>
      <c r="F311" s="42" t="s">
        <v>192</v>
      </c>
      <c r="G311" t="s">
        <v>13196</v>
      </c>
    </row>
    <row r="312" spans="1:7" x14ac:dyDescent="0.3">
      <c r="A312" s="42" t="s">
        <v>238</v>
      </c>
      <c r="B312" s="42" t="s">
        <v>527</v>
      </c>
      <c r="C312" s="42" t="s">
        <v>6053</v>
      </c>
      <c r="D312" s="43" t="s">
        <v>229</v>
      </c>
      <c r="E312" s="43" t="s">
        <v>92</v>
      </c>
      <c r="F312" s="42" t="s">
        <v>11469</v>
      </c>
      <c r="G312" t="s">
        <v>13197</v>
      </c>
    </row>
    <row r="313" spans="1:7" x14ac:dyDescent="0.3">
      <c r="A313" s="42" t="s">
        <v>238</v>
      </c>
      <c r="B313" s="42" t="s">
        <v>528</v>
      </c>
      <c r="C313" s="42" t="s">
        <v>6054</v>
      </c>
      <c r="D313" s="43" t="s">
        <v>229</v>
      </c>
      <c r="E313" s="43" t="s">
        <v>92</v>
      </c>
      <c r="F313" s="42" t="s">
        <v>11469</v>
      </c>
      <c r="G313" t="s">
        <v>13197</v>
      </c>
    </row>
    <row r="314" spans="1:7" x14ac:dyDescent="0.3">
      <c r="A314" s="42" t="s">
        <v>238</v>
      </c>
      <c r="B314" s="42" t="s">
        <v>529</v>
      </c>
      <c r="C314" s="42" t="s">
        <v>6055</v>
      </c>
      <c r="D314" s="43" t="s">
        <v>229</v>
      </c>
      <c r="E314" s="43" t="s">
        <v>92</v>
      </c>
      <c r="F314" s="42" t="s">
        <v>11469</v>
      </c>
      <c r="G314" t="s">
        <v>13197</v>
      </c>
    </row>
    <row r="315" spans="1:7" x14ac:dyDescent="0.3">
      <c r="A315" s="42" t="s">
        <v>238</v>
      </c>
      <c r="B315" s="42" t="s">
        <v>530</v>
      </c>
      <c r="C315" s="42" t="s">
        <v>6056</v>
      </c>
      <c r="D315" s="43" t="s">
        <v>229</v>
      </c>
      <c r="E315" s="43" t="s">
        <v>92</v>
      </c>
      <c r="F315" s="42" t="s">
        <v>11469</v>
      </c>
      <c r="G315" t="s">
        <v>13197</v>
      </c>
    </row>
    <row r="316" spans="1:7" x14ac:dyDescent="0.3">
      <c r="A316" s="42" t="s">
        <v>238</v>
      </c>
      <c r="B316" s="42" t="s">
        <v>531</v>
      </c>
      <c r="C316" s="42" t="s">
        <v>6057</v>
      </c>
      <c r="D316" s="43" t="s">
        <v>229</v>
      </c>
      <c r="E316" s="43" t="s">
        <v>92</v>
      </c>
      <c r="F316" s="42" t="s">
        <v>11469</v>
      </c>
      <c r="G316" t="s">
        <v>13197</v>
      </c>
    </row>
    <row r="317" spans="1:7" x14ac:dyDescent="0.3">
      <c r="A317" s="42" t="s">
        <v>238</v>
      </c>
      <c r="B317" s="42" t="s">
        <v>532</v>
      </c>
      <c r="C317" s="42" t="s">
        <v>6058</v>
      </c>
      <c r="D317" s="43" t="s">
        <v>229</v>
      </c>
      <c r="E317" s="43" t="s">
        <v>92</v>
      </c>
      <c r="F317" s="42" t="s">
        <v>11469</v>
      </c>
      <c r="G317" t="s">
        <v>13197</v>
      </c>
    </row>
    <row r="318" spans="1:7" x14ac:dyDescent="0.3">
      <c r="A318" s="42" t="s">
        <v>238</v>
      </c>
      <c r="B318" s="42" t="s">
        <v>533</v>
      </c>
      <c r="C318" s="42" t="s">
        <v>6059</v>
      </c>
      <c r="D318" s="43" t="s">
        <v>229</v>
      </c>
      <c r="E318" s="43" t="s">
        <v>92</v>
      </c>
      <c r="F318" s="42" t="s">
        <v>11469</v>
      </c>
      <c r="G318" t="s">
        <v>13197</v>
      </c>
    </row>
    <row r="319" spans="1:7" x14ac:dyDescent="0.3">
      <c r="A319" s="42" t="s">
        <v>238</v>
      </c>
      <c r="B319" s="42" t="s">
        <v>534</v>
      </c>
      <c r="C319" s="42" t="s">
        <v>6060</v>
      </c>
      <c r="D319" s="43" t="s">
        <v>229</v>
      </c>
      <c r="E319" s="43" t="s">
        <v>92</v>
      </c>
      <c r="F319" s="42" t="s">
        <v>11469</v>
      </c>
      <c r="G319" t="s">
        <v>13197</v>
      </c>
    </row>
    <row r="320" spans="1:7" x14ac:dyDescent="0.3">
      <c r="A320" s="42" t="s">
        <v>238</v>
      </c>
      <c r="B320" s="42" t="s">
        <v>535</v>
      </c>
      <c r="C320" s="42" t="s">
        <v>6061</v>
      </c>
      <c r="D320" s="43" t="s">
        <v>229</v>
      </c>
      <c r="E320" s="43" t="s">
        <v>92</v>
      </c>
      <c r="F320" s="42" t="s">
        <v>11469</v>
      </c>
      <c r="G320" t="s">
        <v>13197</v>
      </c>
    </row>
    <row r="321" spans="1:7" x14ac:dyDescent="0.3">
      <c r="A321" s="42" t="s">
        <v>238</v>
      </c>
      <c r="B321" s="42" t="s">
        <v>536</v>
      </c>
      <c r="C321" s="42" t="s">
        <v>6062</v>
      </c>
      <c r="D321" s="43" t="s">
        <v>229</v>
      </c>
      <c r="E321" s="43" t="s">
        <v>92</v>
      </c>
      <c r="F321" s="42" t="s">
        <v>11469</v>
      </c>
      <c r="G321" t="s">
        <v>13197</v>
      </c>
    </row>
    <row r="322" spans="1:7" x14ac:dyDescent="0.3">
      <c r="A322" s="42" t="s">
        <v>238</v>
      </c>
      <c r="B322" s="42" t="s">
        <v>537</v>
      </c>
      <c r="C322" s="42" t="s">
        <v>6063</v>
      </c>
      <c r="D322" s="43" t="s">
        <v>229</v>
      </c>
      <c r="E322" s="43" t="s">
        <v>92</v>
      </c>
      <c r="F322" s="42" t="s">
        <v>11469</v>
      </c>
      <c r="G322" t="s">
        <v>13197</v>
      </c>
    </row>
    <row r="323" spans="1:7" x14ac:dyDescent="0.3">
      <c r="A323" s="42" t="s">
        <v>238</v>
      </c>
      <c r="B323" s="42" t="s">
        <v>538</v>
      </c>
      <c r="C323" s="42" t="s">
        <v>6064</v>
      </c>
      <c r="D323" s="43" t="s">
        <v>229</v>
      </c>
      <c r="E323" s="43" t="s">
        <v>92</v>
      </c>
      <c r="F323" s="42" t="s">
        <v>192</v>
      </c>
      <c r="G323" t="s">
        <v>13196</v>
      </c>
    </row>
    <row r="324" spans="1:7" x14ac:dyDescent="0.3">
      <c r="A324" s="42" t="s">
        <v>238</v>
      </c>
      <c r="B324" s="42" t="s">
        <v>539</v>
      </c>
      <c r="C324" s="42" t="s">
        <v>6065</v>
      </c>
      <c r="D324" s="43" t="s">
        <v>229</v>
      </c>
      <c r="E324" s="43" t="s">
        <v>92</v>
      </c>
      <c r="F324" s="42" t="s">
        <v>11469</v>
      </c>
      <c r="G324" t="s">
        <v>13197</v>
      </c>
    </row>
    <row r="325" spans="1:7" x14ac:dyDescent="0.3">
      <c r="A325" s="42" t="s">
        <v>238</v>
      </c>
      <c r="B325" s="42" t="s">
        <v>540</v>
      </c>
      <c r="C325" s="42" t="s">
        <v>6066</v>
      </c>
      <c r="D325" s="43" t="s">
        <v>229</v>
      </c>
      <c r="E325" s="43" t="s">
        <v>92</v>
      </c>
      <c r="F325" s="42" t="s">
        <v>11469</v>
      </c>
      <c r="G325" t="s">
        <v>13197</v>
      </c>
    </row>
    <row r="326" spans="1:7" x14ac:dyDescent="0.3">
      <c r="A326" s="42" t="s">
        <v>238</v>
      </c>
      <c r="B326" s="42" t="s">
        <v>541</v>
      </c>
      <c r="C326" s="42" t="s">
        <v>6067</v>
      </c>
      <c r="D326" s="43" t="s">
        <v>229</v>
      </c>
      <c r="E326" s="43" t="s">
        <v>92</v>
      </c>
      <c r="F326" s="42" t="s">
        <v>11469</v>
      </c>
      <c r="G326" t="s">
        <v>13197</v>
      </c>
    </row>
    <row r="327" spans="1:7" x14ac:dyDescent="0.3">
      <c r="A327" s="42" t="s">
        <v>238</v>
      </c>
      <c r="B327" s="42" t="s">
        <v>542</v>
      </c>
      <c r="C327" s="42" t="s">
        <v>6068</v>
      </c>
      <c r="D327" s="43" t="s">
        <v>229</v>
      </c>
      <c r="E327" s="43" t="s">
        <v>92</v>
      </c>
      <c r="F327" s="42" t="s">
        <v>11469</v>
      </c>
      <c r="G327" t="s">
        <v>13197</v>
      </c>
    </row>
    <row r="328" spans="1:7" x14ac:dyDescent="0.3">
      <c r="A328" s="42" t="s">
        <v>238</v>
      </c>
      <c r="B328" s="42" t="s">
        <v>543</v>
      </c>
      <c r="C328" s="42" t="s">
        <v>6069</v>
      </c>
      <c r="D328" s="43" t="s">
        <v>229</v>
      </c>
      <c r="E328" s="43" t="s">
        <v>92</v>
      </c>
      <c r="F328" s="42" t="s">
        <v>11469</v>
      </c>
      <c r="G328" t="s">
        <v>13197</v>
      </c>
    </row>
    <row r="329" spans="1:7" x14ac:dyDescent="0.3">
      <c r="A329" s="42" t="s">
        <v>238</v>
      </c>
      <c r="B329" s="42" t="s">
        <v>544</v>
      </c>
      <c r="C329" s="42" t="s">
        <v>6070</v>
      </c>
      <c r="D329" s="43" t="s">
        <v>229</v>
      </c>
      <c r="E329" s="43" t="s">
        <v>92</v>
      </c>
      <c r="F329" s="42" t="s">
        <v>192</v>
      </c>
      <c r="G329" t="s">
        <v>13196</v>
      </c>
    </row>
    <row r="330" spans="1:7" x14ac:dyDescent="0.3">
      <c r="A330" s="42" t="s">
        <v>238</v>
      </c>
      <c r="B330" s="42" t="s">
        <v>545</v>
      </c>
      <c r="C330" s="42" t="s">
        <v>6071</v>
      </c>
      <c r="D330" s="43" t="s">
        <v>229</v>
      </c>
      <c r="E330" s="43" t="s">
        <v>92</v>
      </c>
      <c r="F330" s="42" t="s">
        <v>11469</v>
      </c>
      <c r="G330" t="s">
        <v>13197</v>
      </c>
    </row>
    <row r="331" spans="1:7" x14ac:dyDescent="0.3">
      <c r="A331" s="42" t="s">
        <v>238</v>
      </c>
      <c r="B331" s="42" t="s">
        <v>546</v>
      </c>
      <c r="C331" s="42" t="s">
        <v>6072</v>
      </c>
      <c r="D331" s="43" t="s">
        <v>229</v>
      </c>
      <c r="E331" s="43" t="s">
        <v>92</v>
      </c>
      <c r="F331" s="42" t="s">
        <v>11469</v>
      </c>
      <c r="G331" t="s">
        <v>13197</v>
      </c>
    </row>
    <row r="332" spans="1:7" x14ac:dyDescent="0.3">
      <c r="A332" s="42" t="s">
        <v>238</v>
      </c>
      <c r="B332" s="42" t="s">
        <v>547</v>
      </c>
      <c r="C332" s="42" t="s">
        <v>6073</v>
      </c>
      <c r="D332" s="43" t="s">
        <v>229</v>
      </c>
      <c r="E332" s="43" t="s">
        <v>92</v>
      </c>
      <c r="F332" s="42" t="s">
        <v>11469</v>
      </c>
      <c r="G332" t="s">
        <v>13197</v>
      </c>
    </row>
    <row r="333" spans="1:7" x14ac:dyDescent="0.3">
      <c r="A333" s="42" t="s">
        <v>238</v>
      </c>
      <c r="B333" s="42" t="s">
        <v>548</v>
      </c>
      <c r="C333" s="42" t="s">
        <v>6074</v>
      </c>
      <c r="D333" s="43" t="s">
        <v>229</v>
      </c>
      <c r="E333" s="43" t="s">
        <v>92</v>
      </c>
      <c r="F333" s="42" t="s">
        <v>11469</v>
      </c>
      <c r="G333" t="s">
        <v>13197</v>
      </c>
    </row>
    <row r="334" spans="1:7" x14ac:dyDescent="0.3">
      <c r="A334" s="42" t="s">
        <v>238</v>
      </c>
      <c r="B334" s="42" t="s">
        <v>549</v>
      </c>
      <c r="C334" s="42" t="s">
        <v>6075</v>
      </c>
      <c r="D334" s="43" t="s">
        <v>229</v>
      </c>
      <c r="E334" s="43" t="s">
        <v>92</v>
      </c>
      <c r="F334" s="42" t="s">
        <v>11469</v>
      </c>
      <c r="G334" t="s">
        <v>13197</v>
      </c>
    </row>
    <row r="335" spans="1:7" x14ac:dyDescent="0.3">
      <c r="A335" s="42" t="s">
        <v>238</v>
      </c>
      <c r="B335" s="42" t="s">
        <v>550</v>
      </c>
      <c r="C335" s="42" t="s">
        <v>6076</v>
      </c>
      <c r="D335" s="43" t="s">
        <v>229</v>
      </c>
      <c r="E335" s="43" t="s">
        <v>92</v>
      </c>
      <c r="F335" s="42" t="s">
        <v>11469</v>
      </c>
      <c r="G335" t="s">
        <v>13197</v>
      </c>
    </row>
    <row r="336" spans="1:7" x14ac:dyDescent="0.3">
      <c r="A336" s="42" t="s">
        <v>238</v>
      </c>
      <c r="B336" s="42" t="s">
        <v>551</v>
      </c>
      <c r="C336" s="42" t="s">
        <v>6077</v>
      </c>
      <c r="D336" s="43" t="s">
        <v>229</v>
      </c>
      <c r="E336" s="43" t="s">
        <v>92</v>
      </c>
      <c r="F336" s="42" t="s">
        <v>11469</v>
      </c>
      <c r="G336" t="s">
        <v>13197</v>
      </c>
    </row>
    <row r="337" spans="1:7" x14ac:dyDescent="0.3">
      <c r="A337" s="42" t="s">
        <v>238</v>
      </c>
      <c r="B337" s="42" t="s">
        <v>552</v>
      </c>
      <c r="C337" s="42" t="s">
        <v>6078</v>
      </c>
      <c r="D337" s="43" t="s">
        <v>229</v>
      </c>
      <c r="E337" s="43" t="s">
        <v>92</v>
      </c>
      <c r="F337" s="42" t="s">
        <v>11469</v>
      </c>
      <c r="G337" t="s">
        <v>13197</v>
      </c>
    </row>
    <row r="338" spans="1:7" x14ac:dyDescent="0.3">
      <c r="A338" s="42" t="s">
        <v>238</v>
      </c>
      <c r="B338" s="42" t="s">
        <v>553</v>
      </c>
      <c r="C338" s="42" t="s">
        <v>6079</v>
      </c>
      <c r="D338" s="43" t="s">
        <v>229</v>
      </c>
      <c r="E338" s="43" t="s">
        <v>92</v>
      </c>
      <c r="F338" s="42" t="s">
        <v>11469</v>
      </c>
      <c r="G338" t="s">
        <v>13197</v>
      </c>
    </row>
    <row r="339" spans="1:7" x14ac:dyDescent="0.3">
      <c r="A339" s="42" t="s">
        <v>238</v>
      </c>
      <c r="B339" s="42" t="s">
        <v>554</v>
      </c>
      <c r="C339" s="42" t="s">
        <v>6080</v>
      </c>
      <c r="D339" s="43" t="s">
        <v>229</v>
      </c>
      <c r="E339" s="43" t="s">
        <v>92</v>
      </c>
      <c r="F339" s="42" t="s">
        <v>11469</v>
      </c>
      <c r="G339" t="s">
        <v>13197</v>
      </c>
    </row>
    <row r="340" spans="1:7" x14ac:dyDescent="0.3">
      <c r="A340" s="42" t="s">
        <v>238</v>
      </c>
      <c r="B340" s="42" t="s">
        <v>555</v>
      </c>
      <c r="C340" s="42" t="s">
        <v>6081</v>
      </c>
      <c r="D340" s="43" t="s">
        <v>229</v>
      </c>
      <c r="E340" s="43" t="s">
        <v>92</v>
      </c>
      <c r="F340" s="42" t="s">
        <v>11469</v>
      </c>
      <c r="G340" t="s">
        <v>13197</v>
      </c>
    </row>
    <row r="341" spans="1:7" x14ac:dyDescent="0.3">
      <c r="A341" s="42" t="s">
        <v>238</v>
      </c>
      <c r="B341" s="42" t="s">
        <v>556</v>
      </c>
      <c r="C341" s="42" t="s">
        <v>6082</v>
      </c>
      <c r="D341" s="43" t="s">
        <v>229</v>
      </c>
      <c r="E341" s="43" t="s">
        <v>92</v>
      </c>
      <c r="F341" s="42" t="s">
        <v>11469</v>
      </c>
      <c r="G341" t="s">
        <v>13197</v>
      </c>
    </row>
    <row r="342" spans="1:7" x14ac:dyDescent="0.3">
      <c r="A342" s="42" t="s">
        <v>238</v>
      </c>
      <c r="B342" s="42" t="s">
        <v>557</v>
      </c>
      <c r="C342" s="42" t="s">
        <v>6083</v>
      </c>
      <c r="D342" s="43" t="s">
        <v>229</v>
      </c>
      <c r="E342" s="43" t="s">
        <v>92</v>
      </c>
      <c r="F342" s="42" t="s">
        <v>11469</v>
      </c>
      <c r="G342" t="s">
        <v>13197</v>
      </c>
    </row>
    <row r="343" spans="1:7" x14ac:dyDescent="0.3">
      <c r="A343" s="42" t="s">
        <v>238</v>
      </c>
      <c r="B343" s="42" t="s">
        <v>558</v>
      </c>
      <c r="C343" s="42" t="s">
        <v>6084</v>
      </c>
      <c r="D343" s="43" t="s">
        <v>229</v>
      </c>
      <c r="E343" s="43" t="s">
        <v>92</v>
      </c>
      <c r="F343" s="42" t="s">
        <v>11469</v>
      </c>
      <c r="G343" t="s">
        <v>13197</v>
      </c>
    </row>
    <row r="344" spans="1:7" x14ac:dyDescent="0.3">
      <c r="A344" s="42" t="s">
        <v>238</v>
      </c>
      <c r="B344" s="42" t="s">
        <v>559</v>
      </c>
      <c r="C344" s="42" t="s">
        <v>6085</v>
      </c>
      <c r="D344" s="43" t="s">
        <v>229</v>
      </c>
      <c r="E344" s="43" t="s">
        <v>92</v>
      </c>
      <c r="F344" s="42" t="s">
        <v>11469</v>
      </c>
      <c r="G344" t="s">
        <v>13197</v>
      </c>
    </row>
    <row r="345" spans="1:7" x14ac:dyDescent="0.3">
      <c r="A345" s="42" t="s">
        <v>238</v>
      </c>
      <c r="B345" s="42" t="s">
        <v>560</v>
      </c>
      <c r="C345" s="42" t="s">
        <v>6086</v>
      </c>
      <c r="D345" s="43" t="s">
        <v>229</v>
      </c>
      <c r="E345" s="43" t="s">
        <v>92</v>
      </c>
      <c r="F345" s="42" t="s">
        <v>11469</v>
      </c>
      <c r="G345" t="s">
        <v>13197</v>
      </c>
    </row>
    <row r="346" spans="1:7" x14ac:dyDescent="0.3">
      <c r="A346" s="42" t="s">
        <v>238</v>
      </c>
      <c r="B346" s="42" t="s">
        <v>561</v>
      </c>
      <c r="C346" s="42" t="s">
        <v>6087</v>
      </c>
      <c r="D346" s="43" t="s">
        <v>229</v>
      </c>
      <c r="E346" s="43" t="s">
        <v>92</v>
      </c>
      <c r="F346" s="42" t="s">
        <v>11469</v>
      </c>
      <c r="G346" t="s">
        <v>13197</v>
      </c>
    </row>
    <row r="347" spans="1:7" x14ac:dyDescent="0.3">
      <c r="A347" s="42" t="s">
        <v>238</v>
      </c>
      <c r="B347" s="42" t="s">
        <v>562</v>
      </c>
      <c r="C347" s="42" t="s">
        <v>6088</v>
      </c>
      <c r="D347" s="43" t="s">
        <v>229</v>
      </c>
      <c r="E347" s="43" t="s">
        <v>92</v>
      </c>
      <c r="F347" s="42" t="s">
        <v>11469</v>
      </c>
      <c r="G347" t="s">
        <v>13197</v>
      </c>
    </row>
    <row r="348" spans="1:7" x14ac:dyDescent="0.3">
      <c r="A348" s="42" t="s">
        <v>238</v>
      </c>
      <c r="B348" s="42" t="s">
        <v>563</v>
      </c>
      <c r="C348" s="42" t="s">
        <v>6089</v>
      </c>
      <c r="D348" s="43" t="s">
        <v>229</v>
      </c>
      <c r="E348" s="43" t="s">
        <v>92</v>
      </c>
      <c r="F348" s="42" t="s">
        <v>11469</v>
      </c>
      <c r="G348" t="s">
        <v>13197</v>
      </c>
    </row>
    <row r="349" spans="1:7" x14ac:dyDescent="0.3">
      <c r="A349" s="42" t="s">
        <v>238</v>
      </c>
      <c r="B349" s="42" t="s">
        <v>564</v>
      </c>
      <c r="C349" s="42" t="s">
        <v>6090</v>
      </c>
      <c r="D349" s="43" t="s">
        <v>229</v>
      </c>
      <c r="E349" s="43" t="s">
        <v>92</v>
      </c>
      <c r="F349" s="42" t="s">
        <v>11469</v>
      </c>
      <c r="G349" t="s">
        <v>13197</v>
      </c>
    </row>
    <row r="350" spans="1:7" x14ac:dyDescent="0.3">
      <c r="A350" s="42" t="s">
        <v>238</v>
      </c>
      <c r="B350" s="42" t="s">
        <v>565</v>
      </c>
      <c r="C350" s="42" t="s">
        <v>6091</v>
      </c>
      <c r="D350" s="43" t="s">
        <v>229</v>
      </c>
      <c r="E350" s="43" t="s">
        <v>92</v>
      </c>
      <c r="F350" s="42" t="s">
        <v>11469</v>
      </c>
      <c r="G350" t="s">
        <v>13197</v>
      </c>
    </row>
    <row r="351" spans="1:7" x14ac:dyDescent="0.3">
      <c r="A351" s="42" t="s">
        <v>238</v>
      </c>
      <c r="B351" s="42" t="s">
        <v>566</v>
      </c>
      <c r="C351" s="42" t="s">
        <v>6092</v>
      </c>
      <c r="D351" s="43" t="s">
        <v>229</v>
      </c>
      <c r="E351" s="43" t="s">
        <v>92</v>
      </c>
      <c r="F351" s="42" t="s">
        <v>11469</v>
      </c>
      <c r="G351" t="s">
        <v>13197</v>
      </c>
    </row>
    <row r="352" spans="1:7" x14ac:dyDescent="0.3">
      <c r="A352" s="42" t="s">
        <v>238</v>
      </c>
      <c r="B352" s="42" t="s">
        <v>567</v>
      </c>
      <c r="C352" s="42" t="s">
        <v>6093</v>
      </c>
      <c r="D352" s="43" t="s">
        <v>229</v>
      </c>
      <c r="E352" s="43" t="s">
        <v>92</v>
      </c>
      <c r="F352" s="42" t="s">
        <v>11469</v>
      </c>
      <c r="G352" t="s">
        <v>13197</v>
      </c>
    </row>
    <row r="353" spans="1:7" x14ac:dyDescent="0.3">
      <c r="A353" s="42" t="s">
        <v>238</v>
      </c>
      <c r="B353" s="42" t="s">
        <v>568</v>
      </c>
      <c r="C353" s="42" t="s">
        <v>6094</v>
      </c>
      <c r="D353" s="43" t="s">
        <v>229</v>
      </c>
      <c r="E353" s="43" t="s">
        <v>92</v>
      </c>
      <c r="F353" s="42" t="s">
        <v>11469</v>
      </c>
      <c r="G353" t="s">
        <v>13197</v>
      </c>
    </row>
    <row r="354" spans="1:7" x14ac:dyDescent="0.3">
      <c r="A354" s="42" t="s">
        <v>238</v>
      </c>
      <c r="B354" s="42" t="s">
        <v>569</v>
      </c>
      <c r="C354" s="42" t="s">
        <v>6095</v>
      </c>
      <c r="D354" s="43" t="s">
        <v>229</v>
      </c>
      <c r="E354" s="43" t="s">
        <v>92</v>
      </c>
      <c r="F354" s="42" t="s">
        <v>11469</v>
      </c>
      <c r="G354" t="s">
        <v>13197</v>
      </c>
    </row>
    <row r="355" spans="1:7" x14ac:dyDescent="0.3">
      <c r="A355" s="42" t="s">
        <v>238</v>
      </c>
      <c r="B355" s="42" t="s">
        <v>570</v>
      </c>
      <c r="C355" s="42" t="s">
        <v>6096</v>
      </c>
      <c r="D355" s="43" t="s">
        <v>229</v>
      </c>
      <c r="E355" s="43" t="s">
        <v>92</v>
      </c>
      <c r="F355" s="42" t="s">
        <v>11469</v>
      </c>
      <c r="G355" t="s">
        <v>13197</v>
      </c>
    </row>
    <row r="356" spans="1:7" x14ac:dyDescent="0.3">
      <c r="A356" s="42" t="s">
        <v>238</v>
      </c>
      <c r="B356" s="42" t="s">
        <v>571</v>
      </c>
      <c r="C356" s="42" t="s">
        <v>6097</v>
      </c>
      <c r="D356" s="43" t="s">
        <v>229</v>
      </c>
      <c r="E356" s="43" t="s">
        <v>92</v>
      </c>
      <c r="F356" s="42" t="s">
        <v>192</v>
      </c>
      <c r="G356" t="s">
        <v>13196</v>
      </c>
    </row>
    <row r="357" spans="1:7" x14ac:dyDescent="0.3">
      <c r="A357" s="42" t="s">
        <v>238</v>
      </c>
      <c r="B357" s="42" t="s">
        <v>572</v>
      </c>
      <c r="C357" s="42" t="s">
        <v>6098</v>
      </c>
      <c r="D357" s="43" t="s">
        <v>229</v>
      </c>
      <c r="E357" s="43" t="s">
        <v>92</v>
      </c>
      <c r="F357" s="42" t="s">
        <v>11469</v>
      </c>
      <c r="G357" t="s">
        <v>13197</v>
      </c>
    </row>
    <row r="358" spans="1:7" x14ac:dyDescent="0.3">
      <c r="A358" s="42" t="s">
        <v>238</v>
      </c>
      <c r="B358" s="42" t="s">
        <v>573</v>
      </c>
      <c r="C358" s="42" t="s">
        <v>6099</v>
      </c>
      <c r="D358" s="43" t="s">
        <v>229</v>
      </c>
      <c r="E358" s="43" t="s">
        <v>92</v>
      </c>
      <c r="F358" s="42" t="s">
        <v>11469</v>
      </c>
      <c r="G358" t="s">
        <v>13197</v>
      </c>
    </row>
    <row r="359" spans="1:7" x14ac:dyDescent="0.3">
      <c r="A359" s="42" t="s">
        <v>238</v>
      </c>
      <c r="B359" s="42" t="s">
        <v>574</v>
      </c>
      <c r="C359" s="42" t="s">
        <v>6100</v>
      </c>
      <c r="D359" s="43" t="s">
        <v>229</v>
      </c>
      <c r="E359" s="43" t="s">
        <v>92</v>
      </c>
      <c r="F359" s="42" t="s">
        <v>11469</v>
      </c>
      <c r="G359" t="s">
        <v>13197</v>
      </c>
    </row>
    <row r="360" spans="1:7" x14ac:dyDescent="0.3">
      <c r="A360" s="42" t="s">
        <v>238</v>
      </c>
      <c r="B360" s="42" t="s">
        <v>575</v>
      </c>
      <c r="C360" s="42" t="s">
        <v>6101</v>
      </c>
      <c r="D360" s="43" t="s">
        <v>229</v>
      </c>
      <c r="E360" s="43" t="s">
        <v>92</v>
      </c>
      <c r="F360" s="42" t="s">
        <v>11469</v>
      </c>
      <c r="G360" t="s">
        <v>13197</v>
      </c>
    </row>
    <row r="361" spans="1:7" x14ac:dyDescent="0.3">
      <c r="A361" s="42" t="s">
        <v>238</v>
      </c>
      <c r="B361" s="42" t="s">
        <v>576</v>
      </c>
      <c r="C361" s="42" t="s">
        <v>6102</v>
      </c>
      <c r="D361" s="43" t="s">
        <v>229</v>
      </c>
      <c r="E361" s="43" t="s">
        <v>92</v>
      </c>
      <c r="F361" s="42" t="s">
        <v>11469</v>
      </c>
      <c r="G361" t="s">
        <v>13197</v>
      </c>
    </row>
    <row r="362" spans="1:7" x14ac:dyDescent="0.3">
      <c r="A362" s="42" t="s">
        <v>238</v>
      </c>
      <c r="B362" s="42" t="s">
        <v>577</v>
      </c>
      <c r="C362" s="42" t="s">
        <v>6103</v>
      </c>
      <c r="D362" s="43" t="s">
        <v>229</v>
      </c>
      <c r="E362" s="43" t="s">
        <v>92</v>
      </c>
      <c r="F362" s="42" t="s">
        <v>11469</v>
      </c>
      <c r="G362" t="s">
        <v>13197</v>
      </c>
    </row>
    <row r="363" spans="1:7" x14ac:dyDescent="0.3">
      <c r="A363" s="42" t="s">
        <v>238</v>
      </c>
      <c r="B363" s="42" t="s">
        <v>578</v>
      </c>
      <c r="C363" s="42" t="s">
        <v>6104</v>
      </c>
      <c r="D363" s="43" t="s">
        <v>229</v>
      </c>
      <c r="E363" s="43" t="s">
        <v>92</v>
      </c>
      <c r="F363" s="42" t="s">
        <v>11469</v>
      </c>
      <c r="G363" t="s">
        <v>13197</v>
      </c>
    </row>
    <row r="364" spans="1:7" x14ac:dyDescent="0.3">
      <c r="A364" s="42" t="s">
        <v>238</v>
      </c>
      <c r="B364" s="42" t="s">
        <v>579</v>
      </c>
      <c r="C364" s="42" t="s">
        <v>6105</v>
      </c>
      <c r="D364" s="43" t="s">
        <v>229</v>
      </c>
      <c r="E364" s="43" t="s">
        <v>92</v>
      </c>
      <c r="F364" s="42" t="s">
        <v>11469</v>
      </c>
      <c r="G364" t="s">
        <v>13197</v>
      </c>
    </row>
    <row r="365" spans="1:7" x14ac:dyDescent="0.3">
      <c r="A365" s="42" t="s">
        <v>238</v>
      </c>
      <c r="B365" s="42" t="s">
        <v>580</v>
      </c>
      <c r="C365" s="42" t="s">
        <v>6106</v>
      </c>
      <c r="D365" s="43" t="s">
        <v>229</v>
      </c>
      <c r="E365" s="43" t="s">
        <v>92</v>
      </c>
      <c r="F365" s="42" t="s">
        <v>11469</v>
      </c>
      <c r="G365" t="s">
        <v>13197</v>
      </c>
    </row>
    <row r="366" spans="1:7" x14ac:dyDescent="0.3">
      <c r="A366" s="42" t="s">
        <v>238</v>
      </c>
      <c r="B366" s="42" t="s">
        <v>581</v>
      </c>
      <c r="C366" s="42" t="s">
        <v>6107</v>
      </c>
      <c r="D366" s="43" t="s">
        <v>229</v>
      </c>
      <c r="E366" s="43" t="s">
        <v>92</v>
      </c>
      <c r="F366" s="42" t="s">
        <v>192</v>
      </c>
      <c r="G366" t="s">
        <v>13197</v>
      </c>
    </row>
    <row r="367" spans="1:7" x14ac:dyDescent="0.3">
      <c r="A367" s="42" t="s">
        <v>238</v>
      </c>
      <c r="B367" s="42" t="s">
        <v>582</v>
      </c>
      <c r="C367" s="42" t="s">
        <v>6108</v>
      </c>
      <c r="D367" s="43" t="s">
        <v>229</v>
      </c>
      <c r="E367" s="43" t="s">
        <v>92</v>
      </c>
      <c r="F367" s="42" t="s">
        <v>11469</v>
      </c>
      <c r="G367" t="s">
        <v>13197</v>
      </c>
    </row>
    <row r="368" spans="1:7" x14ac:dyDescent="0.3">
      <c r="A368" s="42" t="s">
        <v>238</v>
      </c>
      <c r="B368" s="42" t="s">
        <v>583</v>
      </c>
      <c r="C368" s="42" t="s">
        <v>6109</v>
      </c>
      <c r="D368" s="43" t="s">
        <v>229</v>
      </c>
      <c r="E368" s="43" t="s">
        <v>92</v>
      </c>
      <c r="F368" s="42" t="s">
        <v>11469</v>
      </c>
      <c r="G368" t="s">
        <v>13197</v>
      </c>
    </row>
    <row r="369" spans="1:7" x14ac:dyDescent="0.3">
      <c r="A369" s="42" t="s">
        <v>238</v>
      </c>
      <c r="B369" s="42" t="s">
        <v>584</v>
      </c>
      <c r="C369" s="42" t="s">
        <v>6110</v>
      </c>
      <c r="D369" s="43" t="s">
        <v>229</v>
      </c>
      <c r="E369" s="43" t="s">
        <v>92</v>
      </c>
      <c r="F369" s="42" t="s">
        <v>192</v>
      </c>
      <c r="G369" t="s">
        <v>13196</v>
      </c>
    </row>
    <row r="370" spans="1:7" x14ac:dyDescent="0.3">
      <c r="A370" s="42" t="s">
        <v>238</v>
      </c>
      <c r="B370" s="42" t="s">
        <v>585</v>
      </c>
      <c r="C370" s="42" t="s">
        <v>6111</v>
      </c>
      <c r="D370" s="43" t="s">
        <v>229</v>
      </c>
      <c r="E370" s="43" t="s">
        <v>92</v>
      </c>
      <c r="F370" s="42" t="s">
        <v>11469</v>
      </c>
      <c r="G370" t="s">
        <v>13197</v>
      </c>
    </row>
    <row r="371" spans="1:7" x14ac:dyDescent="0.3">
      <c r="A371" s="42" t="s">
        <v>238</v>
      </c>
      <c r="B371" s="42" t="s">
        <v>586</v>
      </c>
      <c r="C371" s="42" t="s">
        <v>6112</v>
      </c>
      <c r="D371" s="43" t="s">
        <v>229</v>
      </c>
      <c r="E371" s="43" t="s">
        <v>92</v>
      </c>
      <c r="F371" s="42" t="s">
        <v>11469</v>
      </c>
      <c r="G371" t="s">
        <v>13197</v>
      </c>
    </row>
    <row r="372" spans="1:7" x14ac:dyDescent="0.3">
      <c r="A372" s="42" t="s">
        <v>238</v>
      </c>
      <c r="B372" s="42" t="s">
        <v>587</v>
      </c>
      <c r="C372" s="42" t="s">
        <v>6113</v>
      </c>
      <c r="D372" s="43" t="s">
        <v>229</v>
      </c>
      <c r="E372" s="43" t="s">
        <v>92</v>
      </c>
      <c r="F372" s="42" t="s">
        <v>192</v>
      </c>
      <c r="G372" t="s">
        <v>13196</v>
      </c>
    </row>
    <row r="373" spans="1:7" x14ac:dyDescent="0.3">
      <c r="A373" s="42" t="s">
        <v>238</v>
      </c>
      <c r="B373" s="42" t="s">
        <v>588</v>
      </c>
      <c r="C373" s="42" t="s">
        <v>6114</v>
      </c>
      <c r="D373" s="43" t="s">
        <v>229</v>
      </c>
      <c r="E373" s="43" t="s">
        <v>92</v>
      </c>
      <c r="F373" s="42" t="s">
        <v>11469</v>
      </c>
      <c r="G373" t="s">
        <v>13197</v>
      </c>
    </row>
    <row r="374" spans="1:7" x14ac:dyDescent="0.3">
      <c r="A374" s="42" t="s">
        <v>238</v>
      </c>
      <c r="B374" s="42" t="s">
        <v>589</v>
      </c>
      <c r="C374" s="42" t="s">
        <v>6115</v>
      </c>
      <c r="D374" s="43" t="s">
        <v>229</v>
      </c>
      <c r="E374" s="43" t="s">
        <v>92</v>
      </c>
      <c r="F374" s="42" t="s">
        <v>11469</v>
      </c>
      <c r="G374" t="s">
        <v>13197</v>
      </c>
    </row>
    <row r="375" spans="1:7" x14ac:dyDescent="0.3">
      <c r="A375" s="42" t="s">
        <v>238</v>
      </c>
      <c r="B375" s="42" t="s">
        <v>590</v>
      </c>
      <c r="C375" s="42" t="s">
        <v>6116</v>
      </c>
      <c r="D375" s="43" t="s">
        <v>229</v>
      </c>
      <c r="E375" s="43" t="s">
        <v>92</v>
      </c>
      <c r="F375" s="42" t="s">
        <v>11469</v>
      </c>
      <c r="G375" t="s">
        <v>13197</v>
      </c>
    </row>
    <row r="376" spans="1:7" x14ac:dyDescent="0.3">
      <c r="A376" s="42" t="s">
        <v>238</v>
      </c>
      <c r="B376" s="42" t="s">
        <v>591</v>
      </c>
      <c r="C376" s="42" t="s">
        <v>6117</v>
      </c>
      <c r="D376" s="43" t="s">
        <v>229</v>
      </c>
      <c r="E376" s="43" t="s">
        <v>92</v>
      </c>
      <c r="F376" s="42" t="s">
        <v>11469</v>
      </c>
      <c r="G376" t="s">
        <v>13198</v>
      </c>
    </row>
    <row r="377" spans="1:7" x14ac:dyDescent="0.3">
      <c r="A377" s="42" t="s">
        <v>238</v>
      </c>
      <c r="B377" s="42" t="s">
        <v>592</v>
      </c>
      <c r="C377" s="42" t="s">
        <v>6118</v>
      </c>
      <c r="D377" s="43" t="s">
        <v>229</v>
      </c>
      <c r="E377" s="43" t="s">
        <v>92</v>
      </c>
      <c r="F377" s="42" t="s">
        <v>11469</v>
      </c>
      <c r="G377" t="s">
        <v>13197</v>
      </c>
    </row>
    <row r="378" spans="1:7" x14ac:dyDescent="0.3">
      <c r="A378" s="42" t="s">
        <v>238</v>
      </c>
      <c r="B378" s="42" t="s">
        <v>593</v>
      </c>
      <c r="C378" s="42" t="s">
        <v>6119</v>
      </c>
      <c r="D378" s="43" t="s">
        <v>229</v>
      </c>
      <c r="E378" s="43" t="s">
        <v>92</v>
      </c>
      <c r="F378" s="42" t="s">
        <v>11469</v>
      </c>
      <c r="G378" t="s">
        <v>13197</v>
      </c>
    </row>
    <row r="379" spans="1:7" x14ac:dyDescent="0.3">
      <c r="A379" s="42" t="s">
        <v>238</v>
      </c>
      <c r="B379" s="42" t="s">
        <v>594</v>
      </c>
      <c r="C379" s="42" t="s">
        <v>6120</v>
      </c>
      <c r="D379" s="43" t="s">
        <v>229</v>
      </c>
      <c r="E379" s="43" t="s">
        <v>92</v>
      </c>
      <c r="F379" s="42" t="s">
        <v>11469</v>
      </c>
      <c r="G379" t="s">
        <v>13197</v>
      </c>
    </row>
    <row r="380" spans="1:7" x14ac:dyDescent="0.3">
      <c r="A380" s="42" t="s">
        <v>238</v>
      </c>
      <c r="B380" s="42" t="s">
        <v>595</v>
      </c>
      <c r="C380" s="42" t="s">
        <v>6121</v>
      </c>
      <c r="D380" s="43" t="s">
        <v>229</v>
      </c>
      <c r="E380" s="43" t="s">
        <v>92</v>
      </c>
      <c r="F380" s="42" t="s">
        <v>11469</v>
      </c>
      <c r="G380" t="s">
        <v>13197</v>
      </c>
    </row>
    <row r="381" spans="1:7" x14ac:dyDescent="0.3">
      <c r="A381" s="42" t="s">
        <v>238</v>
      </c>
      <c r="B381" s="42" t="s">
        <v>596</v>
      </c>
      <c r="C381" s="42" t="s">
        <v>6122</v>
      </c>
      <c r="D381" s="43" t="s">
        <v>229</v>
      </c>
      <c r="E381" s="43" t="s">
        <v>92</v>
      </c>
      <c r="F381" s="42" t="s">
        <v>11469</v>
      </c>
      <c r="G381" t="s">
        <v>13197</v>
      </c>
    </row>
    <row r="382" spans="1:7" x14ac:dyDescent="0.3">
      <c r="A382" s="42" t="s">
        <v>238</v>
      </c>
      <c r="B382" s="42" t="s">
        <v>597</v>
      </c>
      <c r="C382" s="42" t="s">
        <v>6123</v>
      </c>
      <c r="D382" s="43" t="s">
        <v>229</v>
      </c>
      <c r="E382" s="43" t="s">
        <v>92</v>
      </c>
      <c r="F382" s="42" t="s">
        <v>11469</v>
      </c>
      <c r="G382" t="s">
        <v>13197</v>
      </c>
    </row>
    <row r="383" spans="1:7" x14ac:dyDescent="0.3">
      <c r="A383" s="42" t="s">
        <v>238</v>
      </c>
      <c r="B383" s="42" t="s">
        <v>598</v>
      </c>
      <c r="C383" s="42" t="s">
        <v>6124</v>
      </c>
      <c r="D383" s="43" t="s">
        <v>229</v>
      </c>
      <c r="E383" s="43" t="s">
        <v>92</v>
      </c>
      <c r="F383" s="42" t="s">
        <v>11469</v>
      </c>
      <c r="G383" t="s">
        <v>13197</v>
      </c>
    </row>
    <row r="384" spans="1:7" x14ac:dyDescent="0.3">
      <c r="A384" s="42" t="s">
        <v>238</v>
      </c>
      <c r="B384" s="42" t="s">
        <v>599</v>
      </c>
      <c r="C384" s="42" t="s">
        <v>6125</v>
      </c>
      <c r="D384" s="43" t="s">
        <v>229</v>
      </c>
      <c r="E384" s="43" t="s">
        <v>92</v>
      </c>
      <c r="F384" s="42" t="s">
        <v>11469</v>
      </c>
      <c r="G384" t="s">
        <v>13197</v>
      </c>
    </row>
    <row r="385" spans="1:7" x14ac:dyDescent="0.3">
      <c r="A385" s="42" t="s">
        <v>238</v>
      </c>
      <c r="B385" s="42" t="s">
        <v>600</v>
      </c>
      <c r="C385" s="42" t="s">
        <v>6126</v>
      </c>
      <c r="D385" s="43" t="s">
        <v>229</v>
      </c>
      <c r="E385" s="43" t="s">
        <v>92</v>
      </c>
      <c r="F385" s="42" t="s">
        <v>11469</v>
      </c>
      <c r="G385" t="s">
        <v>13197</v>
      </c>
    </row>
    <row r="386" spans="1:7" x14ac:dyDescent="0.3">
      <c r="A386" s="42" t="s">
        <v>238</v>
      </c>
      <c r="B386" s="42" t="s">
        <v>601</v>
      </c>
      <c r="C386" s="42" t="s">
        <v>6127</v>
      </c>
      <c r="D386" s="43" t="s">
        <v>229</v>
      </c>
      <c r="E386" s="43" t="s">
        <v>92</v>
      </c>
      <c r="F386" s="42" t="s">
        <v>11469</v>
      </c>
      <c r="G386" t="s">
        <v>13197</v>
      </c>
    </row>
    <row r="387" spans="1:7" x14ac:dyDescent="0.3">
      <c r="A387" s="42" t="s">
        <v>238</v>
      </c>
      <c r="B387" s="42" t="s">
        <v>602</v>
      </c>
      <c r="C387" s="42" t="s">
        <v>6128</v>
      </c>
      <c r="D387" s="43" t="s">
        <v>229</v>
      </c>
      <c r="E387" s="43" t="s">
        <v>92</v>
      </c>
      <c r="F387" s="42" t="s">
        <v>11469</v>
      </c>
      <c r="G387" t="s">
        <v>13197</v>
      </c>
    </row>
    <row r="388" spans="1:7" x14ac:dyDescent="0.3">
      <c r="A388" s="42" t="s">
        <v>238</v>
      </c>
      <c r="B388" s="42" t="s">
        <v>603</v>
      </c>
      <c r="C388" s="42" t="s">
        <v>6129</v>
      </c>
      <c r="D388" s="43" t="s">
        <v>229</v>
      </c>
      <c r="E388" s="43" t="s">
        <v>92</v>
      </c>
      <c r="F388" s="42" t="s">
        <v>11469</v>
      </c>
      <c r="G388" t="s">
        <v>13197</v>
      </c>
    </row>
    <row r="389" spans="1:7" x14ac:dyDescent="0.3">
      <c r="A389" s="42" t="s">
        <v>238</v>
      </c>
      <c r="B389" s="42" t="s">
        <v>604</v>
      </c>
      <c r="C389" s="42" t="s">
        <v>6130</v>
      </c>
      <c r="D389" s="43" t="s">
        <v>229</v>
      </c>
      <c r="E389" s="43" t="s">
        <v>92</v>
      </c>
      <c r="F389" s="42" t="s">
        <v>11469</v>
      </c>
      <c r="G389" t="s">
        <v>13197</v>
      </c>
    </row>
    <row r="390" spans="1:7" x14ac:dyDescent="0.3">
      <c r="A390" s="42" t="s">
        <v>238</v>
      </c>
      <c r="B390" s="42" t="s">
        <v>605</v>
      </c>
      <c r="C390" s="42" t="s">
        <v>6131</v>
      </c>
      <c r="D390" s="43" t="s">
        <v>229</v>
      </c>
      <c r="E390" s="43" t="s">
        <v>92</v>
      </c>
      <c r="F390" s="42" t="s">
        <v>11469</v>
      </c>
      <c r="G390" t="s">
        <v>13197</v>
      </c>
    </row>
    <row r="391" spans="1:7" x14ac:dyDescent="0.3">
      <c r="A391" s="42" t="s">
        <v>238</v>
      </c>
      <c r="B391" s="42" t="s">
        <v>606</v>
      </c>
      <c r="C391" s="42" t="s">
        <v>6132</v>
      </c>
      <c r="D391" s="43" t="s">
        <v>229</v>
      </c>
      <c r="E391" s="43" t="s">
        <v>92</v>
      </c>
      <c r="F391" s="42" t="s">
        <v>11469</v>
      </c>
      <c r="G391" t="s">
        <v>13197</v>
      </c>
    </row>
    <row r="392" spans="1:7" x14ac:dyDescent="0.3">
      <c r="A392" s="42" t="s">
        <v>238</v>
      </c>
      <c r="B392" s="42" t="s">
        <v>607</v>
      </c>
      <c r="C392" s="42" t="s">
        <v>6133</v>
      </c>
      <c r="D392" s="43" t="s">
        <v>229</v>
      </c>
      <c r="E392" s="43" t="s">
        <v>92</v>
      </c>
      <c r="F392" s="42" t="s">
        <v>11469</v>
      </c>
      <c r="G392" t="s">
        <v>13197</v>
      </c>
    </row>
    <row r="393" spans="1:7" x14ac:dyDescent="0.3">
      <c r="A393" s="42" t="s">
        <v>238</v>
      </c>
      <c r="B393" s="42" t="s">
        <v>608</v>
      </c>
      <c r="C393" s="42" t="s">
        <v>6134</v>
      </c>
      <c r="D393" s="43" t="s">
        <v>229</v>
      </c>
      <c r="E393" s="43" t="s">
        <v>92</v>
      </c>
      <c r="F393" s="42" t="s">
        <v>11469</v>
      </c>
      <c r="G393" t="s">
        <v>13197</v>
      </c>
    </row>
    <row r="394" spans="1:7" x14ac:dyDescent="0.3">
      <c r="A394" s="42" t="s">
        <v>238</v>
      </c>
      <c r="B394" s="42" t="s">
        <v>609</v>
      </c>
      <c r="C394" s="42" t="s">
        <v>6135</v>
      </c>
      <c r="D394" s="43" t="s">
        <v>229</v>
      </c>
      <c r="E394" s="43" t="s">
        <v>92</v>
      </c>
      <c r="F394" s="42" t="s">
        <v>11469</v>
      </c>
      <c r="G394" t="s">
        <v>13197</v>
      </c>
    </row>
    <row r="395" spans="1:7" x14ac:dyDescent="0.3">
      <c r="A395" s="42" t="s">
        <v>238</v>
      </c>
      <c r="B395" s="42" t="s">
        <v>610</v>
      </c>
      <c r="C395" s="42" t="s">
        <v>6136</v>
      </c>
      <c r="D395" s="43" t="s">
        <v>229</v>
      </c>
      <c r="E395" s="43" t="s">
        <v>92</v>
      </c>
      <c r="F395" s="42" t="s">
        <v>11469</v>
      </c>
      <c r="G395" t="s">
        <v>13197</v>
      </c>
    </row>
    <row r="396" spans="1:7" x14ac:dyDescent="0.3">
      <c r="A396" s="42" t="s">
        <v>238</v>
      </c>
      <c r="B396" s="42" t="s">
        <v>611</v>
      </c>
      <c r="C396" s="42" t="s">
        <v>6137</v>
      </c>
      <c r="D396" s="43" t="s">
        <v>229</v>
      </c>
      <c r="E396" s="43" t="s">
        <v>92</v>
      </c>
      <c r="F396" s="42" t="s">
        <v>11469</v>
      </c>
      <c r="G396" t="s">
        <v>13197</v>
      </c>
    </row>
    <row r="397" spans="1:7" x14ac:dyDescent="0.3">
      <c r="A397" s="42" t="s">
        <v>238</v>
      </c>
      <c r="B397" s="42" t="s">
        <v>612</v>
      </c>
      <c r="C397" s="42" t="s">
        <v>6138</v>
      </c>
      <c r="D397" s="43" t="s">
        <v>229</v>
      </c>
      <c r="E397" s="43" t="s">
        <v>92</v>
      </c>
      <c r="F397" s="42" t="s">
        <v>11469</v>
      </c>
      <c r="G397" t="s">
        <v>13197</v>
      </c>
    </row>
    <row r="398" spans="1:7" x14ac:dyDescent="0.3">
      <c r="A398" s="42" t="s">
        <v>238</v>
      </c>
      <c r="B398" s="42" t="s">
        <v>613</v>
      </c>
      <c r="C398" s="42" t="s">
        <v>6139</v>
      </c>
      <c r="D398" s="43" t="s">
        <v>229</v>
      </c>
      <c r="E398" s="43" t="s">
        <v>92</v>
      </c>
      <c r="F398" s="42" t="s">
        <v>11469</v>
      </c>
      <c r="G398" t="s">
        <v>13197</v>
      </c>
    </row>
    <row r="399" spans="1:7" x14ac:dyDescent="0.3">
      <c r="A399" s="42" t="s">
        <v>238</v>
      </c>
      <c r="B399" s="42" t="s">
        <v>614</v>
      </c>
      <c r="C399" s="42" t="s">
        <v>6140</v>
      </c>
      <c r="D399" s="43" t="s">
        <v>229</v>
      </c>
      <c r="E399" s="43" t="s">
        <v>92</v>
      </c>
      <c r="F399" s="42" t="s">
        <v>11469</v>
      </c>
      <c r="G399" t="s">
        <v>13197</v>
      </c>
    </row>
    <row r="400" spans="1:7" x14ac:dyDescent="0.3">
      <c r="A400" s="42" t="s">
        <v>238</v>
      </c>
      <c r="B400" s="42" t="s">
        <v>615</v>
      </c>
      <c r="C400" s="42" t="s">
        <v>6141</v>
      </c>
      <c r="D400" s="43" t="s">
        <v>229</v>
      </c>
      <c r="E400" s="43" t="s">
        <v>92</v>
      </c>
      <c r="F400" s="42" t="s">
        <v>11469</v>
      </c>
      <c r="G400" t="s">
        <v>13197</v>
      </c>
    </row>
    <row r="401" spans="1:7" x14ac:dyDescent="0.3">
      <c r="A401" s="42" t="s">
        <v>238</v>
      </c>
      <c r="B401" s="42" t="s">
        <v>616</v>
      </c>
      <c r="C401" s="42" t="s">
        <v>6142</v>
      </c>
      <c r="D401" s="43" t="s">
        <v>229</v>
      </c>
      <c r="E401" s="43" t="s">
        <v>92</v>
      </c>
      <c r="F401" s="42" t="s">
        <v>192</v>
      </c>
      <c r="G401" t="s">
        <v>13196</v>
      </c>
    </row>
    <row r="402" spans="1:7" x14ac:dyDescent="0.3">
      <c r="A402" s="42" t="s">
        <v>238</v>
      </c>
      <c r="B402" s="42" t="s">
        <v>617</v>
      </c>
      <c r="C402" s="42" t="s">
        <v>6143</v>
      </c>
      <c r="D402" s="43" t="s">
        <v>229</v>
      </c>
      <c r="E402" s="43" t="s">
        <v>92</v>
      </c>
      <c r="F402" s="42" t="s">
        <v>11469</v>
      </c>
      <c r="G402" t="s">
        <v>13197</v>
      </c>
    </row>
    <row r="403" spans="1:7" x14ac:dyDescent="0.3">
      <c r="A403" s="42" t="s">
        <v>238</v>
      </c>
      <c r="B403" s="42" t="s">
        <v>618</v>
      </c>
      <c r="C403" s="42" t="s">
        <v>6144</v>
      </c>
      <c r="D403" s="43" t="s">
        <v>229</v>
      </c>
      <c r="E403" s="43" t="s">
        <v>92</v>
      </c>
      <c r="F403" s="42" t="s">
        <v>11469</v>
      </c>
      <c r="G403" t="s">
        <v>13197</v>
      </c>
    </row>
    <row r="404" spans="1:7" x14ac:dyDescent="0.3">
      <c r="A404" s="42" t="s">
        <v>238</v>
      </c>
      <c r="B404" s="42" t="s">
        <v>619</v>
      </c>
      <c r="C404" s="42" t="s">
        <v>6145</v>
      </c>
      <c r="D404" s="43" t="s">
        <v>229</v>
      </c>
      <c r="E404" s="43" t="s">
        <v>92</v>
      </c>
      <c r="F404" s="42" t="s">
        <v>11469</v>
      </c>
      <c r="G404" t="s">
        <v>13197</v>
      </c>
    </row>
    <row r="405" spans="1:7" x14ac:dyDescent="0.3">
      <c r="A405" s="42" t="s">
        <v>238</v>
      </c>
      <c r="B405" s="42" t="s">
        <v>620</v>
      </c>
      <c r="C405" s="42" t="s">
        <v>6146</v>
      </c>
      <c r="D405" s="43" t="s">
        <v>229</v>
      </c>
      <c r="E405" s="43" t="s">
        <v>92</v>
      </c>
      <c r="F405" s="42" t="s">
        <v>11469</v>
      </c>
      <c r="G405" t="s">
        <v>13197</v>
      </c>
    </row>
    <row r="406" spans="1:7" x14ac:dyDescent="0.3">
      <c r="A406" s="42" t="s">
        <v>238</v>
      </c>
      <c r="B406" s="42" t="s">
        <v>621</v>
      </c>
      <c r="C406" s="42" t="s">
        <v>6147</v>
      </c>
      <c r="D406" s="43" t="s">
        <v>229</v>
      </c>
      <c r="E406" s="43" t="s">
        <v>92</v>
      </c>
      <c r="F406" s="42" t="s">
        <v>11469</v>
      </c>
      <c r="G406" t="s">
        <v>13197</v>
      </c>
    </row>
    <row r="407" spans="1:7" x14ac:dyDescent="0.3">
      <c r="A407" s="42" t="s">
        <v>238</v>
      </c>
      <c r="B407" s="42" t="s">
        <v>622</v>
      </c>
      <c r="C407" s="42" t="s">
        <v>6148</v>
      </c>
      <c r="D407" s="43" t="s">
        <v>229</v>
      </c>
      <c r="E407" s="43" t="s">
        <v>92</v>
      </c>
      <c r="F407" s="42" t="s">
        <v>11469</v>
      </c>
      <c r="G407" t="s">
        <v>13197</v>
      </c>
    </row>
    <row r="408" spans="1:7" x14ac:dyDescent="0.3">
      <c r="A408" s="42" t="s">
        <v>238</v>
      </c>
      <c r="B408" s="42" t="s">
        <v>623</v>
      </c>
      <c r="C408" s="42" t="s">
        <v>6149</v>
      </c>
      <c r="D408" s="43" t="s">
        <v>229</v>
      </c>
      <c r="E408" s="43" t="s">
        <v>92</v>
      </c>
      <c r="F408" s="42" t="s">
        <v>11469</v>
      </c>
      <c r="G408" t="s">
        <v>13197</v>
      </c>
    </row>
    <row r="409" spans="1:7" x14ac:dyDescent="0.3">
      <c r="A409" s="42" t="s">
        <v>238</v>
      </c>
      <c r="B409" s="42" t="s">
        <v>624</v>
      </c>
      <c r="C409" s="42" t="s">
        <v>6150</v>
      </c>
      <c r="D409" s="43" t="s">
        <v>229</v>
      </c>
      <c r="E409" s="43" t="s">
        <v>92</v>
      </c>
      <c r="F409" s="42" t="s">
        <v>11469</v>
      </c>
      <c r="G409" t="s">
        <v>13197</v>
      </c>
    </row>
    <row r="410" spans="1:7" x14ac:dyDescent="0.3">
      <c r="A410" s="42" t="s">
        <v>238</v>
      </c>
      <c r="B410" s="42" t="s">
        <v>625</v>
      </c>
      <c r="C410" s="42" t="s">
        <v>6151</v>
      </c>
      <c r="D410" s="43" t="s">
        <v>229</v>
      </c>
      <c r="E410" s="43" t="s">
        <v>92</v>
      </c>
      <c r="F410" s="42" t="s">
        <v>11469</v>
      </c>
      <c r="G410" t="s">
        <v>13197</v>
      </c>
    </row>
    <row r="411" spans="1:7" x14ac:dyDescent="0.3">
      <c r="A411" s="42" t="s">
        <v>238</v>
      </c>
      <c r="B411" s="42" t="s">
        <v>626</v>
      </c>
      <c r="C411" s="42" t="s">
        <v>6152</v>
      </c>
      <c r="D411" s="43" t="s">
        <v>229</v>
      </c>
      <c r="E411" s="43" t="s">
        <v>92</v>
      </c>
      <c r="F411" s="42" t="s">
        <v>11469</v>
      </c>
      <c r="G411" t="s">
        <v>13197</v>
      </c>
    </row>
    <row r="412" spans="1:7" x14ac:dyDescent="0.3">
      <c r="A412" s="42" t="s">
        <v>238</v>
      </c>
      <c r="B412" s="42" t="s">
        <v>627</v>
      </c>
      <c r="C412" s="42" t="s">
        <v>6153</v>
      </c>
      <c r="D412" s="43" t="s">
        <v>229</v>
      </c>
      <c r="E412" s="43" t="s">
        <v>92</v>
      </c>
      <c r="F412" s="42" t="s">
        <v>11469</v>
      </c>
      <c r="G412" t="s">
        <v>13197</v>
      </c>
    </row>
    <row r="413" spans="1:7" x14ac:dyDescent="0.3">
      <c r="A413" s="42" t="s">
        <v>238</v>
      </c>
      <c r="B413" s="42" t="s">
        <v>628</v>
      </c>
      <c r="C413" s="42" t="s">
        <v>6154</v>
      </c>
      <c r="D413" s="43" t="s">
        <v>229</v>
      </c>
      <c r="E413" s="43" t="s">
        <v>92</v>
      </c>
      <c r="F413" s="42" t="s">
        <v>11469</v>
      </c>
      <c r="G413" t="s">
        <v>13197</v>
      </c>
    </row>
    <row r="414" spans="1:7" x14ac:dyDescent="0.3">
      <c r="A414" s="42" t="s">
        <v>238</v>
      </c>
      <c r="B414" s="42" t="s">
        <v>629</v>
      </c>
      <c r="C414" s="42" t="s">
        <v>6155</v>
      </c>
      <c r="D414" s="43" t="s">
        <v>229</v>
      </c>
      <c r="E414" s="43" t="s">
        <v>92</v>
      </c>
      <c r="F414" s="42" t="s">
        <v>192</v>
      </c>
      <c r="G414" t="s">
        <v>13196</v>
      </c>
    </row>
    <row r="415" spans="1:7" x14ac:dyDescent="0.3">
      <c r="A415" s="42" t="s">
        <v>238</v>
      </c>
      <c r="B415" s="42" t="s">
        <v>630</v>
      </c>
      <c r="C415" s="42" t="s">
        <v>6156</v>
      </c>
      <c r="D415" s="43" t="s">
        <v>229</v>
      </c>
      <c r="E415" s="43" t="s">
        <v>92</v>
      </c>
      <c r="F415" s="42" t="s">
        <v>11469</v>
      </c>
      <c r="G415" t="s">
        <v>13197</v>
      </c>
    </row>
    <row r="416" spans="1:7" x14ac:dyDescent="0.3">
      <c r="A416" s="42" t="s">
        <v>238</v>
      </c>
      <c r="B416" s="42" t="s">
        <v>631</v>
      </c>
      <c r="C416" s="42" t="s">
        <v>6157</v>
      </c>
      <c r="D416" s="43" t="s">
        <v>229</v>
      </c>
      <c r="E416" s="43" t="s">
        <v>92</v>
      </c>
      <c r="F416" s="42" t="s">
        <v>11469</v>
      </c>
      <c r="G416" t="s">
        <v>13197</v>
      </c>
    </row>
    <row r="417" spans="1:7" x14ac:dyDescent="0.3">
      <c r="A417" s="42" t="s">
        <v>238</v>
      </c>
      <c r="B417" s="42" t="s">
        <v>632</v>
      </c>
      <c r="C417" s="42" t="s">
        <v>6158</v>
      </c>
      <c r="D417" s="43" t="s">
        <v>229</v>
      </c>
      <c r="E417" s="43" t="s">
        <v>92</v>
      </c>
      <c r="F417" s="42" t="s">
        <v>11469</v>
      </c>
      <c r="G417" t="s">
        <v>13197</v>
      </c>
    </row>
    <row r="418" spans="1:7" x14ac:dyDescent="0.3">
      <c r="A418" s="42" t="s">
        <v>238</v>
      </c>
      <c r="B418" s="42" t="s">
        <v>633</v>
      </c>
      <c r="C418" s="42" t="s">
        <v>6159</v>
      </c>
      <c r="D418" s="43" t="s">
        <v>229</v>
      </c>
      <c r="E418" s="43" t="s">
        <v>92</v>
      </c>
      <c r="F418" s="42" t="s">
        <v>11469</v>
      </c>
      <c r="G418" t="s">
        <v>13197</v>
      </c>
    </row>
    <row r="419" spans="1:7" x14ac:dyDescent="0.3">
      <c r="A419" s="42" t="s">
        <v>238</v>
      </c>
      <c r="B419" s="42" t="s">
        <v>634</v>
      </c>
      <c r="C419" s="42" t="s">
        <v>6160</v>
      </c>
      <c r="D419" s="43" t="s">
        <v>229</v>
      </c>
      <c r="E419" s="43" t="s">
        <v>92</v>
      </c>
      <c r="F419" s="42" t="s">
        <v>11469</v>
      </c>
      <c r="G419" t="s">
        <v>13197</v>
      </c>
    </row>
    <row r="420" spans="1:7" x14ac:dyDescent="0.3">
      <c r="A420" s="42" t="s">
        <v>238</v>
      </c>
      <c r="B420" s="42" t="s">
        <v>635</v>
      </c>
      <c r="C420" s="42" t="s">
        <v>6161</v>
      </c>
      <c r="D420" s="43" t="s">
        <v>229</v>
      </c>
      <c r="E420" s="43" t="s">
        <v>92</v>
      </c>
      <c r="F420" s="42" t="s">
        <v>11469</v>
      </c>
      <c r="G420" t="s">
        <v>13197</v>
      </c>
    </row>
    <row r="421" spans="1:7" x14ac:dyDescent="0.3">
      <c r="A421" s="42" t="s">
        <v>238</v>
      </c>
      <c r="B421" s="42" t="s">
        <v>636</v>
      </c>
      <c r="C421" s="42" t="s">
        <v>6162</v>
      </c>
      <c r="D421" s="43" t="s">
        <v>229</v>
      </c>
      <c r="E421" s="43" t="s">
        <v>92</v>
      </c>
      <c r="F421" s="42" t="s">
        <v>11469</v>
      </c>
      <c r="G421" t="s">
        <v>13197</v>
      </c>
    </row>
    <row r="422" spans="1:7" x14ac:dyDescent="0.3">
      <c r="A422" s="42" t="s">
        <v>238</v>
      </c>
      <c r="B422" s="42" t="s">
        <v>637</v>
      </c>
      <c r="C422" s="42" t="s">
        <v>6163</v>
      </c>
      <c r="D422" s="43" t="s">
        <v>229</v>
      </c>
      <c r="E422" s="43" t="s">
        <v>92</v>
      </c>
      <c r="F422" s="42" t="s">
        <v>11469</v>
      </c>
      <c r="G422" t="s">
        <v>13197</v>
      </c>
    </row>
    <row r="423" spans="1:7" x14ac:dyDescent="0.3">
      <c r="A423" s="42" t="s">
        <v>238</v>
      </c>
      <c r="B423" s="42" t="s">
        <v>638</v>
      </c>
      <c r="C423" s="42" t="s">
        <v>6164</v>
      </c>
      <c r="D423" s="43" t="s">
        <v>229</v>
      </c>
      <c r="E423" s="43" t="s">
        <v>92</v>
      </c>
      <c r="F423" s="42" t="s">
        <v>11469</v>
      </c>
      <c r="G423" t="s">
        <v>13197</v>
      </c>
    </row>
    <row r="424" spans="1:7" x14ac:dyDescent="0.3">
      <c r="A424" s="42" t="s">
        <v>238</v>
      </c>
      <c r="B424" s="42" t="s">
        <v>639</v>
      </c>
      <c r="C424" s="42" t="s">
        <v>6165</v>
      </c>
      <c r="D424" s="43" t="s">
        <v>229</v>
      </c>
      <c r="E424" s="43" t="s">
        <v>92</v>
      </c>
      <c r="F424" s="42" t="s">
        <v>11469</v>
      </c>
      <c r="G424" t="s">
        <v>13197</v>
      </c>
    </row>
    <row r="425" spans="1:7" x14ac:dyDescent="0.3">
      <c r="A425" s="42" t="s">
        <v>238</v>
      </c>
      <c r="B425" s="42" t="s">
        <v>640</v>
      </c>
      <c r="C425" s="42" t="s">
        <v>6166</v>
      </c>
      <c r="D425" s="43" t="s">
        <v>229</v>
      </c>
      <c r="E425" s="43" t="s">
        <v>92</v>
      </c>
      <c r="F425" s="42" t="s">
        <v>11469</v>
      </c>
      <c r="G425" t="s">
        <v>13197</v>
      </c>
    </row>
    <row r="426" spans="1:7" x14ac:dyDescent="0.3">
      <c r="A426" s="42" t="s">
        <v>238</v>
      </c>
      <c r="B426" s="42" t="s">
        <v>641</v>
      </c>
      <c r="C426" s="42" t="s">
        <v>6167</v>
      </c>
      <c r="D426" s="43" t="s">
        <v>229</v>
      </c>
      <c r="E426" s="43" t="s">
        <v>92</v>
      </c>
      <c r="F426" s="42" t="s">
        <v>11469</v>
      </c>
      <c r="G426" t="s">
        <v>13197</v>
      </c>
    </row>
    <row r="427" spans="1:7" x14ac:dyDescent="0.3">
      <c r="A427" s="42" t="s">
        <v>238</v>
      </c>
      <c r="B427" s="42" t="s">
        <v>642</v>
      </c>
      <c r="C427" s="42" t="s">
        <v>6168</v>
      </c>
      <c r="D427" s="43" t="s">
        <v>229</v>
      </c>
      <c r="E427" s="43" t="s">
        <v>92</v>
      </c>
      <c r="F427" s="42" t="s">
        <v>11469</v>
      </c>
      <c r="G427" t="s">
        <v>13197</v>
      </c>
    </row>
    <row r="428" spans="1:7" x14ac:dyDescent="0.3">
      <c r="A428" s="42" t="s">
        <v>238</v>
      </c>
      <c r="B428" s="42" t="s">
        <v>643</v>
      </c>
      <c r="C428" s="42" t="s">
        <v>6169</v>
      </c>
      <c r="D428" s="43" t="s">
        <v>229</v>
      </c>
      <c r="E428" s="43" t="s">
        <v>92</v>
      </c>
      <c r="F428" s="42" t="s">
        <v>11469</v>
      </c>
      <c r="G428" t="s">
        <v>13197</v>
      </c>
    </row>
    <row r="429" spans="1:7" x14ac:dyDescent="0.3">
      <c r="A429" s="42" t="s">
        <v>238</v>
      </c>
      <c r="B429" s="42" t="s">
        <v>644</v>
      </c>
      <c r="C429" s="42" t="s">
        <v>6170</v>
      </c>
      <c r="D429" s="43" t="s">
        <v>229</v>
      </c>
      <c r="E429" s="43" t="s">
        <v>92</v>
      </c>
      <c r="F429" s="42" t="s">
        <v>11469</v>
      </c>
      <c r="G429" t="s">
        <v>13197</v>
      </c>
    </row>
    <row r="430" spans="1:7" x14ac:dyDescent="0.3">
      <c r="A430" s="42" t="s">
        <v>238</v>
      </c>
      <c r="B430" s="42" t="s">
        <v>645</v>
      </c>
      <c r="C430" s="42" t="s">
        <v>6171</v>
      </c>
      <c r="D430" s="43" t="s">
        <v>229</v>
      </c>
      <c r="E430" s="43" t="s">
        <v>92</v>
      </c>
      <c r="F430" s="42" t="s">
        <v>11469</v>
      </c>
      <c r="G430" t="s">
        <v>13197</v>
      </c>
    </row>
    <row r="431" spans="1:7" x14ac:dyDescent="0.3">
      <c r="A431" s="42" t="s">
        <v>238</v>
      </c>
      <c r="B431" s="42" t="s">
        <v>646</v>
      </c>
      <c r="C431" s="42" t="s">
        <v>6172</v>
      </c>
      <c r="D431" s="43" t="s">
        <v>229</v>
      </c>
      <c r="E431" s="43" t="s">
        <v>92</v>
      </c>
      <c r="F431" s="42" t="s">
        <v>11469</v>
      </c>
      <c r="G431" t="s">
        <v>13197</v>
      </c>
    </row>
    <row r="432" spans="1:7" x14ac:dyDescent="0.3">
      <c r="A432" s="42" t="s">
        <v>238</v>
      </c>
      <c r="B432" s="42" t="s">
        <v>647</v>
      </c>
      <c r="C432" s="42" t="s">
        <v>6173</v>
      </c>
      <c r="D432" s="43" t="s">
        <v>229</v>
      </c>
      <c r="E432" s="43" t="s">
        <v>92</v>
      </c>
      <c r="F432" s="42" t="s">
        <v>11469</v>
      </c>
      <c r="G432" t="s">
        <v>13197</v>
      </c>
    </row>
    <row r="433" spans="1:7" x14ac:dyDescent="0.3">
      <c r="A433" s="42" t="s">
        <v>238</v>
      </c>
      <c r="B433" s="42" t="s">
        <v>648</v>
      </c>
      <c r="C433" s="42" t="s">
        <v>6174</v>
      </c>
      <c r="D433" s="43" t="s">
        <v>229</v>
      </c>
      <c r="E433" s="43" t="s">
        <v>92</v>
      </c>
      <c r="F433" s="42" t="s">
        <v>11469</v>
      </c>
      <c r="G433" t="s">
        <v>13197</v>
      </c>
    </row>
    <row r="434" spans="1:7" x14ac:dyDescent="0.3">
      <c r="A434" s="42" t="s">
        <v>238</v>
      </c>
      <c r="B434" s="42" t="s">
        <v>649</v>
      </c>
      <c r="C434" s="42" t="s">
        <v>6175</v>
      </c>
      <c r="D434" s="43" t="s">
        <v>229</v>
      </c>
      <c r="E434" s="43" t="s">
        <v>92</v>
      </c>
      <c r="F434" s="42" t="s">
        <v>11469</v>
      </c>
      <c r="G434" t="s">
        <v>13197</v>
      </c>
    </row>
    <row r="435" spans="1:7" x14ac:dyDescent="0.3">
      <c r="A435" s="42" t="s">
        <v>238</v>
      </c>
      <c r="B435" s="42" t="s">
        <v>650</v>
      </c>
      <c r="C435" s="42" t="s">
        <v>6176</v>
      </c>
      <c r="D435" s="43" t="s">
        <v>229</v>
      </c>
      <c r="E435" s="43" t="s">
        <v>92</v>
      </c>
      <c r="F435" s="42" t="s">
        <v>192</v>
      </c>
      <c r="G435" t="s">
        <v>13196</v>
      </c>
    </row>
    <row r="436" spans="1:7" x14ac:dyDescent="0.3">
      <c r="A436" s="42" t="s">
        <v>238</v>
      </c>
      <c r="B436" s="42" t="s">
        <v>651</v>
      </c>
      <c r="C436" s="42" t="s">
        <v>6177</v>
      </c>
      <c r="D436" s="43" t="s">
        <v>229</v>
      </c>
      <c r="E436" s="43" t="s">
        <v>92</v>
      </c>
      <c r="F436" s="42" t="s">
        <v>11469</v>
      </c>
      <c r="G436" t="s">
        <v>13197</v>
      </c>
    </row>
    <row r="437" spans="1:7" x14ac:dyDescent="0.3">
      <c r="A437" s="42" t="s">
        <v>238</v>
      </c>
      <c r="B437" s="42" t="s">
        <v>652</v>
      </c>
      <c r="C437" s="42" t="s">
        <v>6178</v>
      </c>
      <c r="D437" s="43" t="s">
        <v>229</v>
      </c>
      <c r="E437" s="43" t="s">
        <v>92</v>
      </c>
      <c r="F437" s="42" t="s">
        <v>11469</v>
      </c>
      <c r="G437" t="s">
        <v>13197</v>
      </c>
    </row>
    <row r="438" spans="1:7" x14ac:dyDescent="0.3">
      <c r="A438" s="42" t="s">
        <v>238</v>
      </c>
      <c r="B438" s="42" t="s">
        <v>653</v>
      </c>
      <c r="C438" s="42" t="s">
        <v>6179</v>
      </c>
      <c r="D438" s="43" t="s">
        <v>229</v>
      </c>
      <c r="E438" s="43" t="s">
        <v>92</v>
      </c>
      <c r="F438" s="42" t="s">
        <v>11469</v>
      </c>
      <c r="G438" t="s">
        <v>13197</v>
      </c>
    </row>
    <row r="439" spans="1:7" x14ac:dyDescent="0.3">
      <c r="A439" s="42" t="s">
        <v>238</v>
      </c>
      <c r="B439" s="42" t="s">
        <v>654</v>
      </c>
      <c r="C439" s="42" t="s">
        <v>6180</v>
      </c>
      <c r="D439" s="43" t="s">
        <v>229</v>
      </c>
      <c r="E439" s="43" t="s">
        <v>92</v>
      </c>
      <c r="F439" s="42" t="s">
        <v>11469</v>
      </c>
      <c r="G439" t="s">
        <v>13197</v>
      </c>
    </row>
    <row r="440" spans="1:7" x14ac:dyDescent="0.3">
      <c r="A440" s="42" t="s">
        <v>238</v>
      </c>
      <c r="B440" s="42" t="s">
        <v>655</v>
      </c>
      <c r="C440" s="42" t="s">
        <v>6181</v>
      </c>
      <c r="D440" s="43" t="s">
        <v>229</v>
      </c>
      <c r="E440" s="43" t="s">
        <v>92</v>
      </c>
      <c r="F440" s="42" t="s">
        <v>11469</v>
      </c>
      <c r="G440" t="s">
        <v>13197</v>
      </c>
    </row>
    <row r="441" spans="1:7" x14ac:dyDescent="0.3">
      <c r="A441" s="42" t="s">
        <v>238</v>
      </c>
      <c r="B441" s="42" t="s">
        <v>656</v>
      </c>
      <c r="C441" s="42" t="s">
        <v>6182</v>
      </c>
      <c r="D441" s="43" t="s">
        <v>229</v>
      </c>
      <c r="E441" s="43" t="s">
        <v>92</v>
      </c>
      <c r="F441" s="42" t="s">
        <v>11469</v>
      </c>
      <c r="G441" t="s">
        <v>13197</v>
      </c>
    </row>
    <row r="442" spans="1:7" x14ac:dyDescent="0.3">
      <c r="A442" s="42" t="s">
        <v>238</v>
      </c>
      <c r="B442" s="42" t="s">
        <v>657</v>
      </c>
      <c r="C442" s="42" t="s">
        <v>6183</v>
      </c>
      <c r="D442" s="43" t="s">
        <v>229</v>
      </c>
      <c r="E442" s="43" t="s">
        <v>92</v>
      </c>
      <c r="F442" s="42" t="s">
        <v>11469</v>
      </c>
      <c r="G442" t="s">
        <v>13197</v>
      </c>
    </row>
    <row r="443" spans="1:7" x14ac:dyDescent="0.3">
      <c r="A443" s="42" t="s">
        <v>238</v>
      </c>
      <c r="B443" s="42" t="s">
        <v>658</v>
      </c>
      <c r="C443" s="42" t="s">
        <v>6184</v>
      </c>
      <c r="D443" s="43" t="s">
        <v>229</v>
      </c>
      <c r="E443" s="43" t="s">
        <v>92</v>
      </c>
      <c r="F443" s="42" t="s">
        <v>11469</v>
      </c>
      <c r="G443" t="s">
        <v>13197</v>
      </c>
    </row>
    <row r="444" spans="1:7" x14ac:dyDescent="0.3">
      <c r="A444" s="42" t="s">
        <v>238</v>
      </c>
      <c r="B444" s="42" t="s">
        <v>659</v>
      </c>
      <c r="C444" s="42" t="s">
        <v>6185</v>
      </c>
      <c r="D444" s="43" t="s">
        <v>229</v>
      </c>
      <c r="E444" s="43" t="s">
        <v>92</v>
      </c>
      <c r="F444" s="42" t="s">
        <v>11469</v>
      </c>
      <c r="G444" t="s">
        <v>13197</v>
      </c>
    </row>
    <row r="445" spans="1:7" x14ac:dyDescent="0.3">
      <c r="A445" s="42" t="s">
        <v>238</v>
      </c>
      <c r="B445" s="42" t="s">
        <v>660</v>
      </c>
      <c r="C445" s="42" t="s">
        <v>6186</v>
      </c>
      <c r="D445" s="43" t="s">
        <v>229</v>
      </c>
      <c r="E445" s="43" t="s">
        <v>92</v>
      </c>
      <c r="F445" s="42" t="s">
        <v>11469</v>
      </c>
      <c r="G445" t="s">
        <v>13197</v>
      </c>
    </row>
    <row r="446" spans="1:7" x14ac:dyDescent="0.3">
      <c r="A446" s="42" t="s">
        <v>238</v>
      </c>
      <c r="B446" s="42" t="s">
        <v>661</v>
      </c>
      <c r="C446" s="42" t="s">
        <v>6187</v>
      </c>
      <c r="D446" s="43" t="s">
        <v>229</v>
      </c>
      <c r="E446" s="43" t="s">
        <v>92</v>
      </c>
      <c r="F446" s="42" t="s">
        <v>11469</v>
      </c>
      <c r="G446" t="s">
        <v>13197</v>
      </c>
    </row>
    <row r="447" spans="1:7" x14ac:dyDescent="0.3">
      <c r="A447" s="42" t="s">
        <v>238</v>
      </c>
      <c r="B447" s="42" t="s">
        <v>662</v>
      </c>
      <c r="C447" s="42" t="s">
        <v>6188</v>
      </c>
      <c r="D447" s="43" t="s">
        <v>229</v>
      </c>
      <c r="E447" s="43" t="s">
        <v>92</v>
      </c>
      <c r="F447" s="42" t="s">
        <v>11469</v>
      </c>
      <c r="G447" t="s">
        <v>13197</v>
      </c>
    </row>
    <row r="448" spans="1:7" x14ac:dyDescent="0.3">
      <c r="A448" s="42" t="s">
        <v>238</v>
      </c>
      <c r="B448" s="42" t="s">
        <v>663</v>
      </c>
      <c r="C448" s="42" t="s">
        <v>6189</v>
      </c>
      <c r="D448" s="43" t="s">
        <v>229</v>
      </c>
      <c r="E448" s="43" t="s">
        <v>92</v>
      </c>
      <c r="F448" s="42" t="s">
        <v>11469</v>
      </c>
      <c r="G448" t="s">
        <v>13197</v>
      </c>
    </row>
    <row r="449" spans="1:7" x14ac:dyDescent="0.3">
      <c r="A449" s="42" t="s">
        <v>238</v>
      </c>
      <c r="B449" s="42" t="s">
        <v>664</v>
      </c>
      <c r="C449" s="42" t="s">
        <v>6190</v>
      </c>
      <c r="D449" s="43" t="s">
        <v>229</v>
      </c>
      <c r="E449" s="43" t="s">
        <v>92</v>
      </c>
      <c r="F449" s="42" t="s">
        <v>11469</v>
      </c>
      <c r="G449" t="s">
        <v>13197</v>
      </c>
    </row>
    <row r="450" spans="1:7" x14ac:dyDescent="0.3">
      <c r="A450" s="42" t="s">
        <v>238</v>
      </c>
      <c r="B450" s="42" t="s">
        <v>665</v>
      </c>
      <c r="C450" s="42" t="s">
        <v>6191</v>
      </c>
      <c r="D450" s="43" t="s">
        <v>229</v>
      </c>
      <c r="E450" s="43" t="s">
        <v>92</v>
      </c>
      <c r="F450" s="42" t="s">
        <v>11469</v>
      </c>
      <c r="G450" t="s">
        <v>13197</v>
      </c>
    </row>
    <row r="451" spans="1:7" x14ac:dyDescent="0.3">
      <c r="A451" s="42" t="s">
        <v>238</v>
      </c>
      <c r="B451" s="42" t="s">
        <v>666</v>
      </c>
      <c r="C451" s="42" t="s">
        <v>6192</v>
      </c>
      <c r="D451" s="43" t="s">
        <v>229</v>
      </c>
      <c r="E451" s="43" t="s">
        <v>92</v>
      </c>
      <c r="F451" s="42" t="s">
        <v>11469</v>
      </c>
      <c r="G451" t="s">
        <v>13197</v>
      </c>
    </row>
    <row r="452" spans="1:7" x14ac:dyDescent="0.3">
      <c r="A452" s="42" t="s">
        <v>238</v>
      </c>
      <c r="B452" s="42" t="s">
        <v>667</v>
      </c>
      <c r="C452" s="42" t="s">
        <v>6193</v>
      </c>
      <c r="D452" s="43" t="s">
        <v>229</v>
      </c>
      <c r="E452" s="43" t="s">
        <v>92</v>
      </c>
      <c r="F452" s="42" t="s">
        <v>192</v>
      </c>
      <c r="G452" t="s">
        <v>13196</v>
      </c>
    </row>
    <row r="453" spans="1:7" x14ac:dyDescent="0.3">
      <c r="A453" s="42" t="s">
        <v>238</v>
      </c>
      <c r="B453" s="42" t="s">
        <v>668</v>
      </c>
      <c r="C453" s="42" t="s">
        <v>6194</v>
      </c>
      <c r="D453" s="43" t="s">
        <v>229</v>
      </c>
      <c r="E453" s="43" t="s">
        <v>92</v>
      </c>
      <c r="F453" s="42" t="s">
        <v>11469</v>
      </c>
      <c r="G453" t="s">
        <v>13197</v>
      </c>
    </row>
    <row r="454" spans="1:7" x14ac:dyDescent="0.3">
      <c r="A454" s="42" t="s">
        <v>238</v>
      </c>
      <c r="B454" s="42" t="s">
        <v>669</v>
      </c>
      <c r="C454" s="42" t="s">
        <v>6195</v>
      </c>
      <c r="D454" s="43" t="s">
        <v>229</v>
      </c>
      <c r="E454" s="43" t="s">
        <v>92</v>
      </c>
      <c r="F454" s="42" t="s">
        <v>11469</v>
      </c>
      <c r="G454" t="s">
        <v>13197</v>
      </c>
    </row>
    <row r="455" spans="1:7" x14ac:dyDescent="0.3">
      <c r="A455" s="42" t="s">
        <v>238</v>
      </c>
      <c r="B455" s="42" t="s">
        <v>670</v>
      </c>
      <c r="C455" s="42" t="s">
        <v>6196</v>
      </c>
      <c r="D455" s="43" t="s">
        <v>229</v>
      </c>
      <c r="E455" s="43" t="s">
        <v>92</v>
      </c>
      <c r="F455" s="42" t="s">
        <v>11469</v>
      </c>
      <c r="G455" t="s">
        <v>13197</v>
      </c>
    </row>
    <row r="456" spans="1:7" x14ac:dyDescent="0.3">
      <c r="A456" s="42" t="s">
        <v>238</v>
      </c>
      <c r="B456" s="42" t="s">
        <v>671</v>
      </c>
      <c r="C456" s="42" t="s">
        <v>6197</v>
      </c>
      <c r="D456" s="43" t="s">
        <v>229</v>
      </c>
      <c r="E456" s="43" t="s">
        <v>92</v>
      </c>
      <c r="F456" s="42" t="s">
        <v>11469</v>
      </c>
      <c r="G456" t="s">
        <v>13197</v>
      </c>
    </row>
    <row r="457" spans="1:7" x14ac:dyDescent="0.3">
      <c r="A457" s="42" t="s">
        <v>238</v>
      </c>
      <c r="B457" s="42" t="s">
        <v>672</v>
      </c>
      <c r="C457" s="42" t="s">
        <v>6198</v>
      </c>
      <c r="D457" s="43" t="s">
        <v>229</v>
      </c>
      <c r="E457" s="43" t="s">
        <v>92</v>
      </c>
      <c r="F457" s="42" t="s">
        <v>11469</v>
      </c>
      <c r="G457" t="s">
        <v>13197</v>
      </c>
    </row>
    <row r="458" spans="1:7" x14ac:dyDescent="0.3">
      <c r="A458" s="42" t="s">
        <v>238</v>
      </c>
      <c r="B458" s="42" t="s">
        <v>673</v>
      </c>
      <c r="C458" s="42" t="s">
        <v>6199</v>
      </c>
      <c r="D458" s="43" t="s">
        <v>229</v>
      </c>
      <c r="E458" s="43" t="s">
        <v>92</v>
      </c>
      <c r="F458" s="42" t="s">
        <v>11469</v>
      </c>
      <c r="G458" t="s">
        <v>13197</v>
      </c>
    </row>
    <row r="459" spans="1:7" x14ac:dyDescent="0.3">
      <c r="A459" s="42" t="s">
        <v>238</v>
      </c>
      <c r="B459" s="42" t="s">
        <v>674</v>
      </c>
      <c r="C459" s="42" t="s">
        <v>6200</v>
      </c>
      <c r="D459" s="43" t="s">
        <v>229</v>
      </c>
      <c r="E459" s="43" t="s">
        <v>92</v>
      </c>
      <c r="F459" s="42" t="s">
        <v>11469</v>
      </c>
      <c r="G459" t="s">
        <v>13197</v>
      </c>
    </row>
    <row r="460" spans="1:7" x14ac:dyDescent="0.3">
      <c r="A460" s="42" t="s">
        <v>238</v>
      </c>
      <c r="B460" s="42" t="s">
        <v>675</v>
      </c>
      <c r="C460" s="42" t="s">
        <v>6201</v>
      </c>
      <c r="D460" s="43" t="s">
        <v>229</v>
      </c>
      <c r="E460" s="43" t="s">
        <v>92</v>
      </c>
      <c r="F460" s="42" t="s">
        <v>11469</v>
      </c>
      <c r="G460" t="s">
        <v>13197</v>
      </c>
    </row>
    <row r="461" spans="1:7" x14ac:dyDescent="0.3">
      <c r="A461" s="42" t="s">
        <v>238</v>
      </c>
      <c r="B461" s="42" t="s">
        <v>676</v>
      </c>
      <c r="C461" s="42" t="s">
        <v>6202</v>
      </c>
      <c r="D461" s="43" t="s">
        <v>229</v>
      </c>
      <c r="E461" s="43" t="s">
        <v>92</v>
      </c>
      <c r="F461" s="42" t="s">
        <v>192</v>
      </c>
      <c r="G461" t="s">
        <v>13196</v>
      </c>
    </row>
    <row r="462" spans="1:7" x14ac:dyDescent="0.3">
      <c r="A462" s="42" t="s">
        <v>238</v>
      </c>
      <c r="B462" s="42" t="s">
        <v>677</v>
      </c>
      <c r="C462" s="42" t="s">
        <v>6203</v>
      </c>
      <c r="D462" s="43" t="s">
        <v>229</v>
      </c>
      <c r="E462" s="43" t="s">
        <v>92</v>
      </c>
      <c r="F462" s="42" t="s">
        <v>11469</v>
      </c>
      <c r="G462" t="s">
        <v>13197</v>
      </c>
    </row>
    <row r="463" spans="1:7" x14ac:dyDescent="0.3">
      <c r="A463" s="42" t="s">
        <v>238</v>
      </c>
      <c r="B463" s="42" t="s">
        <v>678</v>
      </c>
      <c r="C463" s="42" t="s">
        <v>6204</v>
      </c>
      <c r="D463" s="43" t="s">
        <v>229</v>
      </c>
      <c r="E463" s="43" t="s">
        <v>92</v>
      </c>
      <c r="F463" s="42" t="s">
        <v>11469</v>
      </c>
      <c r="G463" t="s">
        <v>13197</v>
      </c>
    </row>
    <row r="464" spans="1:7" x14ac:dyDescent="0.3">
      <c r="A464" s="42" t="s">
        <v>238</v>
      </c>
      <c r="B464" s="42" t="s">
        <v>679</v>
      </c>
      <c r="C464" s="42" t="s">
        <v>6205</v>
      </c>
      <c r="D464" s="43" t="s">
        <v>229</v>
      </c>
      <c r="E464" s="43" t="s">
        <v>92</v>
      </c>
      <c r="F464" s="42" t="s">
        <v>11469</v>
      </c>
      <c r="G464" t="s">
        <v>13197</v>
      </c>
    </row>
    <row r="465" spans="1:7" x14ac:dyDescent="0.3">
      <c r="A465" s="42" t="s">
        <v>238</v>
      </c>
      <c r="B465" s="42" t="s">
        <v>680</v>
      </c>
      <c r="C465" s="42" t="s">
        <v>6206</v>
      </c>
      <c r="D465" s="43" t="s">
        <v>229</v>
      </c>
      <c r="E465" s="43" t="s">
        <v>92</v>
      </c>
      <c r="F465" s="42" t="s">
        <v>11469</v>
      </c>
      <c r="G465" t="s">
        <v>13197</v>
      </c>
    </row>
    <row r="466" spans="1:7" x14ac:dyDescent="0.3">
      <c r="A466" s="42" t="s">
        <v>238</v>
      </c>
      <c r="B466" s="42" t="s">
        <v>681</v>
      </c>
      <c r="C466" s="42" t="s">
        <v>6207</v>
      </c>
      <c r="D466" s="43" t="s">
        <v>229</v>
      </c>
      <c r="E466" s="43" t="s">
        <v>92</v>
      </c>
      <c r="F466" s="42" t="s">
        <v>11469</v>
      </c>
      <c r="G466" t="s">
        <v>13197</v>
      </c>
    </row>
    <row r="467" spans="1:7" x14ac:dyDescent="0.3">
      <c r="A467" s="42" t="s">
        <v>238</v>
      </c>
      <c r="B467" s="42" t="s">
        <v>682</v>
      </c>
      <c r="C467" s="42" t="s">
        <v>6208</v>
      </c>
      <c r="D467" s="43" t="s">
        <v>229</v>
      </c>
      <c r="E467" s="43" t="s">
        <v>92</v>
      </c>
      <c r="F467" s="42" t="s">
        <v>192</v>
      </c>
      <c r="G467" t="s">
        <v>13196</v>
      </c>
    </row>
    <row r="468" spans="1:7" x14ac:dyDescent="0.3">
      <c r="A468" s="42" t="s">
        <v>238</v>
      </c>
      <c r="B468" s="42" t="s">
        <v>683</v>
      </c>
      <c r="C468" s="42" t="s">
        <v>6209</v>
      </c>
      <c r="D468" s="43" t="s">
        <v>229</v>
      </c>
      <c r="E468" s="43" t="s">
        <v>92</v>
      </c>
      <c r="F468" s="42" t="s">
        <v>11469</v>
      </c>
      <c r="G468" t="s">
        <v>13197</v>
      </c>
    </row>
    <row r="469" spans="1:7" x14ac:dyDescent="0.3">
      <c r="A469" s="42" t="s">
        <v>238</v>
      </c>
      <c r="B469" s="42" t="s">
        <v>684</v>
      </c>
      <c r="C469" s="42" t="s">
        <v>6210</v>
      </c>
      <c r="D469" s="43" t="s">
        <v>229</v>
      </c>
      <c r="E469" s="43" t="s">
        <v>92</v>
      </c>
      <c r="F469" s="42" t="s">
        <v>192</v>
      </c>
      <c r="G469" t="s">
        <v>13196</v>
      </c>
    </row>
    <row r="470" spans="1:7" x14ac:dyDescent="0.3">
      <c r="A470" s="42" t="s">
        <v>238</v>
      </c>
      <c r="B470" s="42" t="s">
        <v>685</v>
      </c>
      <c r="C470" s="42" t="s">
        <v>6211</v>
      </c>
      <c r="D470" s="43" t="s">
        <v>229</v>
      </c>
      <c r="E470" s="43" t="s">
        <v>92</v>
      </c>
      <c r="F470" s="42" t="s">
        <v>11469</v>
      </c>
      <c r="G470" t="s">
        <v>13197</v>
      </c>
    </row>
    <row r="471" spans="1:7" x14ac:dyDescent="0.3">
      <c r="A471" s="42" t="s">
        <v>238</v>
      </c>
      <c r="B471" s="42" t="s">
        <v>686</v>
      </c>
      <c r="C471" s="42" t="s">
        <v>6212</v>
      </c>
      <c r="D471" s="43" t="s">
        <v>229</v>
      </c>
      <c r="E471" s="43" t="s">
        <v>92</v>
      </c>
      <c r="F471" s="42" t="s">
        <v>11469</v>
      </c>
      <c r="G471" t="s">
        <v>13197</v>
      </c>
    </row>
    <row r="472" spans="1:7" x14ac:dyDescent="0.3">
      <c r="A472" s="42" t="s">
        <v>238</v>
      </c>
      <c r="B472" s="42" t="s">
        <v>687</v>
      </c>
      <c r="C472" s="42" t="s">
        <v>6213</v>
      </c>
      <c r="D472" s="43" t="s">
        <v>229</v>
      </c>
      <c r="E472" s="43" t="s">
        <v>92</v>
      </c>
      <c r="F472" s="42" t="s">
        <v>11469</v>
      </c>
      <c r="G472" t="s">
        <v>13197</v>
      </c>
    </row>
    <row r="473" spans="1:7" x14ac:dyDescent="0.3">
      <c r="A473" s="42" t="s">
        <v>238</v>
      </c>
      <c r="B473" s="42" t="s">
        <v>688</v>
      </c>
      <c r="C473" s="42" t="s">
        <v>6214</v>
      </c>
      <c r="D473" s="43" t="s">
        <v>229</v>
      </c>
      <c r="E473" s="43" t="s">
        <v>92</v>
      </c>
      <c r="F473" s="42" t="s">
        <v>11469</v>
      </c>
      <c r="G473" t="s">
        <v>13197</v>
      </c>
    </row>
    <row r="474" spans="1:7" x14ac:dyDescent="0.3">
      <c r="A474" s="42" t="s">
        <v>238</v>
      </c>
      <c r="B474" s="42" t="s">
        <v>689</v>
      </c>
      <c r="C474" s="42" t="s">
        <v>6215</v>
      </c>
      <c r="D474" s="43" t="s">
        <v>229</v>
      </c>
      <c r="E474" s="43" t="s">
        <v>92</v>
      </c>
      <c r="F474" s="42" t="s">
        <v>11469</v>
      </c>
      <c r="G474" t="s">
        <v>13197</v>
      </c>
    </row>
    <row r="475" spans="1:7" x14ac:dyDescent="0.3">
      <c r="A475" s="42" t="s">
        <v>238</v>
      </c>
      <c r="B475" s="42" t="s">
        <v>690</v>
      </c>
      <c r="C475" s="42" t="s">
        <v>6216</v>
      </c>
      <c r="D475" s="43" t="s">
        <v>229</v>
      </c>
      <c r="E475" s="43" t="s">
        <v>92</v>
      </c>
      <c r="F475" s="42" t="s">
        <v>11469</v>
      </c>
      <c r="G475" t="s">
        <v>13197</v>
      </c>
    </row>
    <row r="476" spans="1:7" x14ac:dyDescent="0.3">
      <c r="A476" s="42" t="s">
        <v>238</v>
      </c>
      <c r="B476" s="42" t="s">
        <v>691</v>
      </c>
      <c r="C476" s="42" t="s">
        <v>6217</v>
      </c>
      <c r="D476" s="43" t="s">
        <v>229</v>
      </c>
      <c r="E476" s="43" t="s">
        <v>92</v>
      </c>
      <c r="F476" s="42" t="s">
        <v>11469</v>
      </c>
      <c r="G476" t="s">
        <v>13197</v>
      </c>
    </row>
    <row r="477" spans="1:7" x14ac:dyDescent="0.3">
      <c r="A477" s="42" t="s">
        <v>238</v>
      </c>
      <c r="B477" s="42" t="s">
        <v>692</v>
      </c>
      <c r="C477" s="42" t="s">
        <v>6218</v>
      </c>
      <c r="D477" s="43" t="s">
        <v>229</v>
      </c>
      <c r="E477" s="43" t="s">
        <v>92</v>
      </c>
      <c r="F477" s="42" t="s">
        <v>11469</v>
      </c>
      <c r="G477" t="s">
        <v>13197</v>
      </c>
    </row>
    <row r="478" spans="1:7" x14ac:dyDescent="0.3">
      <c r="A478" s="42" t="s">
        <v>238</v>
      </c>
      <c r="B478" s="42" t="s">
        <v>693</v>
      </c>
      <c r="C478" s="42" t="s">
        <v>6219</v>
      </c>
      <c r="D478" s="43" t="s">
        <v>229</v>
      </c>
      <c r="E478" s="43" t="s">
        <v>92</v>
      </c>
      <c r="F478" s="42" t="s">
        <v>11469</v>
      </c>
      <c r="G478" t="s">
        <v>13197</v>
      </c>
    </row>
    <row r="479" spans="1:7" x14ac:dyDescent="0.3">
      <c r="A479" s="42" t="s">
        <v>238</v>
      </c>
      <c r="B479" s="42" t="s">
        <v>694</v>
      </c>
      <c r="C479" s="42" t="s">
        <v>6220</v>
      </c>
      <c r="D479" s="43" t="s">
        <v>229</v>
      </c>
      <c r="E479" s="43" t="s">
        <v>92</v>
      </c>
      <c r="F479" s="42" t="s">
        <v>11469</v>
      </c>
      <c r="G479" t="s">
        <v>13200</v>
      </c>
    </row>
    <row r="480" spans="1:7" x14ac:dyDescent="0.3">
      <c r="A480" s="42" t="s">
        <v>238</v>
      </c>
      <c r="B480" s="42" t="s">
        <v>695</v>
      </c>
      <c r="C480" s="42" t="s">
        <v>6221</v>
      </c>
      <c r="D480" s="43" t="s">
        <v>229</v>
      </c>
      <c r="E480" s="43" t="s">
        <v>92</v>
      </c>
      <c r="F480" s="42" t="s">
        <v>11469</v>
      </c>
      <c r="G480" t="s">
        <v>13197</v>
      </c>
    </row>
    <row r="481" spans="1:7" x14ac:dyDescent="0.3">
      <c r="A481" s="42" t="s">
        <v>238</v>
      </c>
      <c r="B481" s="42" t="s">
        <v>696</v>
      </c>
      <c r="C481" s="42" t="s">
        <v>6222</v>
      </c>
      <c r="D481" s="43" t="s">
        <v>229</v>
      </c>
      <c r="E481" s="43" t="s">
        <v>92</v>
      </c>
      <c r="F481" s="42" t="s">
        <v>11469</v>
      </c>
      <c r="G481" t="s">
        <v>13197</v>
      </c>
    </row>
    <row r="482" spans="1:7" x14ac:dyDescent="0.3">
      <c r="A482" s="42" t="s">
        <v>238</v>
      </c>
      <c r="B482" s="42" t="s">
        <v>697</v>
      </c>
      <c r="C482" s="42" t="s">
        <v>6223</v>
      </c>
      <c r="D482" s="43" t="s">
        <v>229</v>
      </c>
      <c r="E482" s="43" t="s">
        <v>92</v>
      </c>
      <c r="F482" s="42" t="s">
        <v>11469</v>
      </c>
      <c r="G482" t="s">
        <v>13197</v>
      </c>
    </row>
    <row r="483" spans="1:7" x14ac:dyDescent="0.3">
      <c r="A483" s="42" t="s">
        <v>238</v>
      </c>
      <c r="B483" s="42" t="s">
        <v>698</v>
      </c>
      <c r="C483" s="42" t="s">
        <v>6224</v>
      </c>
      <c r="D483" s="43" t="s">
        <v>229</v>
      </c>
      <c r="E483" s="43" t="s">
        <v>92</v>
      </c>
      <c r="F483" s="42" t="s">
        <v>11469</v>
      </c>
      <c r="G483" t="s">
        <v>13197</v>
      </c>
    </row>
    <row r="484" spans="1:7" x14ac:dyDescent="0.3">
      <c r="A484" s="42" t="s">
        <v>238</v>
      </c>
      <c r="B484" s="42" t="s">
        <v>699</v>
      </c>
      <c r="C484" s="42" t="s">
        <v>6225</v>
      </c>
      <c r="D484" s="43" t="s">
        <v>229</v>
      </c>
      <c r="E484" s="43" t="s">
        <v>92</v>
      </c>
      <c r="F484" s="42" t="s">
        <v>11469</v>
      </c>
      <c r="G484" t="s">
        <v>13197</v>
      </c>
    </row>
    <row r="485" spans="1:7" x14ac:dyDescent="0.3">
      <c r="A485" s="42" t="s">
        <v>238</v>
      </c>
      <c r="B485" s="42" t="s">
        <v>700</v>
      </c>
      <c r="C485" s="42" t="s">
        <v>6226</v>
      </c>
      <c r="D485" s="43" t="s">
        <v>229</v>
      </c>
      <c r="E485" s="43" t="s">
        <v>92</v>
      </c>
      <c r="F485" s="42" t="s">
        <v>11469</v>
      </c>
      <c r="G485" t="s">
        <v>13197</v>
      </c>
    </row>
    <row r="486" spans="1:7" x14ac:dyDescent="0.3">
      <c r="A486" s="42" t="s">
        <v>238</v>
      </c>
      <c r="B486" s="42" t="s">
        <v>701</v>
      </c>
      <c r="C486" s="42" t="s">
        <v>6227</v>
      </c>
      <c r="D486" s="43" t="s">
        <v>229</v>
      </c>
      <c r="E486" s="43" t="s">
        <v>92</v>
      </c>
      <c r="F486" s="42" t="s">
        <v>192</v>
      </c>
      <c r="G486" t="s">
        <v>13196</v>
      </c>
    </row>
    <row r="487" spans="1:7" x14ac:dyDescent="0.3">
      <c r="A487" s="42" t="s">
        <v>238</v>
      </c>
      <c r="B487" s="42" t="s">
        <v>702</v>
      </c>
      <c r="C487" s="42" t="s">
        <v>6228</v>
      </c>
      <c r="D487" s="43" t="s">
        <v>229</v>
      </c>
      <c r="E487" s="43" t="s">
        <v>92</v>
      </c>
      <c r="F487" s="42" t="s">
        <v>11469</v>
      </c>
      <c r="G487" t="s">
        <v>13197</v>
      </c>
    </row>
    <row r="488" spans="1:7" x14ac:dyDescent="0.3">
      <c r="A488" s="42" t="s">
        <v>238</v>
      </c>
      <c r="B488" s="42" t="s">
        <v>703</v>
      </c>
      <c r="C488" s="42" t="s">
        <v>6229</v>
      </c>
      <c r="D488" s="43" t="s">
        <v>229</v>
      </c>
      <c r="E488" s="43" t="s">
        <v>92</v>
      </c>
      <c r="F488" s="42" t="s">
        <v>11469</v>
      </c>
      <c r="G488" t="s">
        <v>13197</v>
      </c>
    </row>
    <row r="489" spans="1:7" x14ac:dyDescent="0.3">
      <c r="A489" s="42" t="s">
        <v>238</v>
      </c>
      <c r="B489" s="42" t="s">
        <v>704</v>
      </c>
      <c r="C489" s="42" t="s">
        <v>6230</v>
      </c>
      <c r="D489" s="43" t="s">
        <v>229</v>
      </c>
      <c r="E489" s="43" t="s">
        <v>92</v>
      </c>
      <c r="F489" s="42" t="s">
        <v>11469</v>
      </c>
      <c r="G489" t="s">
        <v>13197</v>
      </c>
    </row>
    <row r="490" spans="1:7" x14ac:dyDescent="0.3">
      <c r="A490" s="42" t="s">
        <v>238</v>
      </c>
      <c r="B490" s="42" t="s">
        <v>705</v>
      </c>
      <c r="C490" s="42" t="s">
        <v>6231</v>
      </c>
      <c r="D490" s="43" t="s">
        <v>229</v>
      </c>
      <c r="E490" s="43" t="s">
        <v>92</v>
      </c>
      <c r="F490" s="42" t="s">
        <v>11469</v>
      </c>
      <c r="G490" t="s">
        <v>13197</v>
      </c>
    </row>
    <row r="491" spans="1:7" x14ac:dyDescent="0.3">
      <c r="A491" s="42" t="s">
        <v>238</v>
      </c>
      <c r="B491" s="42" t="s">
        <v>706</v>
      </c>
      <c r="C491" s="42" t="s">
        <v>6232</v>
      </c>
      <c r="D491" s="43" t="s">
        <v>229</v>
      </c>
      <c r="E491" s="43" t="s">
        <v>92</v>
      </c>
      <c r="F491" s="42" t="s">
        <v>11469</v>
      </c>
      <c r="G491" t="s">
        <v>13197</v>
      </c>
    </row>
    <row r="492" spans="1:7" x14ac:dyDescent="0.3">
      <c r="A492" s="42" t="s">
        <v>238</v>
      </c>
      <c r="B492" s="42" t="s">
        <v>707</v>
      </c>
      <c r="C492" s="42" t="s">
        <v>6233</v>
      </c>
      <c r="D492" s="43" t="s">
        <v>229</v>
      </c>
      <c r="E492" s="43" t="s">
        <v>92</v>
      </c>
      <c r="F492" s="42" t="s">
        <v>11469</v>
      </c>
      <c r="G492" t="s">
        <v>13197</v>
      </c>
    </row>
    <row r="493" spans="1:7" x14ac:dyDescent="0.3">
      <c r="A493" s="42" t="s">
        <v>238</v>
      </c>
      <c r="B493" s="42" t="s">
        <v>708</v>
      </c>
      <c r="C493" s="42" t="s">
        <v>6234</v>
      </c>
      <c r="D493" s="43" t="s">
        <v>229</v>
      </c>
      <c r="E493" s="43" t="s">
        <v>92</v>
      </c>
      <c r="F493" s="42" t="s">
        <v>11469</v>
      </c>
      <c r="G493" t="s">
        <v>13197</v>
      </c>
    </row>
    <row r="494" spans="1:7" x14ac:dyDescent="0.3">
      <c r="A494" s="42" t="s">
        <v>238</v>
      </c>
      <c r="B494" s="42" t="s">
        <v>709</v>
      </c>
      <c r="C494" s="42" t="s">
        <v>6235</v>
      </c>
      <c r="D494" s="43" t="s">
        <v>229</v>
      </c>
      <c r="E494" s="43" t="s">
        <v>92</v>
      </c>
      <c r="F494" s="42" t="s">
        <v>11469</v>
      </c>
      <c r="G494" t="s">
        <v>13197</v>
      </c>
    </row>
    <row r="495" spans="1:7" x14ac:dyDescent="0.3">
      <c r="A495" s="42" t="s">
        <v>238</v>
      </c>
      <c r="B495" s="42" t="s">
        <v>710</v>
      </c>
      <c r="C495" s="42" t="s">
        <v>6236</v>
      </c>
      <c r="D495" s="43" t="s">
        <v>229</v>
      </c>
      <c r="E495" s="43" t="s">
        <v>92</v>
      </c>
      <c r="F495" s="42" t="s">
        <v>11469</v>
      </c>
      <c r="G495" t="s">
        <v>13197</v>
      </c>
    </row>
    <row r="496" spans="1:7" x14ac:dyDescent="0.3">
      <c r="A496" s="42" t="s">
        <v>238</v>
      </c>
      <c r="B496" s="42" t="s">
        <v>711</v>
      </c>
      <c r="C496" s="42" t="s">
        <v>6237</v>
      </c>
      <c r="D496" s="43" t="s">
        <v>229</v>
      </c>
      <c r="E496" s="43" t="s">
        <v>92</v>
      </c>
      <c r="F496" s="42" t="s">
        <v>11469</v>
      </c>
      <c r="G496" t="s">
        <v>13197</v>
      </c>
    </row>
    <row r="497" spans="1:7" x14ac:dyDescent="0.3">
      <c r="A497" s="42" t="s">
        <v>238</v>
      </c>
      <c r="B497" s="42" t="s">
        <v>712</v>
      </c>
      <c r="C497" s="42" t="s">
        <v>6238</v>
      </c>
      <c r="D497" s="43" t="s">
        <v>229</v>
      </c>
      <c r="E497" s="43" t="s">
        <v>92</v>
      </c>
      <c r="F497" s="42" t="s">
        <v>11469</v>
      </c>
      <c r="G497" t="s">
        <v>13197</v>
      </c>
    </row>
    <row r="498" spans="1:7" x14ac:dyDescent="0.3">
      <c r="A498" s="42" t="s">
        <v>238</v>
      </c>
      <c r="B498" s="42" t="s">
        <v>713</v>
      </c>
      <c r="C498" s="42" t="s">
        <v>6239</v>
      </c>
      <c r="D498" s="43" t="s">
        <v>229</v>
      </c>
      <c r="E498" s="43" t="s">
        <v>92</v>
      </c>
      <c r="F498" s="42" t="s">
        <v>192</v>
      </c>
      <c r="G498" t="s">
        <v>13196</v>
      </c>
    </row>
    <row r="499" spans="1:7" x14ac:dyDescent="0.3">
      <c r="A499" s="42" t="s">
        <v>238</v>
      </c>
      <c r="B499" s="42" t="s">
        <v>714</v>
      </c>
      <c r="C499" s="42" t="s">
        <v>6240</v>
      </c>
      <c r="D499" s="43" t="s">
        <v>229</v>
      </c>
      <c r="E499" s="43" t="s">
        <v>92</v>
      </c>
      <c r="F499" s="42" t="s">
        <v>11469</v>
      </c>
      <c r="G499" t="s">
        <v>13197</v>
      </c>
    </row>
    <row r="500" spans="1:7" x14ac:dyDescent="0.3">
      <c r="A500" s="42" t="s">
        <v>238</v>
      </c>
      <c r="B500" s="42" t="s">
        <v>715</v>
      </c>
      <c r="C500" s="42" t="s">
        <v>6241</v>
      </c>
      <c r="D500" s="43" t="s">
        <v>229</v>
      </c>
      <c r="E500" s="43" t="s">
        <v>92</v>
      </c>
      <c r="F500" s="42" t="s">
        <v>11469</v>
      </c>
      <c r="G500" t="s">
        <v>13197</v>
      </c>
    </row>
    <row r="501" spans="1:7" x14ac:dyDescent="0.3">
      <c r="A501" s="42" t="s">
        <v>238</v>
      </c>
      <c r="B501" s="42" t="s">
        <v>716</v>
      </c>
      <c r="C501" s="42" t="s">
        <v>6242</v>
      </c>
      <c r="D501" s="43" t="s">
        <v>229</v>
      </c>
      <c r="E501" s="43" t="s">
        <v>92</v>
      </c>
      <c r="F501" s="42" t="s">
        <v>11469</v>
      </c>
      <c r="G501" t="s">
        <v>13197</v>
      </c>
    </row>
    <row r="502" spans="1:7" x14ac:dyDescent="0.3">
      <c r="A502" s="42" t="s">
        <v>238</v>
      </c>
      <c r="B502" s="42" t="s">
        <v>717</v>
      </c>
      <c r="C502" s="42" t="s">
        <v>6243</v>
      </c>
      <c r="D502" s="43" t="s">
        <v>229</v>
      </c>
      <c r="E502" s="43" t="s">
        <v>92</v>
      </c>
      <c r="F502" s="42" t="s">
        <v>11469</v>
      </c>
      <c r="G502" t="s">
        <v>13197</v>
      </c>
    </row>
    <row r="503" spans="1:7" x14ac:dyDescent="0.3">
      <c r="A503" s="42" t="s">
        <v>238</v>
      </c>
      <c r="B503" s="42" t="s">
        <v>718</v>
      </c>
      <c r="C503" s="42" t="s">
        <v>6244</v>
      </c>
      <c r="D503" s="43" t="s">
        <v>229</v>
      </c>
      <c r="E503" s="43" t="s">
        <v>92</v>
      </c>
      <c r="F503" s="42" t="s">
        <v>11469</v>
      </c>
      <c r="G503" t="s">
        <v>13197</v>
      </c>
    </row>
    <row r="504" spans="1:7" x14ac:dyDescent="0.3">
      <c r="A504" s="42" t="s">
        <v>238</v>
      </c>
      <c r="B504" s="42" t="s">
        <v>719</v>
      </c>
      <c r="C504" s="42" t="s">
        <v>6245</v>
      </c>
      <c r="D504" s="43" t="s">
        <v>229</v>
      </c>
      <c r="E504" s="43" t="s">
        <v>92</v>
      </c>
      <c r="F504" s="42" t="s">
        <v>11469</v>
      </c>
      <c r="G504" t="s">
        <v>13197</v>
      </c>
    </row>
    <row r="505" spans="1:7" x14ac:dyDescent="0.3">
      <c r="A505" s="42" t="s">
        <v>238</v>
      </c>
      <c r="B505" s="42" t="s">
        <v>720</v>
      </c>
      <c r="C505" s="42" t="s">
        <v>6246</v>
      </c>
      <c r="D505" s="43" t="s">
        <v>229</v>
      </c>
      <c r="E505" s="43" t="s">
        <v>92</v>
      </c>
      <c r="F505" s="42" t="s">
        <v>192</v>
      </c>
      <c r="G505" t="s">
        <v>13196</v>
      </c>
    </row>
    <row r="506" spans="1:7" x14ac:dyDescent="0.3">
      <c r="A506" s="42" t="s">
        <v>238</v>
      </c>
      <c r="B506" s="42" t="s">
        <v>721</v>
      </c>
      <c r="C506" s="42" t="s">
        <v>6247</v>
      </c>
      <c r="D506" s="43" t="s">
        <v>229</v>
      </c>
      <c r="E506" s="43" t="s">
        <v>92</v>
      </c>
      <c r="F506" s="42" t="s">
        <v>11469</v>
      </c>
      <c r="G506" t="s">
        <v>13197</v>
      </c>
    </row>
    <row r="507" spans="1:7" x14ac:dyDescent="0.3">
      <c r="A507" s="42" t="s">
        <v>238</v>
      </c>
      <c r="B507" s="42" t="s">
        <v>722</v>
      </c>
      <c r="C507" s="42" t="s">
        <v>6248</v>
      </c>
      <c r="D507" s="43" t="s">
        <v>229</v>
      </c>
      <c r="E507" s="43" t="s">
        <v>92</v>
      </c>
      <c r="F507" s="42" t="s">
        <v>192</v>
      </c>
      <c r="G507" t="s">
        <v>13196</v>
      </c>
    </row>
    <row r="508" spans="1:7" x14ac:dyDescent="0.3">
      <c r="A508" s="42" t="s">
        <v>238</v>
      </c>
      <c r="B508" s="42" t="s">
        <v>723</v>
      </c>
      <c r="C508" s="42" t="s">
        <v>6249</v>
      </c>
      <c r="D508" s="43" t="s">
        <v>229</v>
      </c>
      <c r="E508" s="43" t="s">
        <v>92</v>
      </c>
      <c r="F508" s="42" t="s">
        <v>11469</v>
      </c>
      <c r="G508" t="s">
        <v>13197</v>
      </c>
    </row>
    <row r="509" spans="1:7" x14ac:dyDescent="0.3">
      <c r="A509" s="42" t="s">
        <v>238</v>
      </c>
      <c r="B509" s="42" t="s">
        <v>724</v>
      </c>
      <c r="C509" s="42" t="s">
        <v>6250</v>
      </c>
      <c r="D509" s="43" t="s">
        <v>229</v>
      </c>
      <c r="E509" s="43" t="s">
        <v>92</v>
      </c>
      <c r="F509" s="42" t="s">
        <v>11469</v>
      </c>
      <c r="G509" t="s">
        <v>13197</v>
      </c>
    </row>
    <row r="510" spans="1:7" x14ac:dyDescent="0.3">
      <c r="A510" s="42" t="s">
        <v>238</v>
      </c>
      <c r="B510" s="42" t="s">
        <v>725</v>
      </c>
      <c r="C510" s="42" t="s">
        <v>6251</v>
      </c>
      <c r="D510" s="43" t="s">
        <v>229</v>
      </c>
      <c r="E510" s="43" t="s">
        <v>92</v>
      </c>
      <c r="F510" s="42" t="s">
        <v>11469</v>
      </c>
      <c r="G510" t="s">
        <v>13197</v>
      </c>
    </row>
    <row r="511" spans="1:7" x14ac:dyDescent="0.3">
      <c r="A511" s="42" t="s">
        <v>238</v>
      </c>
      <c r="B511" s="42" t="s">
        <v>726</v>
      </c>
      <c r="C511" s="42" t="s">
        <v>6252</v>
      </c>
      <c r="D511" s="43" t="s">
        <v>229</v>
      </c>
      <c r="E511" s="43" t="s">
        <v>92</v>
      </c>
      <c r="F511" s="42" t="s">
        <v>11469</v>
      </c>
      <c r="G511" t="s">
        <v>13197</v>
      </c>
    </row>
    <row r="512" spans="1:7" x14ac:dyDescent="0.3">
      <c r="A512" s="42" t="s">
        <v>238</v>
      </c>
      <c r="B512" s="42" t="s">
        <v>727</v>
      </c>
      <c r="C512" s="42" t="s">
        <v>6253</v>
      </c>
      <c r="D512" s="43" t="s">
        <v>229</v>
      </c>
      <c r="E512" s="43" t="s">
        <v>92</v>
      </c>
      <c r="F512" s="42" t="s">
        <v>11469</v>
      </c>
      <c r="G512" t="s">
        <v>13197</v>
      </c>
    </row>
    <row r="513" spans="1:7" x14ac:dyDescent="0.3">
      <c r="A513" s="42" t="s">
        <v>238</v>
      </c>
      <c r="B513" s="42" t="s">
        <v>728</v>
      </c>
      <c r="C513" s="42" t="s">
        <v>6254</v>
      </c>
      <c r="D513" s="43" t="s">
        <v>229</v>
      </c>
      <c r="E513" s="43" t="s">
        <v>92</v>
      </c>
      <c r="F513" s="42" t="s">
        <v>11469</v>
      </c>
      <c r="G513" t="s">
        <v>13197</v>
      </c>
    </row>
    <row r="514" spans="1:7" x14ac:dyDescent="0.3">
      <c r="A514" s="42" t="s">
        <v>238</v>
      </c>
      <c r="B514" s="42" t="s">
        <v>729</v>
      </c>
      <c r="C514" s="42" t="s">
        <v>6255</v>
      </c>
      <c r="D514" s="43" t="s">
        <v>229</v>
      </c>
      <c r="E514" s="43" t="s">
        <v>92</v>
      </c>
      <c r="F514" s="42" t="s">
        <v>11469</v>
      </c>
      <c r="G514" t="s">
        <v>13197</v>
      </c>
    </row>
    <row r="515" spans="1:7" x14ac:dyDescent="0.3">
      <c r="A515" s="42" t="s">
        <v>238</v>
      </c>
      <c r="B515" s="42" t="s">
        <v>730</v>
      </c>
      <c r="C515" s="42" t="s">
        <v>6256</v>
      </c>
      <c r="D515" s="43" t="s">
        <v>229</v>
      </c>
      <c r="E515" s="43" t="s">
        <v>92</v>
      </c>
      <c r="F515" s="42" t="s">
        <v>11469</v>
      </c>
      <c r="G515" t="s">
        <v>13197</v>
      </c>
    </row>
    <row r="516" spans="1:7" x14ac:dyDescent="0.3">
      <c r="A516" s="42" t="s">
        <v>238</v>
      </c>
      <c r="B516" s="42" t="s">
        <v>731</v>
      </c>
      <c r="C516" s="42" t="s">
        <v>6257</v>
      </c>
      <c r="D516" s="43" t="s">
        <v>229</v>
      </c>
      <c r="E516" s="43" t="s">
        <v>92</v>
      </c>
      <c r="F516" s="42" t="s">
        <v>192</v>
      </c>
      <c r="G516" t="s">
        <v>13196</v>
      </c>
    </row>
    <row r="517" spans="1:7" x14ac:dyDescent="0.3">
      <c r="A517" s="42" t="s">
        <v>238</v>
      </c>
      <c r="B517" s="42" t="s">
        <v>732</v>
      </c>
      <c r="C517" s="42" t="s">
        <v>6258</v>
      </c>
      <c r="D517" s="43" t="s">
        <v>229</v>
      </c>
      <c r="E517" s="43" t="s">
        <v>92</v>
      </c>
      <c r="F517" s="42" t="s">
        <v>11469</v>
      </c>
      <c r="G517" t="s">
        <v>13197</v>
      </c>
    </row>
    <row r="518" spans="1:7" x14ac:dyDescent="0.3">
      <c r="A518" s="42" t="s">
        <v>238</v>
      </c>
      <c r="B518" s="42" t="s">
        <v>733</v>
      </c>
      <c r="C518" s="42" t="s">
        <v>6259</v>
      </c>
      <c r="D518" s="43" t="s">
        <v>229</v>
      </c>
      <c r="E518" s="43" t="s">
        <v>92</v>
      </c>
      <c r="F518" s="42" t="s">
        <v>11469</v>
      </c>
      <c r="G518" t="s">
        <v>13197</v>
      </c>
    </row>
    <row r="519" spans="1:7" x14ac:dyDescent="0.3">
      <c r="A519" s="42" t="s">
        <v>238</v>
      </c>
      <c r="B519" s="42" t="s">
        <v>734</v>
      </c>
      <c r="C519" s="42" t="s">
        <v>6260</v>
      </c>
      <c r="D519" s="43" t="s">
        <v>229</v>
      </c>
      <c r="E519" s="43" t="s">
        <v>92</v>
      </c>
      <c r="F519" s="42" t="s">
        <v>11469</v>
      </c>
      <c r="G519" t="s">
        <v>13197</v>
      </c>
    </row>
    <row r="520" spans="1:7" x14ac:dyDescent="0.3">
      <c r="A520" s="42" t="s">
        <v>238</v>
      </c>
      <c r="B520" s="42" t="s">
        <v>735</v>
      </c>
      <c r="C520" s="42" t="s">
        <v>6261</v>
      </c>
      <c r="D520" s="43" t="s">
        <v>229</v>
      </c>
      <c r="E520" s="43" t="s">
        <v>92</v>
      </c>
      <c r="F520" s="42" t="s">
        <v>11469</v>
      </c>
      <c r="G520" t="s">
        <v>13197</v>
      </c>
    </row>
    <row r="521" spans="1:7" x14ac:dyDescent="0.3">
      <c r="A521" s="42" t="s">
        <v>238</v>
      </c>
      <c r="B521" s="42" t="s">
        <v>736</v>
      </c>
      <c r="C521" s="42" t="s">
        <v>6262</v>
      </c>
      <c r="D521" s="43" t="s">
        <v>229</v>
      </c>
      <c r="E521" s="43" t="s">
        <v>92</v>
      </c>
      <c r="F521" s="42" t="s">
        <v>11469</v>
      </c>
      <c r="G521" t="s">
        <v>13197</v>
      </c>
    </row>
    <row r="522" spans="1:7" x14ac:dyDescent="0.3">
      <c r="A522" s="42" t="s">
        <v>238</v>
      </c>
      <c r="B522" s="42" t="s">
        <v>737</v>
      </c>
      <c r="C522" s="42" t="s">
        <v>6263</v>
      </c>
      <c r="D522" s="43" t="s">
        <v>229</v>
      </c>
      <c r="E522" s="43" t="s">
        <v>92</v>
      </c>
      <c r="F522" s="42" t="s">
        <v>11469</v>
      </c>
      <c r="G522" t="s">
        <v>13197</v>
      </c>
    </row>
    <row r="523" spans="1:7" x14ac:dyDescent="0.3">
      <c r="A523" s="42" t="s">
        <v>238</v>
      </c>
      <c r="B523" s="42" t="s">
        <v>738</v>
      </c>
      <c r="C523" s="42" t="s">
        <v>6264</v>
      </c>
      <c r="D523" s="43" t="s">
        <v>229</v>
      </c>
      <c r="E523" s="43" t="s">
        <v>92</v>
      </c>
      <c r="F523" s="42" t="s">
        <v>11469</v>
      </c>
      <c r="G523" t="s">
        <v>13197</v>
      </c>
    </row>
    <row r="524" spans="1:7" x14ac:dyDescent="0.3">
      <c r="A524" s="42" t="s">
        <v>238</v>
      </c>
      <c r="B524" s="42" t="s">
        <v>739</v>
      </c>
      <c r="C524" s="42" t="s">
        <v>6265</v>
      </c>
      <c r="D524" s="43" t="s">
        <v>229</v>
      </c>
      <c r="E524" s="43" t="s">
        <v>92</v>
      </c>
      <c r="F524" s="42" t="s">
        <v>11469</v>
      </c>
      <c r="G524" t="s">
        <v>13197</v>
      </c>
    </row>
    <row r="525" spans="1:7" x14ac:dyDescent="0.3">
      <c r="A525" s="42" t="s">
        <v>238</v>
      </c>
      <c r="B525" s="42" t="s">
        <v>740</v>
      </c>
      <c r="C525" s="42" t="s">
        <v>6266</v>
      </c>
      <c r="D525" s="43" t="s">
        <v>229</v>
      </c>
      <c r="E525" s="43" t="s">
        <v>92</v>
      </c>
      <c r="F525" s="42" t="s">
        <v>11469</v>
      </c>
      <c r="G525" t="s">
        <v>13197</v>
      </c>
    </row>
    <row r="526" spans="1:7" x14ac:dyDescent="0.3">
      <c r="A526" s="42" t="s">
        <v>238</v>
      </c>
      <c r="B526" s="42" t="s">
        <v>741</v>
      </c>
      <c r="C526" s="42" t="s">
        <v>6267</v>
      </c>
      <c r="D526" s="43" t="s">
        <v>229</v>
      </c>
      <c r="E526" s="43" t="s">
        <v>92</v>
      </c>
      <c r="F526" s="42" t="s">
        <v>11469</v>
      </c>
      <c r="G526" t="s">
        <v>13197</v>
      </c>
    </row>
    <row r="527" spans="1:7" x14ac:dyDescent="0.3">
      <c r="A527" s="42" t="s">
        <v>238</v>
      </c>
      <c r="B527" s="42" t="s">
        <v>742</v>
      </c>
      <c r="C527" s="42" t="s">
        <v>6268</v>
      </c>
      <c r="D527" s="43" t="s">
        <v>229</v>
      </c>
      <c r="E527" s="43" t="s">
        <v>92</v>
      </c>
      <c r="F527" s="42" t="s">
        <v>11469</v>
      </c>
      <c r="G527" t="s">
        <v>13197</v>
      </c>
    </row>
    <row r="528" spans="1:7" x14ac:dyDescent="0.3">
      <c r="A528" s="42" t="s">
        <v>238</v>
      </c>
      <c r="B528" s="42" t="s">
        <v>743</v>
      </c>
      <c r="C528" s="42" t="s">
        <v>6269</v>
      </c>
      <c r="D528" s="43" t="s">
        <v>229</v>
      </c>
      <c r="E528" s="43" t="s">
        <v>92</v>
      </c>
      <c r="F528" s="42" t="s">
        <v>11469</v>
      </c>
      <c r="G528" t="s">
        <v>13197</v>
      </c>
    </row>
    <row r="529" spans="1:7" x14ac:dyDescent="0.3">
      <c r="A529" s="42" t="s">
        <v>238</v>
      </c>
      <c r="B529" s="42" t="s">
        <v>744</v>
      </c>
      <c r="C529" s="42" t="s">
        <v>6270</v>
      </c>
      <c r="D529" s="43" t="s">
        <v>229</v>
      </c>
      <c r="E529" s="43" t="s">
        <v>92</v>
      </c>
      <c r="F529" s="42" t="s">
        <v>11469</v>
      </c>
      <c r="G529" t="s">
        <v>13197</v>
      </c>
    </row>
    <row r="530" spans="1:7" x14ac:dyDescent="0.3">
      <c r="A530" s="42" t="s">
        <v>238</v>
      </c>
      <c r="B530" s="42" t="s">
        <v>745</v>
      </c>
      <c r="C530" s="42" t="s">
        <v>6271</v>
      </c>
      <c r="D530" s="43" t="s">
        <v>229</v>
      </c>
      <c r="E530" s="43" t="s">
        <v>92</v>
      </c>
      <c r="F530" s="42" t="s">
        <v>11469</v>
      </c>
      <c r="G530" t="s">
        <v>13197</v>
      </c>
    </row>
    <row r="531" spans="1:7" x14ac:dyDescent="0.3">
      <c r="A531" s="42" t="s">
        <v>238</v>
      </c>
      <c r="B531" s="42" t="s">
        <v>746</v>
      </c>
      <c r="C531" s="42" t="s">
        <v>6272</v>
      </c>
      <c r="D531" s="43" t="s">
        <v>229</v>
      </c>
      <c r="E531" s="43" t="s">
        <v>92</v>
      </c>
      <c r="F531" s="42" t="s">
        <v>11469</v>
      </c>
      <c r="G531" t="s">
        <v>13197</v>
      </c>
    </row>
    <row r="532" spans="1:7" x14ac:dyDescent="0.3">
      <c r="A532" s="42" t="s">
        <v>238</v>
      </c>
      <c r="B532" s="42" t="s">
        <v>747</v>
      </c>
      <c r="C532" s="42" t="s">
        <v>6273</v>
      </c>
      <c r="D532" s="43" t="s">
        <v>229</v>
      </c>
      <c r="E532" s="43" t="s">
        <v>92</v>
      </c>
      <c r="F532" s="42" t="s">
        <v>11469</v>
      </c>
      <c r="G532" t="s">
        <v>13197</v>
      </c>
    </row>
    <row r="533" spans="1:7" x14ac:dyDescent="0.3">
      <c r="A533" s="42" t="s">
        <v>238</v>
      </c>
      <c r="B533" s="42" t="s">
        <v>748</v>
      </c>
      <c r="C533" s="42" t="s">
        <v>6274</v>
      </c>
      <c r="D533" s="43" t="s">
        <v>229</v>
      </c>
      <c r="E533" s="43" t="s">
        <v>92</v>
      </c>
      <c r="F533" s="42" t="s">
        <v>11469</v>
      </c>
      <c r="G533" t="s">
        <v>13197</v>
      </c>
    </row>
    <row r="534" spans="1:7" x14ac:dyDescent="0.3">
      <c r="A534" s="42" t="s">
        <v>238</v>
      </c>
      <c r="B534" s="42" t="s">
        <v>749</v>
      </c>
      <c r="C534" s="42" t="s">
        <v>6275</v>
      </c>
      <c r="D534" s="43" t="s">
        <v>229</v>
      </c>
      <c r="E534" s="43" t="s">
        <v>92</v>
      </c>
      <c r="F534" s="42" t="s">
        <v>11469</v>
      </c>
      <c r="G534" t="s">
        <v>13197</v>
      </c>
    </row>
    <row r="535" spans="1:7" x14ac:dyDescent="0.3">
      <c r="A535" s="42" t="s">
        <v>238</v>
      </c>
      <c r="B535" s="42" t="s">
        <v>750</v>
      </c>
      <c r="C535" s="42" t="s">
        <v>6276</v>
      </c>
      <c r="D535" s="43" t="s">
        <v>229</v>
      </c>
      <c r="E535" s="43" t="s">
        <v>92</v>
      </c>
      <c r="F535" s="42" t="s">
        <v>11469</v>
      </c>
      <c r="G535" t="s">
        <v>13197</v>
      </c>
    </row>
    <row r="536" spans="1:7" x14ac:dyDescent="0.3">
      <c r="A536" s="42" t="s">
        <v>238</v>
      </c>
      <c r="B536" s="42" t="s">
        <v>751</v>
      </c>
      <c r="C536" s="42" t="s">
        <v>6277</v>
      </c>
      <c r="D536" s="43" t="s">
        <v>229</v>
      </c>
      <c r="E536" s="43" t="s">
        <v>92</v>
      </c>
      <c r="F536" s="42" t="s">
        <v>11469</v>
      </c>
      <c r="G536" t="s">
        <v>13197</v>
      </c>
    </row>
    <row r="537" spans="1:7" x14ac:dyDescent="0.3">
      <c r="A537" s="42" t="s">
        <v>238</v>
      </c>
      <c r="B537" s="42" t="s">
        <v>752</v>
      </c>
      <c r="C537" s="42" t="s">
        <v>6278</v>
      </c>
      <c r="D537" s="43" t="s">
        <v>229</v>
      </c>
      <c r="E537" s="43" t="s">
        <v>92</v>
      </c>
      <c r="F537" s="42" t="s">
        <v>11469</v>
      </c>
      <c r="G537" t="s">
        <v>13197</v>
      </c>
    </row>
    <row r="538" spans="1:7" x14ac:dyDescent="0.3">
      <c r="A538" s="42" t="s">
        <v>238</v>
      </c>
      <c r="B538" s="42" t="s">
        <v>753</v>
      </c>
      <c r="C538" s="42" t="s">
        <v>6279</v>
      </c>
      <c r="D538" s="43" t="s">
        <v>229</v>
      </c>
      <c r="E538" s="43" t="s">
        <v>92</v>
      </c>
      <c r="F538" s="42" t="s">
        <v>11469</v>
      </c>
      <c r="G538" t="s">
        <v>13197</v>
      </c>
    </row>
    <row r="539" spans="1:7" x14ac:dyDescent="0.3">
      <c r="A539" s="42" t="s">
        <v>238</v>
      </c>
      <c r="B539" s="42" t="s">
        <v>754</v>
      </c>
      <c r="C539" s="42" t="s">
        <v>6280</v>
      </c>
      <c r="D539" s="43" t="s">
        <v>229</v>
      </c>
      <c r="E539" s="43" t="s">
        <v>92</v>
      </c>
      <c r="F539" s="42" t="s">
        <v>11469</v>
      </c>
      <c r="G539" t="s">
        <v>13197</v>
      </c>
    </row>
    <row r="540" spans="1:7" x14ac:dyDescent="0.3">
      <c r="A540" s="42" t="s">
        <v>238</v>
      </c>
      <c r="B540" s="42" t="s">
        <v>755</v>
      </c>
      <c r="C540" s="42" t="s">
        <v>6281</v>
      </c>
      <c r="D540" s="43" t="s">
        <v>229</v>
      </c>
      <c r="E540" s="43" t="s">
        <v>92</v>
      </c>
      <c r="F540" s="42" t="s">
        <v>11469</v>
      </c>
      <c r="G540" t="s">
        <v>13197</v>
      </c>
    </row>
    <row r="541" spans="1:7" x14ac:dyDescent="0.3">
      <c r="A541" s="42" t="s">
        <v>238</v>
      </c>
      <c r="B541" s="42" t="s">
        <v>756</v>
      </c>
      <c r="C541" s="42" t="s">
        <v>6282</v>
      </c>
      <c r="D541" s="43" t="s">
        <v>229</v>
      </c>
      <c r="E541" s="43" t="s">
        <v>92</v>
      </c>
      <c r="F541" s="42" t="s">
        <v>11469</v>
      </c>
      <c r="G541" t="s">
        <v>13197</v>
      </c>
    </row>
    <row r="542" spans="1:7" x14ac:dyDescent="0.3">
      <c r="A542" s="42" t="s">
        <v>238</v>
      </c>
      <c r="B542" s="42" t="s">
        <v>757</v>
      </c>
      <c r="C542" s="42" t="s">
        <v>6283</v>
      </c>
      <c r="D542" s="43" t="s">
        <v>229</v>
      </c>
      <c r="E542" s="43" t="s">
        <v>92</v>
      </c>
      <c r="F542" s="42" t="s">
        <v>11469</v>
      </c>
      <c r="G542" t="s">
        <v>13197</v>
      </c>
    </row>
    <row r="543" spans="1:7" x14ac:dyDescent="0.3">
      <c r="A543" s="42" t="s">
        <v>238</v>
      </c>
      <c r="B543" s="42" t="s">
        <v>758</v>
      </c>
      <c r="C543" s="42" t="s">
        <v>6284</v>
      </c>
      <c r="D543" s="43" t="s">
        <v>229</v>
      </c>
      <c r="E543" s="43" t="s">
        <v>92</v>
      </c>
      <c r="F543" s="42" t="s">
        <v>11469</v>
      </c>
      <c r="G543" t="s">
        <v>13197</v>
      </c>
    </row>
    <row r="544" spans="1:7" x14ac:dyDescent="0.3">
      <c r="A544" s="42" t="s">
        <v>238</v>
      </c>
      <c r="B544" s="42" t="s">
        <v>759</v>
      </c>
      <c r="C544" s="42" t="s">
        <v>6285</v>
      </c>
      <c r="D544" s="43" t="s">
        <v>229</v>
      </c>
      <c r="E544" s="43" t="s">
        <v>92</v>
      </c>
      <c r="F544" s="42" t="s">
        <v>11469</v>
      </c>
      <c r="G544" t="s">
        <v>13197</v>
      </c>
    </row>
    <row r="545" spans="1:7" x14ac:dyDescent="0.3">
      <c r="A545" s="42" t="s">
        <v>238</v>
      </c>
      <c r="B545" s="42" t="s">
        <v>760</v>
      </c>
      <c r="C545" s="42" t="s">
        <v>6286</v>
      </c>
      <c r="D545" s="43" t="s">
        <v>229</v>
      </c>
      <c r="E545" s="43" t="s">
        <v>92</v>
      </c>
      <c r="F545" s="42" t="s">
        <v>11469</v>
      </c>
      <c r="G545" t="s">
        <v>13197</v>
      </c>
    </row>
    <row r="546" spans="1:7" x14ac:dyDescent="0.3">
      <c r="A546" s="42" t="s">
        <v>238</v>
      </c>
      <c r="B546" s="42" t="s">
        <v>761</v>
      </c>
      <c r="C546" s="42" t="s">
        <v>6287</v>
      </c>
      <c r="D546" s="43" t="s">
        <v>229</v>
      </c>
      <c r="E546" s="43" t="s">
        <v>92</v>
      </c>
      <c r="F546" s="42" t="s">
        <v>192</v>
      </c>
      <c r="G546" t="s">
        <v>13196</v>
      </c>
    </row>
    <row r="547" spans="1:7" x14ac:dyDescent="0.3">
      <c r="A547" s="42" t="s">
        <v>238</v>
      </c>
      <c r="B547" s="42" t="s">
        <v>762</v>
      </c>
      <c r="C547" s="42" t="s">
        <v>6288</v>
      </c>
      <c r="D547" s="43" t="s">
        <v>229</v>
      </c>
      <c r="E547" s="43" t="s">
        <v>92</v>
      </c>
      <c r="F547" s="42" t="s">
        <v>192</v>
      </c>
      <c r="G547" t="s">
        <v>13196</v>
      </c>
    </row>
    <row r="548" spans="1:7" x14ac:dyDescent="0.3">
      <c r="A548" s="42" t="s">
        <v>238</v>
      </c>
      <c r="B548" s="42" t="s">
        <v>763</v>
      </c>
      <c r="C548" s="42" t="s">
        <v>6289</v>
      </c>
      <c r="D548" s="43" t="s">
        <v>229</v>
      </c>
      <c r="E548" s="43" t="s">
        <v>92</v>
      </c>
      <c r="F548" s="42" t="s">
        <v>11469</v>
      </c>
      <c r="G548" t="s">
        <v>13197</v>
      </c>
    </row>
    <row r="549" spans="1:7" x14ac:dyDescent="0.3">
      <c r="A549" s="42" t="s">
        <v>238</v>
      </c>
      <c r="B549" s="42" t="s">
        <v>764</v>
      </c>
      <c r="C549" s="42" t="s">
        <v>6290</v>
      </c>
      <c r="D549" s="43" t="s">
        <v>229</v>
      </c>
      <c r="E549" s="43" t="s">
        <v>92</v>
      </c>
      <c r="F549" s="42" t="s">
        <v>11469</v>
      </c>
      <c r="G549" t="s">
        <v>13197</v>
      </c>
    </row>
    <row r="550" spans="1:7" x14ac:dyDescent="0.3">
      <c r="A550" s="42" t="s">
        <v>238</v>
      </c>
      <c r="B550" s="42" t="s">
        <v>765</v>
      </c>
      <c r="C550" s="42" t="s">
        <v>6291</v>
      </c>
      <c r="D550" s="43" t="s">
        <v>229</v>
      </c>
      <c r="E550" s="43" t="s">
        <v>92</v>
      </c>
      <c r="F550" s="42" t="s">
        <v>192</v>
      </c>
      <c r="G550" t="s">
        <v>13196</v>
      </c>
    </row>
    <row r="551" spans="1:7" x14ac:dyDescent="0.3">
      <c r="A551" s="42" t="s">
        <v>238</v>
      </c>
      <c r="B551" s="42" t="s">
        <v>766</v>
      </c>
      <c r="C551" s="42" t="s">
        <v>6292</v>
      </c>
      <c r="D551" s="43" t="s">
        <v>229</v>
      </c>
      <c r="E551" s="43" t="s">
        <v>92</v>
      </c>
      <c r="F551" s="42" t="s">
        <v>11469</v>
      </c>
      <c r="G551" t="s">
        <v>13197</v>
      </c>
    </row>
    <row r="552" spans="1:7" x14ac:dyDescent="0.3">
      <c r="A552" s="42" t="s">
        <v>238</v>
      </c>
      <c r="B552" s="42" t="s">
        <v>767</v>
      </c>
      <c r="C552" s="42" t="s">
        <v>6293</v>
      </c>
      <c r="D552" s="43" t="s">
        <v>229</v>
      </c>
      <c r="E552" s="43" t="s">
        <v>92</v>
      </c>
      <c r="F552" s="42" t="s">
        <v>11469</v>
      </c>
      <c r="G552" t="s">
        <v>13197</v>
      </c>
    </row>
    <row r="553" spans="1:7" x14ac:dyDescent="0.3">
      <c r="A553" s="42" t="s">
        <v>238</v>
      </c>
      <c r="B553" s="42" t="s">
        <v>768</v>
      </c>
      <c r="C553" s="42" t="s">
        <v>6294</v>
      </c>
      <c r="D553" s="43" t="s">
        <v>229</v>
      </c>
      <c r="E553" s="43" t="s">
        <v>92</v>
      </c>
      <c r="F553" s="42" t="s">
        <v>11469</v>
      </c>
      <c r="G553" t="s">
        <v>13197</v>
      </c>
    </row>
    <row r="554" spans="1:7" x14ac:dyDescent="0.3">
      <c r="A554" s="42" t="s">
        <v>238</v>
      </c>
      <c r="B554" s="42" t="s">
        <v>769</v>
      </c>
      <c r="C554" s="42" t="s">
        <v>6295</v>
      </c>
      <c r="D554" s="43" t="s">
        <v>229</v>
      </c>
      <c r="E554" s="43" t="s">
        <v>92</v>
      </c>
      <c r="F554" s="42" t="s">
        <v>11469</v>
      </c>
      <c r="G554" t="s">
        <v>13197</v>
      </c>
    </row>
    <row r="555" spans="1:7" x14ac:dyDescent="0.3">
      <c r="A555" s="42" t="s">
        <v>238</v>
      </c>
      <c r="B555" s="42" t="s">
        <v>770</v>
      </c>
      <c r="C555" s="42" t="s">
        <v>6296</v>
      </c>
      <c r="D555" s="43" t="s">
        <v>229</v>
      </c>
      <c r="E555" s="43" t="s">
        <v>92</v>
      </c>
      <c r="F555" s="42" t="s">
        <v>11469</v>
      </c>
      <c r="G555" t="s">
        <v>13197</v>
      </c>
    </row>
    <row r="556" spans="1:7" x14ac:dyDescent="0.3">
      <c r="A556" s="42" t="s">
        <v>238</v>
      </c>
      <c r="B556" s="42" t="s">
        <v>771</v>
      </c>
      <c r="C556" s="42" t="s">
        <v>6297</v>
      </c>
      <c r="D556" s="43" t="s">
        <v>229</v>
      </c>
      <c r="E556" s="43" t="s">
        <v>92</v>
      </c>
      <c r="F556" s="42" t="s">
        <v>11469</v>
      </c>
      <c r="G556" t="s">
        <v>13197</v>
      </c>
    </row>
    <row r="557" spans="1:7" x14ac:dyDescent="0.3">
      <c r="A557" s="42" t="s">
        <v>238</v>
      </c>
      <c r="B557" s="42" t="s">
        <v>772</v>
      </c>
      <c r="C557" s="42" t="s">
        <v>6298</v>
      </c>
      <c r="D557" s="43" t="s">
        <v>229</v>
      </c>
      <c r="E557" s="43" t="s">
        <v>92</v>
      </c>
      <c r="F557" s="42" t="s">
        <v>11469</v>
      </c>
      <c r="G557" t="s">
        <v>13197</v>
      </c>
    </row>
    <row r="558" spans="1:7" x14ac:dyDescent="0.3">
      <c r="A558" s="42" t="s">
        <v>238</v>
      </c>
      <c r="B558" s="42" t="s">
        <v>773</v>
      </c>
      <c r="C558" s="42" t="s">
        <v>6299</v>
      </c>
      <c r="D558" s="43" t="s">
        <v>229</v>
      </c>
      <c r="E558" s="43" t="s">
        <v>92</v>
      </c>
      <c r="F558" s="42" t="s">
        <v>11469</v>
      </c>
      <c r="G558" t="s">
        <v>13197</v>
      </c>
    </row>
    <row r="559" spans="1:7" x14ac:dyDescent="0.3">
      <c r="A559" s="42" t="s">
        <v>238</v>
      </c>
      <c r="B559" s="42" t="s">
        <v>774</v>
      </c>
      <c r="C559" s="42" t="s">
        <v>6300</v>
      </c>
      <c r="D559" s="43" t="s">
        <v>229</v>
      </c>
      <c r="E559" s="43" t="s">
        <v>92</v>
      </c>
      <c r="F559" s="42" t="s">
        <v>11469</v>
      </c>
      <c r="G559" t="s">
        <v>13197</v>
      </c>
    </row>
    <row r="560" spans="1:7" x14ac:dyDescent="0.3">
      <c r="A560" s="42" t="s">
        <v>238</v>
      </c>
      <c r="B560" s="42" t="s">
        <v>775</v>
      </c>
      <c r="C560" s="42" t="s">
        <v>6301</v>
      </c>
      <c r="D560" s="43" t="s">
        <v>229</v>
      </c>
      <c r="E560" s="43" t="s">
        <v>92</v>
      </c>
      <c r="F560" s="42" t="s">
        <v>11469</v>
      </c>
      <c r="G560" t="s">
        <v>13197</v>
      </c>
    </row>
    <row r="561" spans="1:7" x14ac:dyDescent="0.3">
      <c r="A561" s="42" t="s">
        <v>238</v>
      </c>
      <c r="B561" s="42" t="s">
        <v>776</v>
      </c>
      <c r="C561" s="42" t="s">
        <v>6302</v>
      </c>
      <c r="D561" s="43" t="s">
        <v>229</v>
      </c>
      <c r="E561" s="43" t="s">
        <v>92</v>
      </c>
      <c r="F561" s="42" t="s">
        <v>11469</v>
      </c>
      <c r="G561" t="s">
        <v>13197</v>
      </c>
    </row>
    <row r="562" spans="1:7" x14ac:dyDescent="0.3">
      <c r="A562" s="42" t="s">
        <v>238</v>
      </c>
      <c r="B562" s="42" t="s">
        <v>777</v>
      </c>
      <c r="C562" s="42" t="s">
        <v>6303</v>
      </c>
      <c r="D562" s="43" t="s">
        <v>229</v>
      </c>
      <c r="E562" s="43" t="s">
        <v>92</v>
      </c>
      <c r="F562" s="42" t="s">
        <v>11469</v>
      </c>
      <c r="G562" t="s">
        <v>13197</v>
      </c>
    </row>
    <row r="563" spans="1:7" x14ac:dyDescent="0.3">
      <c r="A563" s="42" t="s">
        <v>238</v>
      </c>
      <c r="B563" s="42" t="s">
        <v>778</v>
      </c>
      <c r="C563" s="42" t="s">
        <v>6304</v>
      </c>
      <c r="D563" s="43" t="s">
        <v>229</v>
      </c>
      <c r="E563" s="43" t="s">
        <v>92</v>
      </c>
      <c r="F563" s="42" t="s">
        <v>11469</v>
      </c>
      <c r="G563" t="s">
        <v>13197</v>
      </c>
    </row>
    <row r="564" spans="1:7" x14ac:dyDescent="0.3">
      <c r="A564" s="42" t="s">
        <v>238</v>
      </c>
      <c r="B564" s="42" t="s">
        <v>779</v>
      </c>
      <c r="C564" s="42" t="s">
        <v>6305</v>
      </c>
      <c r="D564" s="43" t="s">
        <v>229</v>
      </c>
      <c r="E564" s="43" t="s">
        <v>92</v>
      </c>
      <c r="F564" s="42" t="s">
        <v>11469</v>
      </c>
      <c r="G564" t="s">
        <v>13197</v>
      </c>
    </row>
    <row r="565" spans="1:7" x14ac:dyDescent="0.3">
      <c r="A565" s="42" t="s">
        <v>238</v>
      </c>
      <c r="B565" s="42" t="s">
        <v>780</v>
      </c>
      <c r="C565" s="42" t="s">
        <v>6306</v>
      </c>
      <c r="D565" s="43" t="s">
        <v>229</v>
      </c>
      <c r="E565" s="43" t="s">
        <v>92</v>
      </c>
      <c r="F565" s="42" t="s">
        <v>11469</v>
      </c>
      <c r="G565" t="s">
        <v>13197</v>
      </c>
    </row>
    <row r="566" spans="1:7" x14ac:dyDescent="0.3">
      <c r="A566" s="42" t="s">
        <v>238</v>
      </c>
      <c r="B566" s="42" t="s">
        <v>781</v>
      </c>
      <c r="C566" s="42" t="s">
        <v>6307</v>
      </c>
      <c r="D566" s="43" t="s">
        <v>229</v>
      </c>
      <c r="E566" s="43" t="s">
        <v>92</v>
      </c>
      <c r="F566" s="42" t="s">
        <v>192</v>
      </c>
      <c r="G566" t="s">
        <v>13196</v>
      </c>
    </row>
    <row r="567" spans="1:7" x14ac:dyDescent="0.3">
      <c r="A567" s="42" t="s">
        <v>238</v>
      </c>
      <c r="B567" s="42" t="s">
        <v>782</v>
      </c>
      <c r="C567" s="42" t="s">
        <v>6308</v>
      </c>
      <c r="D567" s="43" t="s">
        <v>229</v>
      </c>
      <c r="E567" s="43" t="s">
        <v>92</v>
      </c>
      <c r="F567" s="42" t="s">
        <v>11469</v>
      </c>
      <c r="G567" t="s">
        <v>13197</v>
      </c>
    </row>
    <row r="568" spans="1:7" x14ac:dyDescent="0.3">
      <c r="A568" s="42" t="s">
        <v>238</v>
      </c>
      <c r="B568" s="42" t="s">
        <v>783</v>
      </c>
      <c r="C568" s="42" t="s">
        <v>6309</v>
      </c>
      <c r="D568" s="43" t="s">
        <v>229</v>
      </c>
      <c r="E568" s="43" t="s">
        <v>92</v>
      </c>
      <c r="F568" s="42" t="s">
        <v>11469</v>
      </c>
      <c r="G568" t="s">
        <v>13197</v>
      </c>
    </row>
    <row r="569" spans="1:7" x14ac:dyDescent="0.3">
      <c r="A569" s="42" t="s">
        <v>238</v>
      </c>
      <c r="B569" s="42" t="s">
        <v>784</v>
      </c>
      <c r="C569" s="42" t="s">
        <v>6310</v>
      </c>
      <c r="D569" s="43" t="s">
        <v>229</v>
      </c>
      <c r="E569" s="43" t="s">
        <v>92</v>
      </c>
      <c r="F569" s="42" t="s">
        <v>11469</v>
      </c>
      <c r="G569" t="s">
        <v>13197</v>
      </c>
    </row>
    <row r="570" spans="1:7" x14ac:dyDescent="0.3">
      <c r="A570" s="42" t="s">
        <v>238</v>
      </c>
      <c r="B570" s="42" t="s">
        <v>785</v>
      </c>
      <c r="C570" s="42" t="s">
        <v>6311</v>
      </c>
      <c r="D570" s="43" t="s">
        <v>229</v>
      </c>
      <c r="E570" s="43" t="s">
        <v>92</v>
      </c>
      <c r="F570" s="42" t="s">
        <v>192</v>
      </c>
      <c r="G570" t="s">
        <v>13196</v>
      </c>
    </row>
    <row r="571" spans="1:7" x14ac:dyDescent="0.3">
      <c r="A571" s="42" t="s">
        <v>238</v>
      </c>
      <c r="B571" s="42" t="s">
        <v>786</v>
      </c>
      <c r="C571" s="42" t="s">
        <v>6312</v>
      </c>
      <c r="D571" s="43" t="s">
        <v>229</v>
      </c>
      <c r="E571" s="43" t="s">
        <v>92</v>
      </c>
      <c r="F571" s="42" t="s">
        <v>11469</v>
      </c>
      <c r="G571" t="s">
        <v>13197</v>
      </c>
    </row>
    <row r="572" spans="1:7" x14ac:dyDescent="0.3">
      <c r="A572" s="42" t="s">
        <v>238</v>
      </c>
      <c r="B572" s="42" t="s">
        <v>787</v>
      </c>
      <c r="C572" s="42" t="s">
        <v>6313</v>
      </c>
      <c r="D572" s="43" t="s">
        <v>229</v>
      </c>
      <c r="E572" s="43" t="s">
        <v>92</v>
      </c>
      <c r="F572" s="42" t="s">
        <v>11469</v>
      </c>
      <c r="G572" t="s">
        <v>13197</v>
      </c>
    </row>
    <row r="573" spans="1:7" x14ac:dyDescent="0.3">
      <c r="A573" s="42" t="s">
        <v>238</v>
      </c>
      <c r="B573" s="42" t="s">
        <v>788</v>
      </c>
      <c r="C573" s="42" t="s">
        <v>6314</v>
      </c>
      <c r="D573" s="43" t="s">
        <v>229</v>
      </c>
      <c r="E573" s="43" t="s">
        <v>92</v>
      </c>
      <c r="F573" s="42" t="s">
        <v>11469</v>
      </c>
      <c r="G573" t="s">
        <v>13197</v>
      </c>
    </row>
    <row r="574" spans="1:7" x14ac:dyDescent="0.3">
      <c r="A574" s="42" t="s">
        <v>238</v>
      </c>
      <c r="B574" s="42" t="s">
        <v>789</v>
      </c>
      <c r="C574" s="42" t="s">
        <v>6315</v>
      </c>
      <c r="D574" s="43" t="s">
        <v>229</v>
      </c>
      <c r="E574" s="43" t="s">
        <v>92</v>
      </c>
      <c r="F574" s="42" t="s">
        <v>11469</v>
      </c>
      <c r="G574" t="s">
        <v>13197</v>
      </c>
    </row>
    <row r="575" spans="1:7" x14ac:dyDescent="0.3">
      <c r="A575" s="42" t="s">
        <v>238</v>
      </c>
      <c r="B575" s="42" t="s">
        <v>790</v>
      </c>
      <c r="C575" s="42" t="s">
        <v>6316</v>
      </c>
      <c r="D575" s="43" t="s">
        <v>229</v>
      </c>
      <c r="E575" s="43" t="s">
        <v>92</v>
      </c>
      <c r="F575" s="42" t="s">
        <v>11469</v>
      </c>
      <c r="G575" t="s">
        <v>13197</v>
      </c>
    </row>
    <row r="576" spans="1:7" x14ac:dyDescent="0.3">
      <c r="A576" s="42" t="s">
        <v>238</v>
      </c>
      <c r="B576" s="42" t="s">
        <v>791</v>
      </c>
      <c r="C576" s="42" t="s">
        <v>6317</v>
      </c>
      <c r="D576" s="43" t="s">
        <v>229</v>
      </c>
      <c r="E576" s="43" t="s">
        <v>92</v>
      </c>
      <c r="F576" s="42" t="s">
        <v>11469</v>
      </c>
      <c r="G576" t="s">
        <v>13197</v>
      </c>
    </row>
    <row r="577" spans="1:7" x14ac:dyDescent="0.3">
      <c r="A577" s="42" t="s">
        <v>238</v>
      </c>
      <c r="B577" s="42" t="s">
        <v>792</v>
      </c>
      <c r="C577" s="42" t="s">
        <v>6318</v>
      </c>
      <c r="D577" s="43" t="s">
        <v>229</v>
      </c>
      <c r="E577" s="43" t="s">
        <v>92</v>
      </c>
      <c r="F577" s="42" t="s">
        <v>11469</v>
      </c>
      <c r="G577" t="s">
        <v>13197</v>
      </c>
    </row>
    <row r="578" spans="1:7" x14ac:dyDescent="0.3">
      <c r="A578" s="42" t="s">
        <v>238</v>
      </c>
      <c r="B578" s="42" t="s">
        <v>793</v>
      </c>
      <c r="C578" s="42" t="s">
        <v>6319</v>
      </c>
      <c r="D578" s="43" t="s">
        <v>229</v>
      </c>
      <c r="E578" s="43" t="s">
        <v>92</v>
      </c>
      <c r="F578" s="42" t="s">
        <v>11469</v>
      </c>
      <c r="G578" t="s">
        <v>13197</v>
      </c>
    </row>
    <row r="579" spans="1:7" x14ac:dyDescent="0.3">
      <c r="A579" s="42" t="s">
        <v>238</v>
      </c>
      <c r="B579" s="42" t="s">
        <v>794</v>
      </c>
      <c r="C579" s="42" t="s">
        <v>6320</v>
      </c>
      <c r="D579" s="43" t="s">
        <v>229</v>
      </c>
      <c r="E579" s="43" t="s">
        <v>92</v>
      </c>
      <c r="F579" s="42" t="s">
        <v>11469</v>
      </c>
      <c r="G579" t="s">
        <v>13197</v>
      </c>
    </row>
    <row r="580" spans="1:7" x14ac:dyDescent="0.3">
      <c r="A580" s="42" t="s">
        <v>238</v>
      </c>
      <c r="B580" s="42" t="s">
        <v>795</v>
      </c>
      <c r="C580" s="42" t="s">
        <v>6321</v>
      </c>
      <c r="D580" s="43" t="s">
        <v>229</v>
      </c>
      <c r="E580" s="43" t="s">
        <v>92</v>
      </c>
      <c r="F580" s="42" t="s">
        <v>11469</v>
      </c>
      <c r="G580" t="s">
        <v>13197</v>
      </c>
    </row>
    <row r="581" spans="1:7" x14ac:dyDescent="0.3">
      <c r="A581" s="42" t="s">
        <v>238</v>
      </c>
      <c r="B581" s="42" t="s">
        <v>796</v>
      </c>
      <c r="C581" s="42" t="s">
        <v>6322</v>
      </c>
      <c r="D581" s="43" t="s">
        <v>229</v>
      </c>
      <c r="E581" s="43" t="s">
        <v>92</v>
      </c>
      <c r="F581" s="42" t="s">
        <v>11469</v>
      </c>
      <c r="G581" t="s">
        <v>13197</v>
      </c>
    </row>
    <row r="582" spans="1:7" x14ac:dyDescent="0.3">
      <c r="A582" s="42" t="s">
        <v>238</v>
      </c>
      <c r="B582" s="42" t="s">
        <v>797</v>
      </c>
      <c r="C582" s="42" t="s">
        <v>6323</v>
      </c>
      <c r="D582" s="43" t="s">
        <v>229</v>
      </c>
      <c r="E582" s="43" t="s">
        <v>92</v>
      </c>
      <c r="F582" s="42" t="s">
        <v>11469</v>
      </c>
      <c r="G582" t="s">
        <v>13197</v>
      </c>
    </row>
    <row r="583" spans="1:7" x14ac:dyDescent="0.3">
      <c r="A583" s="42" t="s">
        <v>238</v>
      </c>
      <c r="B583" s="42" t="s">
        <v>798</v>
      </c>
      <c r="C583" s="42" t="s">
        <v>6324</v>
      </c>
      <c r="D583" s="43" t="s">
        <v>229</v>
      </c>
      <c r="E583" s="43" t="s">
        <v>92</v>
      </c>
      <c r="F583" s="42" t="s">
        <v>11469</v>
      </c>
      <c r="G583" t="s">
        <v>13198</v>
      </c>
    </row>
    <row r="584" spans="1:7" x14ac:dyDescent="0.3">
      <c r="A584" s="42" t="s">
        <v>238</v>
      </c>
      <c r="B584" s="42" t="s">
        <v>799</v>
      </c>
      <c r="C584" s="42" t="s">
        <v>6325</v>
      </c>
      <c r="D584" s="43" t="s">
        <v>229</v>
      </c>
      <c r="E584" s="43" t="s">
        <v>92</v>
      </c>
      <c r="F584" s="42" t="s">
        <v>11469</v>
      </c>
      <c r="G584" t="s">
        <v>13197</v>
      </c>
    </row>
    <row r="585" spans="1:7" x14ac:dyDescent="0.3">
      <c r="A585" s="42" t="s">
        <v>238</v>
      </c>
      <c r="B585" s="42" t="s">
        <v>800</v>
      </c>
      <c r="C585" s="42" t="s">
        <v>6326</v>
      </c>
      <c r="D585" s="43" t="s">
        <v>229</v>
      </c>
      <c r="E585" s="43" t="s">
        <v>92</v>
      </c>
      <c r="F585" s="42" t="s">
        <v>11469</v>
      </c>
      <c r="G585" t="s">
        <v>13197</v>
      </c>
    </row>
    <row r="586" spans="1:7" x14ac:dyDescent="0.3">
      <c r="A586" s="42" t="s">
        <v>238</v>
      </c>
      <c r="B586" s="42" t="s">
        <v>801</v>
      </c>
      <c r="C586" s="42" t="s">
        <v>6327</v>
      </c>
      <c r="D586" s="43" t="s">
        <v>229</v>
      </c>
      <c r="E586" s="43" t="s">
        <v>92</v>
      </c>
      <c r="F586" s="42" t="s">
        <v>11469</v>
      </c>
      <c r="G586" t="s">
        <v>13197</v>
      </c>
    </row>
    <row r="587" spans="1:7" x14ac:dyDescent="0.3">
      <c r="A587" s="42" t="s">
        <v>238</v>
      </c>
      <c r="B587" s="42" t="s">
        <v>802</v>
      </c>
      <c r="C587" s="42" t="s">
        <v>6328</v>
      </c>
      <c r="D587" s="43" t="s">
        <v>229</v>
      </c>
      <c r="E587" s="43" t="s">
        <v>92</v>
      </c>
      <c r="F587" s="42" t="s">
        <v>11469</v>
      </c>
      <c r="G587" t="s">
        <v>13197</v>
      </c>
    </row>
    <row r="588" spans="1:7" x14ac:dyDescent="0.3">
      <c r="A588" s="42" t="s">
        <v>238</v>
      </c>
      <c r="B588" s="42" t="s">
        <v>803</v>
      </c>
      <c r="C588" s="42" t="s">
        <v>6329</v>
      </c>
      <c r="D588" s="43" t="s">
        <v>229</v>
      </c>
      <c r="E588" s="43" t="s">
        <v>92</v>
      </c>
      <c r="F588" s="42" t="s">
        <v>11469</v>
      </c>
      <c r="G588" t="s">
        <v>13197</v>
      </c>
    </row>
    <row r="589" spans="1:7" x14ac:dyDescent="0.3">
      <c r="A589" s="42" t="s">
        <v>238</v>
      </c>
      <c r="B589" s="42" t="s">
        <v>804</v>
      </c>
      <c r="C589" s="42" t="s">
        <v>6330</v>
      </c>
      <c r="D589" s="43" t="s">
        <v>229</v>
      </c>
      <c r="E589" s="43" t="s">
        <v>92</v>
      </c>
      <c r="F589" s="42" t="s">
        <v>11469</v>
      </c>
      <c r="G589" t="s">
        <v>13197</v>
      </c>
    </row>
    <row r="590" spans="1:7" x14ac:dyDescent="0.3">
      <c r="A590" s="42" t="s">
        <v>238</v>
      </c>
      <c r="B590" s="42" t="s">
        <v>805</v>
      </c>
      <c r="C590" s="42" t="s">
        <v>6331</v>
      </c>
      <c r="D590" s="43" t="s">
        <v>229</v>
      </c>
      <c r="E590" s="43" t="s">
        <v>92</v>
      </c>
      <c r="F590" s="42" t="s">
        <v>11469</v>
      </c>
      <c r="G590" t="s">
        <v>13197</v>
      </c>
    </row>
    <row r="591" spans="1:7" x14ac:dyDescent="0.3">
      <c r="A591" s="42" t="s">
        <v>238</v>
      </c>
      <c r="B591" s="42" t="s">
        <v>806</v>
      </c>
      <c r="C591" s="42" t="s">
        <v>6332</v>
      </c>
      <c r="D591" s="43" t="s">
        <v>229</v>
      </c>
      <c r="E591" s="43" t="s">
        <v>92</v>
      </c>
      <c r="F591" s="42" t="s">
        <v>11469</v>
      </c>
      <c r="G591" t="s">
        <v>13197</v>
      </c>
    </row>
    <row r="592" spans="1:7" x14ac:dyDescent="0.3">
      <c r="A592" s="42" t="s">
        <v>238</v>
      </c>
      <c r="B592" s="42" t="s">
        <v>807</v>
      </c>
      <c r="C592" s="42" t="s">
        <v>6333</v>
      </c>
      <c r="D592" s="43" t="s">
        <v>229</v>
      </c>
      <c r="E592" s="43" t="s">
        <v>92</v>
      </c>
      <c r="F592" s="42" t="s">
        <v>11469</v>
      </c>
      <c r="G592" t="s">
        <v>13197</v>
      </c>
    </row>
    <row r="593" spans="1:7" x14ac:dyDescent="0.3">
      <c r="A593" s="42" t="s">
        <v>238</v>
      </c>
      <c r="B593" s="42" t="s">
        <v>808</v>
      </c>
      <c r="C593" s="42" t="s">
        <v>6334</v>
      </c>
      <c r="D593" s="43" t="s">
        <v>229</v>
      </c>
      <c r="E593" s="43" t="s">
        <v>92</v>
      </c>
      <c r="F593" s="42" t="s">
        <v>11469</v>
      </c>
      <c r="G593" t="s">
        <v>13197</v>
      </c>
    </row>
    <row r="594" spans="1:7" x14ac:dyDescent="0.3">
      <c r="A594" s="42" t="s">
        <v>238</v>
      </c>
      <c r="B594" s="42" t="s">
        <v>809</v>
      </c>
      <c r="C594" s="42" t="s">
        <v>6335</v>
      </c>
      <c r="D594" s="43" t="s">
        <v>229</v>
      </c>
      <c r="E594" s="43" t="s">
        <v>92</v>
      </c>
      <c r="F594" s="42" t="s">
        <v>11469</v>
      </c>
      <c r="G594" t="s">
        <v>13197</v>
      </c>
    </row>
    <row r="595" spans="1:7" x14ac:dyDescent="0.3">
      <c r="A595" s="42" t="s">
        <v>238</v>
      </c>
      <c r="B595" s="42" t="s">
        <v>810</v>
      </c>
      <c r="C595" s="42" t="s">
        <v>6336</v>
      </c>
      <c r="D595" s="43" t="s">
        <v>229</v>
      </c>
      <c r="E595" s="43" t="s">
        <v>92</v>
      </c>
      <c r="F595" s="42" t="s">
        <v>11469</v>
      </c>
      <c r="G595" t="s">
        <v>13197</v>
      </c>
    </row>
    <row r="596" spans="1:7" x14ac:dyDescent="0.3">
      <c r="A596" s="42" t="s">
        <v>238</v>
      </c>
      <c r="B596" s="42" t="s">
        <v>811</v>
      </c>
      <c r="C596" s="42" t="s">
        <v>6337</v>
      </c>
      <c r="D596" s="43" t="s">
        <v>229</v>
      </c>
      <c r="E596" s="43" t="s">
        <v>92</v>
      </c>
      <c r="F596" s="42" t="s">
        <v>11469</v>
      </c>
      <c r="G596" t="s">
        <v>13197</v>
      </c>
    </row>
    <row r="597" spans="1:7" x14ac:dyDescent="0.3">
      <c r="A597" s="42" t="s">
        <v>238</v>
      </c>
      <c r="B597" s="42" t="s">
        <v>812</v>
      </c>
      <c r="C597" s="42" t="s">
        <v>6338</v>
      </c>
      <c r="D597" s="43" t="s">
        <v>229</v>
      </c>
      <c r="E597" s="43" t="s">
        <v>92</v>
      </c>
      <c r="F597" s="42" t="s">
        <v>11469</v>
      </c>
      <c r="G597" t="s">
        <v>13197</v>
      </c>
    </row>
    <row r="598" spans="1:7" x14ac:dyDescent="0.3">
      <c r="A598" s="42" t="s">
        <v>238</v>
      </c>
      <c r="B598" s="42" t="s">
        <v>813</v>
      </c>
      <c r="C598" s="42" t="s">
        <v>6339</v>
      </c>
      <c r="D598" s="43" t="s">
        <v>229</v>
      </c>
      <c r="E598" s="43" t="s">
        <v>92</v>
      </c>
      <c r="F598" s="42" t="s">
        <v>11469</v>
      </c>
      <c r="G598" t="s">
        <v>13197</v>
      </c>
    </row>
    <row r="599" spans="1:7" x14ac:dyDescent="0.3">
      <c r="A599" s="42" t="s">
        <v>238</v>
      </c>
      <c r="B599" s="42" t="s">
        <v>814</v>
      </c>
      <c r="C599" s="42" t="s">
        <v>6340</v>
      </c>
      <c r="D599" s="43" t="s">
        <v>229</v>
      </c>
      <c r="E599" s="43" t="s">
        <v>92</v>
      </c>
      <c r="F599" s="42" t="s">
        <v>11469</v>
      </c>
      <c r="G599" t="s">
        <v>13197</v>
      </c>
    </row>
    <row r="600" spans="1:7" x14ac:dyDescent="0.3">
      <c r="A600" s="42" t="s">
        <v>238</v>
      </c>
      <c r="B600" s="42" t="s">
        <v>815</v>
      </c>
      <c r="C600" s="42" t="s">
        <v>6341</v>
      </c>
      <c r="D600" s="43" t="s">
        <v>229</v>
      </c>
      <c r="E600" s="43" t="s">
        <v>92</v>
      </c>
      <c r="F600" s="42" t="s">
        <v>11469</v>
      </c>
      <c r="G600" t="s">
        <v>13197</v>
      </c>
    </row>
    <row r="601" spans="1:7" x14ac:dyDescent="0.3">
      <c r="A601" s="42" t="s">
        <v>238</v>
      </c>
      <c r="B601" s="42" t="s">
        <v>816</v>
      </c>
      <c r="C601" s="42" t="s">
        <v>6342</v>
      </c>
      <c r="D601" s="43" t="s">
        <v>229</v>
      </c>
      <c r="E601" s="43" t="s">
        <v>92</v>
      </c>
      <c r="F601" s="42" t="s">
        <v>11469</v>
      </c>
      <c r="G601" t="s">
        <v>13197</v>
      </c>
    </row>
    <row r="602" spans="1:7" x14ac:dyDescent="0.3">
      <c r="A602" s="42" t="s">
        <v>238</v>
      </c>
      <c r="B602" s="42" t="s">
        <v>817</v>
      </c>
      <c r="C602" s="42" t="s">
        <v>6343</v>
      </c>
      <c r="D602" s="43" t="s">
        <v>229</v>
      </c>
      <c r="E602" s="43" t="s">
        <v>92</v>
      </c>
      <c r="F602" s="42" t="s">
        <v>11469</v>
      </c>
      <c r="G602" t="s">
        <v>13197</v>
      </c>
    </row>
    <row r="603" spans="1:7" x14ac:dyDescent="0.3">
      <c r="A603" s="42" t="s">
        <v>238</v>
      </c>
      <c r="B603" s="42" t="s">
        <v>818</v>
      </c>
      <c r="C603" s="42" t="s">
        <v>6344</v>
      </c>
      <c r="D603" s="43" t="s">
        <v>229</v>
      </c>
      <c r="E603" s="43" t="s">
        <v>92</v>
      </c>
      <c r="F603" s="42" t="s">
        <v>11469</v>
      </c>
      <c r="G603" t="s">
        <v>13197</v>
      </c>
    </row>
    <row r="604" spans="1:7" x14ac:dyDescent="0.3">
      <c r="A604" s="42" t="s">
        <v>238</v>
      </c>
      <c r="B604" s="42" t="s">
        <v>819</v>
      </c>
      <c r="C604" s="42" t="s">
        <v>6345</v>
      </c>
      <c r="D604" s="43" t="s">
        <v>229</v>
      </c>
      <c r="E604" s="43" t="s">
        <v>92</v>
      </c>
      <c r="F604" s="42" t="s">
        <v>11469</v>
      </c>
      <c r="G604" t="s">
        <v>13197</v>
      </c>
    </row>
    <row r="605" spans="1:7" x14ac:dyDescent="0.3">
      <c r="A605" s="42" t="s">
        <v>238</v>
      </c>
      <c r="B605" s="42" t="s">
        <v>820</v>
      </c>
      <c r="C605" s="42" t="s">
        <v>6346</v>
      </c>
      <c r="D605" s="43" t="s">
        <v>229</v>
      </c>
      <c r="E605" s="43" t="s">
        <v>92</v>
      </c>
      <c r="F605" s="42" t="s">
        <v>11469</v>
      </c>
      <c r="G605" t="s">
        <v>13197</v>
      </c>
    </row>
    <row r="606" spans="1:7" x14ac:dyDescent="0.3">
      <c r="A606" s="42" t="s">
        <v>238</v>
      </c>
      <c r="B606" s="42" t="s">
        <v>821</v>
      </c>
      <c r="C606" s="42" t="s">
        <v>6347</v>
      </c>
      <c r="D606" s="43" t="s">
        <v>229</v>
      </c>
      <c r="E606" s="43" t="s">
        <v>92</v>
      </c>
      <c r="F606" s="42" t="s">
        <v>11469</v>
      </c>
      <c r="G606" t="s">
        <v>13197</v>
      </c>
    </row>
    <row r="607" spans="1:7" x14ac:dyDescent="0.3">
      <c r="A607" s="42" t="s">
        <v>238</v>
      </c>
      <c r="B607" s="42" t="s">
        <v>822</v>
      </c>
      <c r="C607" s="42" t="s">
        <v>6348</v>
      </c>
      <c r="D607" s="43" t="s">
        <v>229</v>
      </c>
      <c r="E607" s="43" t="s">
        <v>92</v>
      </c>
      <c r="F607" s="42" t="s">
        <v>11469</v>
      </c>
      <c r="G607" t="s">
        <v>13197</v>
      </c>
    </row>
    <row r="608" spans="1:7" x14ac:dyDescent="0.3">
      <c r="A608" s="42" t="s">
        <v>238</v>
      </c>
      <c r="B608" s="42" t="s">
        <v>823</v>
      </c>
      <c r="C608" s="42" t="s">
        <v>6349</v>
      </c>
      <c r="D608" s="43" t="s">
        <v>229</v>
      </c>
      <c r="E608" s="43" t="s">
        <v>92</v>
      </c>
      <c r="F608" s="42" t="s">
        <v>11469</v>
      </c>
      <c r="G608" t="s">
        <v>13197</v>
      </c>
    </row>
    <row r="609" spans="1:7" x14ac:dyDescent="0.3">
      <c r="A609" s="42" t="s">
        <v>238</v>
      </c>
      <c r="B609" s="42" t="s">
        <v>824</v>
      </c>
      <c r="C609" s="42" t="s">
        <v>6350</v>
      </c>
      <c r="D609" s="43" t="s">
        <v>229</v>
      </c>
      <c r="E609" s="43" t="s">
        <v>92</v>
      </c>
      <c r="F609" s="42" t="s">
        <v>11469</v>
      </c>
      <c r="G609" t="s">
        <v>13197</v>
      </c>
    </row>
    <row r="610" spans="1:7" x14ac:dyDescent="0.3">
      <c r="A610" s="42" t="s">
        <v>238</v>
      </c>
      <c r="B610" s="42" t="s">
        <v>825</v>
      </c>
      <c r="C610" s="42" t="s">
        <v>6351</v>
      </c>
      <c r="D610" s="43" t="s">
        <v>229</v>
      </c>
      <c r="E610" s="43" t="s">
        <v>92</v>
      </c>
      <c r="F610" s="42" t="s">
        <v>11469</v>
      </c>
      <c r="G610" t="s">
        <v>13197</v>
      </c>
    </row>
    <row r="611" spans="1:7" x14ac:dyDescent="0.3">
      <c r="A611" s="42" t="s">
        <v>238</v>
      </c>
      <c r="B611" s="42" t="s">
        <v>826</v>
      </c>
      <c r="C611" s="42" t="s">
        <v>6352</v>
      </c>
      <c r="D611" s="43" t="s">
        <v>229</v>
      </c>
      <c r="E611" s="43" t="s">
        <v>92</v>
      </c>
      <c r="F611" s="42" t="s">
        <v>11469</v>
      </c>
      <c r="G611" t="s">
        <v>13197</v>
      </c>
    </row>
    <row r="612" spans="1:7" x14ac:dyDescent="0.3">
      <c r="A612" s="42" t="s">
        <v>238</v>
      </c>
      <c r="B612" s="42" t="s">
        <v>827</v>
      </c>
      <c r="C612" s="42" t="s">
        <v>6353</v>
      </c>
      <c r="D612" s="43" t="s">
        <v>229</v>
      </c>
      <c r="E612" s="43" t="s">
        <v>92</v>
      </c>
      <c r="F612" s="42" t="s">
        <v>11469</v>
      </c>
      <c r="G612" t="s">
        <v>13197</v>
      </c>
    </row>
    <row r="613" spans="1:7" x14ac:dyDescent="0.3">
      <c r="A613" s="42" t="s">
        <v>238</v>
      </c>
      <c r="B613" s="42" t="s">
        <v>828</v>
      </c>
      <c r="C613" s="42" t="s">
        <v>6354</v>
      </c>
      <c r="D613" s="43" t="s">
        <v>229</v>
      </c>
      <c r="E613" s="43" t="s">
        <v>92</v>
      </c>
      <c r="F613" s="42" t="s">
        <v>11469</v>
      </c>
      <c r="G613" t="s">
        <v>13197</v>
      </c>
    </row>
    <row r="614" spans="1:7" x14ac:dyDescent="0.3">
      <c r="A614" s="42" t="s">
        <v>238</v>
      </c>
      <c r="B614" s="42" t="s">
        <v>829</v>
      </c>
      <c r="C614" s="42" t="s">
        <v>6355</v>
      </c>
      <c r="D614" s="43" t="s">
        <v>229</v>
      </c>
      <c r="E614" s="43" t="s">
        <v>92</v>
      </c>
      <c r="F614" s="42" t="s">
        <v>11469</v>
      </c>
      <c r="G614" t="s">
        <v>13197</v>
      </c>
    </row>
    <row r="615" spans="1:7" x14ac:dyDescent="0.3">
      <c r="A615" s="42" t="s">
        <v>238</v>
      </c>
      <c r="B615" s="42" t="s">
        <v>830</v>
      </c>
      <c r="C615" s="42" t="s">
        <v>6356</v>
      </c>
      <c r="D615" s="43" t="s">
        <v>229</v>
      </c>
      <c r="E615" s="43" t="s">
        <v>92</v>
      </c>
      <c r="F615" s="42" t="s">
        <v>11469</v>
      </c>
      <c r="G615" t="s">
        <v>13197</v>
      </c>
    </row>
    <row r="616" spans="1:7" x14ac:dyDescent="0.3">
      <c r="A616" s="42" t="s">
        <v>238</v>
      </c>
      <c r="B616" s="42" t="s">
        <v>831</v>
      </c>
      <c r="C616" s="42" t="s">
        <v>6357</v>
      </c>
      <c r="D616" s="43" t="s">
        <v>229</v>
      </c>
      <c r="E616" s="43" t="s">
        <v>92</v>
      </c>
      <c r="F616" s="42" t="s">
        <v>11469</v>
      </c>
      <c r="G616" t="s">
        <v>13197</v>
      </c>
    </row>
    <row r="617" spans="1:7" x14ac:dyDescent="0.3">
      <c r="A617" s="42" t="s">
        <v>238</v>
      </c>
      <c r="B617" s="42" t="s">
        <v>832</v>
      </c>
      <c r="C617" s="42" t="s">
        <v>6358</v>
      </c>
      <c r="D617" s="43" t="s">
        <v>229</v>
      </c>
      <c r="E617" s="43" t="s">
        <v>92</v>
      </c>
      <c r="F617" s="42" t="s">
        <v>11469</v>
      </c>
      <c r="G617" t="s">
        <v>13197</v>
      </c>
    </row>
    <row r="618" spans="1:7" x14ac:dyDescent="0.3">
      <c r="A618" s="42" t="s">
        <v>238</v>
      </c>
      <c r="B618" s="42" t="s">
        <v>833</v>
      </c>
      <c r="C618" s="42" t="s">
        <v>6359</v>
      </c>
      <c r="D618" s="43" t="s">
        <v>229</v>
      </c>
      <c r="E618" s="43" t="s">
        <v>92</v>
      </c>
      <c r="F618" s="42" t="s">
        <v>11469</v>
      </c>
      <c r="G618" t="s">
        <v>13197</v>
      </c>
    </row>
    <row r="619" spans="1:7" x14ac:dyDescent="0.3">
      <c r="A619" s="42" t="s">
        <v>238</v>
      </c>
      <c r="B619" s="42" t="s">
        <v>834</v>
      </c>
      <c r="C619" s="42" t="s">
        <v>6360</v>
      </c>
      <c r="D619" s="43" t="s">
        <v>229</v>
      </c>
      <c r="E619" s="43" t="s">
        <v>92</v>
      </c>
      <c r="F619" s="42" t="s">
        <v>11469</v>
      </c>
      <c r="G619" t="s">
        <v>13197</v>
      </c>
    </row>
    <row r="620" spans="1:7" x14ac:dyDescent="0.3">
      <c r="A620" s="42" t="s">
        <v>238</v>
      </c>
      <c r="B620" s="42" t="s">
        <v>835</v>
      </c>
      <c r="C620" s="42" t="s">
        <v>6361</v>
      </c>
      <c r="D620" s="43" t="s">
        <v>229</v>
      </c>
      <c r="E620" s="43" t="s">
        <v>92</v>
      </c>
      <c r="F620" s="42" t="s">
        <v>11469</v>
      </c>
      <c r="G620" t="s">
        <v>13197</v>
      </c>
    </row>
    <row r="621" spans="1:7" x14ac:dyDescent="0.3">
      <c r="A621" s="42" t="s">
        <v>238</v>
      </c>
      <c r="B621" s="42" t="s">
        <v>836</v>
      </c>
      <c r="C621" s="42" t="s">
        <v>6362</v>
      </c>
      <c r="D621" s="43" t="s">
        <v>229</v>
      </c>
      <c r="E621" s="43" t="s">
        <v>92</v>
      </c>
      <c r="F621" s="42" t="s">
        <v>11469</v>
      </c>
      <c r="G621" t="s">
        <v>13197</v>
      </c>
    </row>
    <row r="622" spans="1:7" x14ac:dyDescent="0.3">
      <c r="A622" s="42" t="s">
        <v>238</v>
      </c>
      <c r="B622" s="42" t="s">
        <v>837</v>
      </c>
      <c r="C622" s="42" t="s">
        <v>6363</v>
      </c>
      <c r="D622" s="43" t="s">
        <v>229</v>
      </c>
      <c r="E622" s="43" t="s">
        <v>92</v>
      </c>
      <c r="F622" s="42" t="s">
        <v>11469</v>
      </c>
      <c r="G622" t="s">
        <v>13197</v>
      </c>
    </row>
    <row r="623" spans="1:7" x14ac:dyDescent="0.3">
      <c r="A623" s="42" t="s">
        <v>238</v>
      </c>
      <c r="B623" s="42" t="s">
        <v>838</v>
      </c>
      <c r="C623" s="42" t="s">
        <v>6364</v>
      </c>
      <c r="D623" s="43" t="s">
        <v>229</v>
      </c>
      <c r="E623" s="43" t="s">
        <v>92</v>
      </c>
      <c r="F623" s="42" t="s">
        <v>11469</v>
      </c>
      <c r="G623" t="s">
        <v>13197</v>
      </c>
    </row>
    <row r="624" spans="1:7" x14ac:dyDescent="0.3">
      <c r="A624" s="42" t="s">
        <v>238</v>
      </c>
      <c r="B624" s="42" t="s">
        <v>839</v>
      </c>
      <c r="C624" s="42" t="s">
        <v>6365</v>
      </c>
      <c r="D624" s="43" t="s">
        <v>229</v>
      </c>
      <c r="E624" s="43" t="s">
        <v>92</v>
      </c>
      <c r="F624" s="42" t="s">
        <v>11469</v>
      </c>
      <c r="G624" t="s">
        <v>13197</v>
      </c>
    </row>
    <row r="625" spans="1:7" x14ac:dyDescent="0.3">
      <c r="A625" s="42" t="s">
        <v>238</v>
      </c>
      <c r="B625" s="42" t="s">
        <v>840</v>
      </c>
      <c r="C625" s="42" t="s">
        <v>6366</v>
      </c>
      <c r="D625" s="43" t="s">
        <v>229</v>
      </c>
      <c r="E625" s="43" t="s">
        <v>92</v>
      </c>
      <c r="F625" s="42" t="s">
        <v>11469</v>
      </c>
      <c r="G625" t="s">
        <v>13197</v>
      </c>
    </row>
    <row r="626" spans="1:7" x14ac:dyDescent="0.3">
      <c r="A626" s="42" t="s">
        <v>238</v>
      </c>
      <c r="B626" s="42" t="s">
        <v>841</v>
      </c>
      <c r="C626" s="42" t="s">
        <v>6367</v>
      </c>
      <c r="D626" s="43" t="s">
        <v>229</v>
      </c>
      <c r="E626" s="43" t="s">
        <v>92</v>
      </c>
      <c r="F626" s="42" t="s">
        <v>11469</v>
      </c>
      <c r="G626" t="s">
        <v>13197</v>
      </c>
    </row>
    <row r="627" spans="1:7" x14ac:dyDescent="0.3">
      <c r="A627" s="42" t="s">
        <v>238</v>
      </c>
      <c r="B627" s="42" t="s">
        <v>842</v>
      </c>
      <c r="C627" s="42" t="s">
        <v>6368</v>
      </c>
      <c r="D627" s="43" t="s">
        <v>229</v>
      </c>
      <c r="E627" s="43" t="s">
        <v>92</v>
      </c>
      <c r="F627" s="42" t="s">
        <v>11469</v>
      </c>
      <c r="G627" t="s">
        <v>13200</v>
      </c>
    </row>
    <row r="628" spans="1:7" x14ac:dyDescent="0.3">
      <c r="A628" s="42" t="s">
        <v>238</v>
      </c>
      <c r="B628" s="42" t="s">
        <v>843</v>
      </c>
      <c r="C628" s="42" t="s">
        <v>6369</v>
      </c>
      <c r="D628" s="43" t="s">
        <v>229</v>
      </c>
      <c r="E628" s="43" t="s">
        <v>92</v>
      </c>
      <c r="F628" s="42" t="s">
        <v>11469</v>
      </c>
      <c r="G628" t="s">
        <v>13197</v>
      </c>
    </row>
    <row r="629" spans="1:7" x14ac:dyDescent="0.3">
      <c r="A629" s="42" t="s">
        <v>238</v>
      </c>
      <c r="B629" s="42" t="s">
        <v>844</v>
      </c>
      <c r="C629" s="42" t="s">
        <v>6370</v>
      </c>
      <c r="D629" s="43" t="s">
        <v>229</v>
      </c>
      <c r="E629" s="43" t="s">
        <v>92</v>
      </c>
      <c r="F629" s="42" t="s">
        <v>11469</v>
      </c>
      <c r="G629" t="s">
        <v>13197</v>
      </c>
    </row>
    <row r="630" spans="1:7" x14ac:dyDescent="0.3">
      <c r="A630" s="42" t="s">
        <v>238</v>
      </c>
      <c r="B630" s="42" t="s">
        <v>845</v>
      </c>
      <c r="C630" s="42" t="s">
        <v>6371</v>
      </c>
      <c r="D630" s="43" t="s">
        <v>229</v>
      </c>
      <c r="E630" s="43" t="s">
        <v>92</v>
      </c>
      <c r="F630" s="42" t="s">
        <v>192</v>
      </c>
      <c r="G630" t="s">
        <v>13196</v>
      </c>
    </row>
    <row r="631" spans="1:7" x14ac:dyDescent="0.3">
      <c r="A631" s="42" t="s">
        <v>238</v>
      </c>
      <c r="B631" s="42" t="s">
        <v>846</v>
      </c>
      <c r="C631" s="42" t="s">
        <v>6372</v>
      </c>
      <c r="D631" s="43" t="s">
        <v>229</v>
      </c>
      <c r="E631" s="43" t="s">
        <v>92</v>
      </c>
      <c r="F631" s="42" t="s">
        <v>11469</v>
      </c>
      <c r="G631" t="s">
        <v>13197</v>
      </c>
    </row>
    <row r="632" spans="1:7" x14ac:dyDescent="0.3">
      <c r="A632" s="42" t="s">
        <v>238</v>
      </c>
      <c r="B632" s="42" t="s">
        <v>847</v>
      </c>
      <c r="C632" s="42" t="s">
        <v>6373</v>
      </c>
      <c r="D632" s="43" t="s">
        <v>229</v>
      </c>
      <c r="E632" s="43" t="s">
        <v>92</v>
      </c>
      <c r="F632" s="42" t="s">
        <v>137</v>
      </c>
      <c r="G632" t="s">
        <v>13197</v>
      </c>
    </row>
    <row r="633" spans="1:7" x14ac:dyDescent="0.3">
      <c r="A633" s="42" t="s">
        <v>238</v>
      </c>
      <c r="B633" s="42" t="s">
        <v>848</v>
      </c>
      <c r="C633" s="42" t="s">
        <v>6374</v>
      </c>
      <c r="D633" s="43" t="s">
        <v>229</v>
      </c>
      <c r="E633" s="43" t="s">
        <v>92</v>
      </c>
      <c r="F633" s="42" t="s">
        <v>11469</v>
      </c>
      <c r="G633" t="s">
        <v>13197</v>
      </c>
    </row>
    <row r="634" spans="1:7" x14ac:dyDescent="0.3">
      <c r="A634" s="42" t="s">
        <v>238</v>
      </c>
      <c r="B634" s="42" t="s">
        <v>849</v>
      </c>
      <c r="C634" s="42" t="s">
        <v>6375</v>
      </c>
      <c r="D634" s="43" t="s">
        <v>229</v>
      </c>
      <c r="E634" s="43" t="s">
        <v>92</v>
      </c>
      <c r="F634" s="42" t="s">
        <v>11469</v>
      </c>
      <c r="G634" t="s">
        <v>13197</v>
      </c>
    </row>
    <row r="635" spans="1:7" x14ac:dyDescent="0.3">
      <c r="A635" s="42" t="s">
        <v>238</v>
      </c>
      <c r="B635" s="42" t="s">
        <v>850</v>
      </c>
      <c r="C635" s="42" t="s">
        <v>6376</v>
      </c>
      <c r="D635" s="43" t="s">
        <v>229</v>
      </c>
      <c r="E635" s="43" t="s">
        <v>92</v>
      </c>
      <c r="F635" s="42" t="s">
        <v>11469</v>
      </c>
      <c r="G635" t="s">
        <v>13197</v>
      </c>
    </row>
    <row r="636" spans="1:7" x14ac:dyDescent="0.3">
      <c r="A636" s="42" t="s">
        <v>238</v>
      </c>
      <c r="B636" s="42" t="s">
        <v>851</v>
      </c>
      <c r="C636" s="42" t="s">
        <v>6377</v>
      </c>
      <c r="D636" s="43" t="s">
        <v>229</v>
      </c>
      <c r="E636" s="43" t="s">
        <v>92</v>
      </c>
      <c r="F636" s="42" t="s">
        <v>11469</v>
      </c>
      <c r="G636" t="s">
        <v>13197</v>
      </c>
    </row>
    <row r="637" spans="1:7" x14ac:dyDescent="0.3">
      <c r="A637" s="42" t="s">
        <v>238</v>
      </c>
      <c r="B637" s="42" t="s">
        <v>852</v>
      </c>
      <c r="C637" s="42" t="s">
        <v>6378</v>
      </c>
      <c r="D637" s="43" t="s">
        <v>229</v>
      </c>
      <c r="E637" s="43" t="s">
        <v>92</v>
      </c>
      <c r="F637" s="42" t="s">
        <v>11469</v>
      </c>
      <c r="G637" t="s">
        <v>13197</v>
      </c>
    </row>
    <row r="638" spans="1:7" x14ac:dyDescent="0.3">
      <c r="A638" s="42" t="s">
        <v>238</v>
      </c>
      <c r="B638" s="42" t="s">
        <v>853</v>
      </c>
      <c r="C638" s="42" t="s">
        <v>6379</v>
      </c>
      <c r="D638" s="43" t="s">
        <v>229</v>
      </c>
      <c r="E638" s="43" t="s">
        <v>92</v>
      </c>
      <c r="F638" s="42" t="s">
        <v>11469</v>
      </c>
      <c r="G638" t="s">
        <v>13197</v>
      </c>
    </row>
    <row r="639" spans="1:7" x14ac:dyDescent="0.3">
      <c r="A639" s="42" t="s">
        <v>238</v>
      </c>
      <c r="B639" s="42" t="s">
        <v>854</v>
      </c>
      <c r="C639" s="42" t="s">
        <v>6380</v>
      </c>
      <c r="D639" s="43" t="s">
        <v>229</v>
      </c>
      <c r="E639" s="43" t="s">
        <v>92</v>
      </c>
      <c r="F639" s="42" t="s">
        <v>11469</v>
      </c>
      <c r="G639" t="s">
        <v>13197</v>
      </c>
    </row>
    <row r="640" spans="1:7" x14ac:dyDescent="0.3">
      <c r="A640" s="42" t="s">
        <v>238</v>
      </c>
      <c r="B640" s="42" t="s">
        <v>855</v>
      </c>
      <c r="C640" s="42" t="s">
        <v>6381</v>
      </c>
      <c r="D640" s="43" t="s">
        <v>229</v>
      </c>
      <c r="E640" s="43" t="s">
        <v>92</v>
      </c>
      <c r="F640" s="42" t="s">
        <v>11469</v>
      </c>
      <c r="G640" t="s">
        <v>13197</v>
      </c>
    </row>
    <row r="641" spans="1:7" x14ac:dyDescent="0.3">
      <c r="A641" s="42" t="s">
        <v>238</v>
      </c>
      <c r="B641" s="42" t="s">
        <v>856</v>
      </c>
      <c r="C641" s="42" t="s">
        <v>6382</v>
      </c>
      <c r="D641" s="43" t="s">
        <v>229</v>
      </c>
      <c r="E641" s="43" t="s">
        <v>92</v>
      </c>
      <c r="F641" s="42" t="s">
        <v>11469</v>
      </c>
      <c r="G641" t="s">
        <v>13197</v>
      </c>
    </row>
    <row r="642" spans="1:7" x14ac:dyDescent="0.3">
      <c r="A642" s="42" t="s">
        <v>238</v>
      </c>
      <c r="B642" s="42" t="s">
        <v>857</v>
      </c>
      <c r="C642" s="42" t="s">
        <v>6383</v>
      </c>
      <c r="D642" s="43" t="s">
        <v>229</v>
      </c>
      <c r="E642" s="43" t="s">
        <v>92</v>
      </c>
      <c r="F642" s="42" t="s">
        <v>11469</v>
      </c>
      <c r="G642" t="s">
        <v>13197</v>
      </c>
    </row>
    <row r="643" spans="1:7" x14ac:dyDescent="0.3">
      <c r="A643" s="42" t="s">
        <v>238</v>
      </c>
      <c r="B643" s="42" t="s">
        <v>858</v>
      </c>
      <c r="C643" s="42" t="s">
        <v>6384</v>
      </c>
      <c r="D643" s="43" t="s">
        <v>229</v>
      </c>
      <c r="E643" s="43" t="s">
        <v>92</v>
      </c>
      <c r="F643" s="42" t="s">
        <v>11469</v>
      </c>
      <c r="G643" t="s">
        <v>13197</v>
      </c>
    </row>
    <row r="644" spans="1:7" x14ac:dyDescent="0.3">
      <c r="A644" s="42" t="s">
        <v>238</v>
      </c>
      <c r="B644" s="42" t="s">
        <v>859</v>
      </c>
      <c r="C644" s="42" t="s">
        <v>6385</v>
      </c>
      <c r="D644" s="43" t="s">
        <v>229</v>
      </c>
      <c r="E644" s="43" t="s">
        <v>92</v>
      </c>
      <c r="F644" s="42" t="s">
        <v>11469</v>
      </c>
      <c r="G644" t="s">
        <v>13197</v>
      </c>
    </row>
    <row r="645" spans="1:7" x14ac:dyDescent="0.3">
      <c r="A645" s="42" t="s">
        <v>238</v>
      </c>
      <c r="B645" s="42" t="s">
        <v>860</v>
      </c>
      <c r="C645" s="42" t="s">
        <v>6386</v>
      </c>
      <c r="D645" s="43" t="s">
        <v>229</v>
      </c>
      <c r="E645" s="43" t="s">
        <v>92</v>
      </c>
      <c r="F645" s="42" t="s">
        <v>11469</v>
      </c>
      <c r="G645" t="s">
        <v>13197</v>
      </c>
    </row>
    <row r="646" spans="1:7" x14ac:dyDescent="0.3">
      <c r="A646" s="42" t="s">
        <v>238</v>
      </c>
      <c r="B646" s="42" t="s">
        <v>861</v>
      </c>
      <c r="C646" s="42" t="s">
        <v>6387</v>
      </c>
      <c r="D646" s="43" t="s">
        <v>229</v>
      </c>
      <c r="E646" s="43" t="s">
        <v>92</v>
      </c>
      <c r="F646" s="42" t="s">
        <v>11469</v>
      </c>
      <c r="G646" t="s">
        <v>13197</v>
      </c>
    </row>
    <row r="647" spans="1:7" x14ac:dyDescent="0.3">
      <c r="A647" s="42" t="s">
        <v>238</v>
      </c>
      <c r="B647" s="42" t="s">
        <v>862</v>
      </c>
      <c r="C647" s="42" t="s">
        <v>6388</v>
      </c>
      <c r="D647" s="43" t="s">
        <v>229</v>
      </c>
      <c r="E647" s="43" t="s">
        <v>92</v>
      </c>
      <c r="F647" s="42" t="s">
        <v>11469</v>
      </c>
      <c r="G647" t="s">
        <v>13197</v>
      </c>
    </row>
    <row r="648" spans="1:7" x14ac:dyDescent="0.3">
      <c r="A648" s="42" t="s">
        <v>238</v>
      </c>
      <c r="B648" s="42" t="s">
        <v>863</v>
      </c>
      <c r="C648" s="42" t="s">
        <v>6389</v>
      </c>
      <c r="D648" s="43" t="s">
        <v>229</v>
      </c>
      <c r="E648" s="43" t="s">
        <v>92</v>
      </c>
      <c r="F648" s="42" t="s">
        <v>11469</v>
      </c>
      <c r="G648" t="s">
        <v>13197</v>
      </c>
    </row>
    <row r="649" spans="1:7" x14ac:dyDescent="0.3">
      <c r="A649" s="42" t="s">
        <v>238</v>
      </c>
      <c r="B649" s="42" t="s">
        <v>864</v>
      </c>
      <c r="C649" s="42" t="s">
        <v>6390</v>
      </c>
      <c r="D649" s="43" t="s">
        <v>229</v>
      </c>
      <c r="E649" s="43" t="s">
        <v>92</v>
      </c>
      <c r="F649" s="42" t="s">
        <v>11469</v>
      </c>
      <c r="G649" t="s">
        <v>13197</v>
      </c>
    </row>
    <row r="650" spans="1:7" x14ac:dyDescent="0.3">
      <c r="A650" s="42" t="s">
        <v>865</v>
      </c>
      <c r="B650" s="42" t="s">
        <v>866</v>
      </c>
      <c r="C650" s="42" t="s">
        <v>6391</v>
      </c>
      <c r="D650" s="43" t="s">
        <v>136</v>
      </c>
      <c r="E650" s="43" t="s">
        <v>92</v>
      </c>
      <c r="F650" s="42" t="s">
        <v>11469</v>
      </c>
      <c r="G650" t="s">
        <v>13197</v>
      </c>
    </row>
    <row r="651" spans="1:7" x14ac:dyDescent="0.3">
      <c r="A651" s="42" t="s">
        <v>865</v>
      </c>
      <c r="B651" s="42" t="s">
        <v>867</v>
      </c>
      <c r="C651" s="42" t="s">
        <v>6392</v>
      </c>
      <c r="D651" s="43" t="s">
        <v>136</v>
      </c>
      <c r="E651" s="43" t="s">
        <v>92</v>
      </c>
      <c r="F651" s="42" t="s">
        <v>11469</v>
      </c>
      <c r="G651" t="s">
        <v>13197</v>
      </c>
    </row>
    <row r="652" spans="1:7" x14ac:dyDescent="0.3">
      <c r="A652" s="42" t="s">
        <v>865</v>
      </c>
      <c r="B652" s="42" t="s">
        <v>868</v>
      </c>
      <c r="C652" s="42" t="s">
        <v>6393</v>
      </c>
      <c r="D652" s="43" t="s">
        <v>136</v>
      </c>
      <c r="E652" s="43" t="s">
        <v>92</v>
      </c>
      <c r="F652" s="42" t="s">
        <v>11469</v>
      </c>
      <c r="G652" t="s">
        <v>13197</v>
      </c>
    </row>
    <row r="653" spans="1:7" x14ac:dyDescent="0.3">
      <c r="A653" s="42" t="s">
        <v>865</v>
      </c>
      <c r="B653" s="42" t="s">
        <v>869</v>
      </c>
      <c r="C653" s="42" t="s">
        <v>6394</v>
      </c>
      <c r="D653" s="43" t="s">
        <v>136</v>
      </c>
      <c r="E653" s="43" t="s">
        <v>92</v>
      </c>
      <c r="F653" s="42" t="s">
        <v>11469</v>
      </c>
      <c r="G653" t="s">
        <v>13197</v>
      </c>
    </row>
    <row r="654" spans="1:7" x14ac:dyDescent="0.3">
      <c r="A654" s="42" t="s">
        <v>865</v>
      </c>
      <c r="B654" s="42" t="s">
        <v>870</v>
      </c>
      <c r="C654" s="42" t="s">
        <v>6395</v>
      </c>
      <c r="D654" s="43" t="s">
        <v>136</v>
      </c>
      <c r="E654" s="43" t="s">
        <v>92</v>
      </c>
      <c r="F654" s="42" t="s">
        <v>11469</v>
      </c>
      <c r="G654" t="s">
        <v>13197</v>
      </c>
    </row>
    <row r="655" spans="1:7" x14ac:dyDescent="0.3">
      <c r="A655" s="42" t="s">
        <v>865</v>
      </c>
      <c r="B655" s="42" t="s">
        <v>871</v>
      </c>
      <c r="C655" s="42" t="s">
        <v>6396</v>
      </c>
      <c r="D655" s="43" t="s">
        <v>136</v>
      </c>
      <c r="E655" s="43" t="s">
        <v>92</v>
      </c>
      <c r="F655" s="42" t="s">
        <v>11469</v>
      </c>
      <c r="G655" t="s">
        <v>13197</v>
      </c>
    </row>
    <row r="656" spans="1:7" x14ac:dyDescent="0.3">
      <c r="A656" s="42" t="s">
        <v>865</v>
      </c>
      <c r="B656" s="42" t="s">
        <v>872</v>
      </c>
      <c r="C656" s="42" t="s">
        <v>6397</v>
      </c>
      <c r="D656" s="43" t="s">
        <v>136</v>
      </c>
      <c r="E656" s="43" t="s">
        <v>92</v>
      </c>
      <c r="F656" s="42" t="s">
        <v>11469</v>
      </c>
      <c r="G656" t="s">
        <v>13197</v>
      </c>
    </row>
    <row r="657" spans="1:7" x14ac:dyDescent="0.3">
      <c r="A657" s="42" t="s">
        <v>865</v>
      </c>
      <c r="B657" s="42" t="s">
        <v>873</v>
      </c>
      <c r="C657" s="42" t="s">
        <v>6398</v>
      </c>
      <c r="D657" s="43" t="s">
        <v>136</v>
      </c>
      <c r="E657" s="43" t="s">
        <v>92</v>
      </c>
      <c r="F657" s="42" t="s">
        <v>11469</v>
      </c>
      <c r="G657" t="s">
        <v>13197</v>
      </c>
    </row>
    <row r="658" spans="1:7" x14ac:dyDescent="0.3">
      <c r="A658" s="42" t="s">
        <v>865</v>
      </c>
      <c r="B658" s="42" t="s">
        <v>874</v>
      </c>
      <c r="C658" s="42" t="s">
        <v>6399</v>
      </c>
      <c r="D658" s="43" t="s">
        <v>136</v>
      </c>
      <c r="E658" s="43" t="s">
        <v>92</v>
      </c>
      <c r="F658" s="42" t="s">
        <v>11469</v>
      </c>
      <c r="G658" t="s">
        <v>13197</v>
      </c>
    </row>
    <row r="659" spans="1:7" x14ac:dyDescent="0.3">
      <c r="A659" s="42" t="s">
        <v>865</v>
      </c>
      <c r="B659" s="42" t="s">
        <v>875</v>
      </c>
      <c r="C659" s="42" t="s">
        <v>6400</v>
      </c>
      <c r="D659" s="43" t="s">
        <v>136</v>
      </c>
      <c r="E659" s="43" t="s">
        <v>92</v>
      </c>
      <c r="F659" s="42" t="s">
        <v>11469</v>
      </c>
      <c r="G659" t="s">
        <v>13197</v>
      </c>
    </row>
    <row r="660" spans="1:7" x14ac:dyDescent="0.3">
      <c r="A660" s="42" t="s">
        <v>865</v>
      </c>
      <c r="B660" s="42" t="s">
        <v>876</v>
      </c>
      <c r="C660" s="42" t="s">
        <v>6401</v>
      </c>
      <c r="D660" s="43" t="s">
        <v>136</v>
      </c>
      <c r="E660" s="43" t="s">
        <v>92</v>
      </c>
      <c r="F660" s="42" t="s">
        <v>11469</v>
      </c>
      <c r="G660" t="s">
        <v>13197</v>
      </c>
    </row>
    <row r="661" spans="1:7" x14ac:dyDescent="0.3">
      <c r="A661" s="42" t="s">
        <v>865</v>
      </c>
      <c r="B661" s="42" t="s">
        <v>877</v>
      </c>
      <c r="C661" s="42" t="s">
        <v>6402</v>
      </c>
      <c r="D661" s="43" t="s">
        <v>136</v>
      </c>
      <c r="E661" s="43" t="s">
        <v>92</v>
      </c>
      <c r="F661" s="42" t="s">
        <v>11469</v>
      </c>
      <c r="G661" t="s">
        <v>13197</v>
      </c>
    </row>
    <row r="662" spans="1:7" x14ac:dyDescent="0.3">
      <c r="A662" s="42" t="s">
        <v>865</v>
      </c>
      <c r="B662" s="42" t="s">
        <v>878</v>
      </c>
      <c r="C662" s="42" t="s">
        <v>6403</v>
      </c>
      <c r="D662" s="43" t="s">
        <v>136</v>
      </c>
      <c r="E662" s="43" t="s">
        <v>92</v>
      </c>
      <c r="F662" s="42" t="s">
        <v>11469</v>
      </c>
      <c r="G662" t="s">
        <v>13197</v>
      </c>
    </row>
    <row r="663" spans="1:7" x14ac:dyDescent="0.3">
      <c r="A663" s="42" t="s">
        <v>865</v>
      </c>
      <c r="B663" s="42" t="s">
        <v>879</v>
      </c>
      <c r="C663" s="42" t="s">
        <v>6404</v>
      </c>
      <c r="D663" s="43" t="s">
        <v>136</v>
      </c>
      <c r="E663" s="43" t="s">
        <v>92</v>
      </c>
      <c r="F663" s="42" t="s">
        <v>11469</v>
      </c>
      <c r="G663" t="s">
        <v>13197</v>
      </c>
    </row>
    <row r="664" spans="1:7" x14ac:dyDescent="0.3">
      <c r="A664" s="42" t="s">
        <v>865</v>
      </c>
      <c r="B664" s="42" t="s">
        <v>880</v>
      </c>
      <c r="C664" s="42" t="s">
        <v>6405</v>
      </c>
      <c r="D664" s="43" t="s">
        <v>136</v>
      </c>
      <c r="E664" s="43" t="s">
        <v>92</v>
      </c>
      <c r="F664" s="42" t="s">
        <v>11469</v>
      </c>
      <c r="G664" t="s">
        <v>13197</v>
      </c>
    </row>
    <row r="665" spans="1:7" x14ac:dyDescent="0.3">
      <c r="A665" s="42" t="s">
        <v>865</v>
      </c>
      <c r="B665" s="42" t="s">
        <v>881</v>
      </c>
      <c r="C665" s="42" t="s">
        <v>6406</v>
      </c>
      <c r="D665" s="43" t="s">
        <v>136</v>
      </c>
      <c r="E665" s="43" t="s">
        <v>92</v>
      </c>
      <c r="F665" s="42" t="s">
        <v>11469</v>
      </c>
      <c r="G665" t="s">
        <v>13197</v>
      </c>
    </row>
    <row r="666" spans="1:7" x14ac:dyDescent="0.3">
      <c r="A666" s="42" t="s">
        <v>865</v>
      </c>
      <c r="B666" s="42" t="s">
        <v>882</v>
      </c>
      <c r="C666" s="42" t="s">
        <v>6407</v>
      </c>
      <c r="D666" s="43" t="s">
        <v>136</v>
      </c>
      <c r="E666" s="43" t="s">
        <v>92</v>
      </c>
      <c r="F666" s="42" t="s">
        <v>11469</v>
      </c>
      <c r="G666" t="s">
        <v>13197</v>
      </c>
    </row>
    <row r="667" spans="1:7" x14ac:dyDescent="0.3">
      <c r="A667" s="42" t="s">
        <v>865</v>
      </c>
      <c r="B667" s="42" t="s">
        <v>883</v>
      </c>
      <c r="C667" s="42" t="s">
        <v>6408</v>
      </c>
      <c r="D667" s="43" t="s">
        <v>136</v>
      </c>
      <c r="E667" s="43" t="s">
        <v>92</v>
      </c>
      <c r="F667" s="42" t="s">
        <v>11469</v>
      </c>
      <c r="G667" t="s">
        <v>13197</v>
      </c>
    </row>
    <row r="668" spans="1:7" x14ac:dyDescent="0.3">
      <c r="A668" s="42" t="s">
        <v>865</v>
      </c>
      <c r="B668" s="42" t="s">
        <v>884</v>
      </c>
      <c r="C668" s="42" t="s">
        <v>6409</v>
      </c>
      <c r="D668" s="43" t="s">
        <v>136</v>
      </c>
      <c r="E668" s="43" t="s">
        <v>92</v>
      </c>
      <c r="F668" s="42" t="s">
        <v>11469</v>
      </c>
      <c r="G668" t="s">
        <v>13197</v>
      </c>
    </row>
    <row r="669" spans="1:7" x14ac:dyDescent="0.3">
      <c r="A669" s="42" t="s">
        <v>865</v>
      </c>
      <c r="B669" s="42" t="s">
        <v>885</v>
      </c>
      <c r="C669" s="42" t="s">
        <v>6410</v>
      </c>
      <c r="D669" s="43" t="s">
        <v>136</v>
      </c>
      <c r="E669" s="43" t="s">
        <v>92</v>
      </c>
      <c r="F669" s="42" t="s">
        <v>11469</v>
      </c>
      <c r="G669" t="s">
        <v>13197</v>
      </c>
    </row>
    <row r="670" spans="1:7" x14ac:dyDescent="0.3">
      <c r="A670" s="42" t="s">
        <v>865</v>
      </c>
      <c r="B670" s="42" t="s">
        <v>886</v>
      </c>
      <c r="C670" s="42" t="s">
        <v>6411</v>
      </c>
      <c r="D670" s="43" t="s">
        <v>136</v>
      </c>
      <c r="E670" s="43" t="s">
        <v>92</v>
      </c>
      <c r="F670" s="42" t="s">
        <v>11469</v>
      </c>
      <c r="G670" t="s">
        <v>13197</v>
      </c>
    </row>
    <row r="671" spans="1:7" x14ac:dyDescent="0.3">
      <c r="A671" s="42" t="s">
        <v>865</v>
      </c>
      <c r="B671" s="42" t="s">
        <v>887</v>
      </c>
      <c r="C671" s="42" t="s">
        <v>6412</v>
      </c>
      <c r="D671" s="43" t="s">
        <v>136</v>
      </c>
      <c r="E671" s="43" t="s">
        <v>92</v>
      </c>
      <c r="F671" s="42" t="s">
        <v>11469</v>
      </c>
      <c r="G671" t="s">
        <v>13197</v>
      </c>
    </row>
    <row r="672" spans="1:7" x14ac:dyDescent="0.3">
      <c r="A672" s="42" t="s">
        <v>865</v>
      </c>
      <c r="B672" s="42" t="s">
        <v>888</v>
      </c>
      <c r="C672" s="42" t="s">
        <v>6413</v>
      </c>
      <c r="D672" s="43" t="s">
        <v>136</v>
      </c>
      <c r="E672" s="43" t="s">
        <v>92</v>
      </c>
      <c r="F672" s="42" t="s">
        <v>11469</v>
      </c>
      <c r="G672" t="s">
        <v>13197</v>
      </c>
    </row>
    <row r="673" spans="1:7" x14ac:dyDescent="0.3">
      <c r="A673" s="42" t="s">
        <v>865</v>
      </c>
      <c r="B673" s="42" t="s">
        <v>889</v>
      </c>
      <c r="C673" s="42" t="s">
        <v>6414</v>
      </c>
      <c r="D673" s="43" t="s">
        <v>136</v>
      </c>
      <c r="E673" s="43" t="s">
        <v>92</v>
      </c>
      <c r="F673" s="42" t="s">
        <v>11469</v>
      </c>
      <c r="G673" t="s">
        <v>13197</v>
      </c>
    </row>
    <row r="674" spans="1:7" x14ac:dyDescent="0.3">
      <c r="A674" s="42" t="s">
        <v>865</v>
      </c>
      <c r="B674" s="42" t="s">
        <v>890</v>
      </c>
      <c r="C674" s="42" t="s">
        <v>6415</v>
      </c>
      <c r="D674" s="43" t="s">
        <v>136</v>
      </c>
      <c r="E674" s="43" t="s">
        <v>92</v>
      </c>
      <c r="F674" s="42" t="s">
        <v>11469</v>
      </c>
      <c r="G674" t="s">
        <v>13197</v>
      </c>
    </row>
    <row r="675" spans="1:7" x14ac:dyDescent="0.3">
      <c r="A675" s="42" t="s">
        <v>865</v>
      </c>
      <c r="B675" s="42" t="s">
        <v>891</v>
      </c>
      <c r="C675" s="42" t="s">
        <v>6416</v>
      </c>
      <c r="D675" s="43" t="s">
        <v>136</v>
      </c>
      <c r="E675" s="43" t="s">
        <v>92</v>
      </c>
      <c r="F675" s="42" t="s">
        <v>11469</v>
      </c>
      <c r="G675" t="s">
        <v>13197</v>
      </c>
    </row>
    <row r="676" spans="1:7" x14ac:dyDescent="0.3">
      <c r="A676" s="42" t="s">
        <v>865</v>
      </c>
      <c r="B676" s="42" t="s">
        <v>892</v>
      </c>
      <c r="C676" s="42" t="s">
        <v>6417</v>
      </c>
      <c r="D676" s="43" t="s">
        <v>136</v>
      </c>
      <c r="E676" s="43" t="s">
        <v>92</v>
      </c>
      <c r="F676" s="42" t="s">
        <v>11469</v>
      </c>
      <c r="G676" t="s">
        <v>13197</v>
      </c>
    </row>
    <row r="677" spans="1:7" x14ac:dyDescent="0.3">
      <c r="A677" s="42" t="s">
        <v>865</v>
      </c>
      <c r="B677" s="42" t="s">
        <v>893</v>
      </c>
      <c r="C677" s="42" t="s">
        <v>6418</v>
      </c>
      <c r="D677" s="43" t="s">
        <v>136</v>
      </c>
      <c r="E677" s="43" t="s">
        <v>92</v>
      </c>
      <c r="F677" s="42" t="s">
        <v>11469</v>
      </c>
      <c r="G677" t="s">
        <v>13197</v>
      </c>
    </row>
    <row r="678" spans="1:7" x14ac:dyDescent="0.3">
      <c r="A678" s="42" t="s">
        <v>865</v>
      </c>
      <c r="B678" s="42" t="s">
        <v>894</v>
      </c>
      <c r="C678" s="42" t="s">
        <v>6419</v>
      </c>
      <c r="D678" s="43" t="s">
        <v>136</v>
      </c>
      <c r="E678" s="43" t="s">
        <v>92</v>
      </c>
      <c r="F678" s="42" t="s">
        <v>11469</v>
      </c>
      <c r="G678" t="s">
        <v>13197</v>
      </c>
    </row>
    <row r="679" spans="1:7" x14ac:dyDescent="0.3">
      <c r="A679" s="42" t="s">
        <v>865</v>
      </c>
      <c r="B679" s="42" t="s">
        <v>895</v>
      </c>
      <c r="C679" s="42" t="s">
        <v>6420</v>
      </c>
      <c r="D679" s="43" t="s">
        <v>136</v>
      </c>
      <c r="E679" s="43" t="s">
        <v>92</v>
      </c>
      <c r="F679" s="42" t="s">
        <v>11469</v>
      </c>
      <c r="G679" t="s">
        <v>13197</v>
      </c>
    </row>
    <row r="680" spans="1:7" x14ac:dyDescent="0.3">
      <c r="A680" s="42" t="s">
        <v>865</v>
      </c>
      <c r="B680" s="42" t="s">
        <v>896</v>
      </c>
      <c r="C680" s="42" t="s">
        <v>6421</v>
      </c>
      <c r="D680" s="43" t="s">
        <v>136</v>
      </c>
      <c r="E680" s="43" t="s">
        <v>92</v>
      </c>
      <c r="F680" s="42" t="s">
        <v>11469</v>
      </c>
      <c r="G680" t="s">
        <v>13197</v>
      </c>
    </row>
    <row r="681" spans="1:7" x14ac:dyDescent="0.3">
      <c r="A681" s="42" t="s">
        <v>865</v>
      </c>
      <c r="B681" s="42" t="s">
        <v>897</v>
      </c>
      <c r="C681" s="42" t="s">
        <v>6422</v>
      </c>
      <c r="D681" s="43" t="s">
        <v>136</v>
      </c>
      <c r="E681" s="43" t="s">
        <v>92</v>
      </c>
      <c r="F681" s="42" t="s">
        <v>11469</v>
      </c>
      <c r="G681" t="s">
        <v>13197</v>
      </c>
    </row>
    <row r="682" spans="1:7" x14ac:dyDescent="0.3">
      <c r="A682" s="42" t="s">
        <v>865</v>
      </c>
      <c r="B682" s="42" t="s">
        <v>898</v>
      </c>
      <c r="C682" s="42" t="s">
        <v>6423</v>
      </c>
      <c r="D682" s="43" t="s">
        <v>136</v>
      </c>
      <c r="E682" s="43" t="s">
        <v>92</v>
      </c>
      <c r="F682" s="42" t="s">
        <v>11469</v>
      </c>
      <c r="G682" t="s">
        <v>13197</v>
      </c>
    </row>
    <row r="683" spans="1:7" x14ac:dyDescent="0.3">
      <c r="A683" s="42" t="s">
        <v>865</v>
      </c>
      <c r="B683" s="42" t="s">
        <v>899</v>
      </c>
      <c r="C683" s="42" t="s">
        <v>6424</v>
      </c>
      <c r="D683" s="43" t="s">
        <v>136</v>
      </c>
      <c r="E683" s="43" t="s">
        <v>92</v>
      </c>
      <c r="F683" s="42" t="s">
        <v>11469</v>
      </c>
      <c r="G683" t="s">
        <v>13197</v>
      </c>
    </row>
    <row r="684" spans="1:7" x14ac:dyDescent="0.3">
      <c r="A684" s="42" t="s">
        <v>865</v>
      </c>
      <c r="B684" s="42" t="s">
        <v>900</v>
      </c>
      <c r="C684" s="42" t="s">
        <v>6425</v>
      </c>
      <c r="D684" s="43" t="s">
        <v>136</v>
      </c>
      <c r="E684" s="43" t="s">
        <v>92</v>
      </c>
      <c r="F684" s="42" t="s">
        <v>11469</v>
      </c>
      <c r="G684" t="s">
        <v>13197</v>
      </c>
    </row>
    <row r="685" spans="1:7" x14ac:dyDescent="0.3">
      <c r="A685" s="42" t="s">
        <v>865</v>
      </c>
      <c r="B685" s="42" t="s">
        <v>901</v>
      </c>
      <c r="C685" s="42" t="s">
        <v>6426</v>
      </c>
      <c r="D685" s="43" t="s">
        <v>136</v>
      </c>
      <c r="E685" s="43" t="s">
        <v>92</v>
      </c>
      <c r="F685" s="42" t="s">
        <v>11469</v>
      </c>
      <c r="G685" t="s">
        <v>13197</v>
      </c>
    </row>
    <row r="686" spans="1:7" x14ac:dyDescent="0.3">
      <c r="A686" s="42" t="s">
        <v>865</v>
      </c>
      <c r="B686" s="42" t="s">
        <v>902</v>
      </c>
      <c r="C686" s="42" t="s">
        <v>6427</v>
      </c>
      <c r="D686" s="43" t="s">
        <v>136</v>
      </c>
      <c r="E686" s="43" t="s">
        <v>92</v>
      </c>
      <c r="F686" s="42" t="s">
        <v>11469</v>
      </c>
      <c r="G686" t="s">
        <v>13197</v>
      </c>
    </row>
    <row r="687" spans="1:7" x14ac:dyDescent="0.3">
      <c r="A687" s="42" t="s">
        <v>865</v>
      </c>
      <c r="B687" s="42" t="s">
        <v>903</v>
      </c>
      <c r="C687" s="42" t="s">
        <v>6428</v>
      </c>
      <c r="D687" s="43" t="s">
        <v>136</v>
      </c>
      <c r="E687" s="43" t="s">
        <v>92</v>
      </c>
      <c r="F687" s="42" t="s">
        <v>11469</v>
      </c>
      <c r="G687" t="s">
        <v>13197</v>
      </c>
    </row>
    <row r="688" spans="1:7" x14ac:dyDescent="0.3">
      <c r="A688" s="42" t="s">
        <v>865</v>
      </c>
      <c r="B688" s="42" t="s">
        <v>904</v>
      </c>
      <c r="C688" s="42" t="s">
        <v>6429</v>
      </c>
      <c r="D688" s="43" t="s">
        <v>136</v>
      </c>
      <c r="E688" s="43" t="s">
        <v>92</v>
      </c>
      <c r="F688" s="42" t="s">
        <v>11469</v>
      </c>
      <c r="G688" t="s">
        <v>13197</v>
      </c>
    </row>
    <row r="689" spans="1:7" x14ac:dyDescent="0.3">
      <c r="A689" s="42" t="s">
        <v>865</v>
      </c>
      <c r="B689" s="42" t="s">
        <v>905</v>
      </c>
      <c r="C689" s="42" t="s">
        <v>6430</v>
      </c>
      <c r="D689" s="43" t="s">
        <v>136</v>
      </c>
      <c r="E689" s="43" t="s">
        <v>92</v>
      </c>
      <c r="F689" s="42" t="s">
        <v>11469</v>
      </c>
      <c r="G689" t="s">
        <v>13197</v>
      </c>
    </row>
    <row r="690" spans="1:7" x14ac:dyDescent="0.3">
      <c r="A690" s="42" t="s">
        <v>906</v>
      </c>
      <c r="B690" s="42" t="s">
        <v>907</v>
      </c>
      <c r="C690" s="42" t="s">
        <v>6431</v>
      </c>
      <c r="D690" s="43" t="s">
        <v>136</v>
      </c>
      <c r="E690" s="43" t="s">
        <v>92</v>
      </c>
      <c r="F690" s="42" t="s">
        <v>11469</v>
      </c>
      <c r="G690" t="s">
        <v>13197</v>
      </c>
    </row>
    <row r="691" spans="1:7" x14ac:dyDescent="0.3">
      <c r="A691" s="42" t="s">
        <v>906</v>
      </c>
      <c r="B691" s="42" t="s">
        <v>908</v>
      </c>
      <c r="C691" s="42" t="s">
        <v>6432</v>
      </c>
      <c r="D691" s="43" t="s">
        <v>136</v>
      </c>
      <c r="E691" s="43" t="s">
        <v>92</v>
      </c>
      <c r="F691" s="42" t="s">
        <v>11469</v>
      </c>
      <c r="G691" t="s">
        <v>13197</v>
      </c>
    </row>
    <row r="692" spans="1:7" x14ac:dyDescent="0.3">
      <c r="A692" s="42" t="s">
        <v>906</v>
      </c>
      <c r="B692" s="42" t="s">
        <v>909</v>
      </c>
      <c r="C692" s="42" t="s">
        <v>6433</v>
      </c>
      <c r="D692" s="43" t="s">
        <v>136</v>
      </c>
      <c r="E692" s="43" t="s">
        <v>92</v>
      </c>
      <c r="F692" s="42" t="s">
        <v>11469</v>
      </c>
      <c r="G692" t="s">
        <v>13197</v>
      </c>
    </row>
    <row r="693" spans="1:7" x14ac:dyDescent="0.3">
      <c r="A693" s="42" t="s">
        <v>906</v>
      </c>
      <c r="B693" s="42" t="s">
        <v>910</v>
      </c>
      <c r="C693" s="42" t="s">
        <v>6434</v>
      </c>
      <c r="D693" s="43" t="s">
        <v>136</v>
      </c>
      <c r="E693" s="43" t="s">
        <v>92</v>
      </c>
      <c r="F693" s="42" t="s">
        <v>11469</v>
      </c>
      <c r="G693" t="s">
        <v>13197</v>
      </c>
    </row>
    <row r="694" spans="1:7" x14ac:dyDescent="0.3">
      <c r="A694" s="42" t="s">
        <v>906</v>
      </c>
      <c r="B694" s="42" t="s">
        <v>911</v>
      </c>
      <c r="C694" s="42" t="s">
        <v>6435</v>
      </c>
      <c r="D694" s="43" t="s">
        <v>136</v>
      </c>
      <c r="E694" s="43" t="s">
        <v>92</v>
      </c>
      <c r="F694" s="42" t="s">
        <v>11469</v>
      </c>
      <c r="G694" t="s">
        <v>13197</v>
      </c>
    </row>
    <row r="695" spans="1:7" x14ac:dyDescent="0.3">
      <c r="A695" s="42" t="s">
        <v>906</v>
      </c>
      <c r="B695" s="42" t="s">
        <v>912</v>
      </c>
      <c r="C695" s="42" t="s">
        <v>6436</v>
      </c>
      <c r="D695" s="43" t="s">
        <v>136</v>
      </c>
      <c r="E695" s="43" t="s">
        <v>92</v>
      </c>
      <c r="F695" s="42" t="s">
        <v>11469</v>
      </c>
      <c r="G695" t="s">
        <v>13197</v>
      </c>
    </row>
    <row r="696" spans="1:7" x14ac:dyDescent="0.3">
      <c r="A696" s="42" t="s">
        <v>906</v>
      </c>
      <c r="B696" s="42" t="s">
        <v>913</v>
      </c>
      <c r="C696" s="42" t="s">
        <v>6437</v>
      </c>
      <c r="D696" s="43" t="s">
        <v>136</v>
      </c>
      <c r="E696" s="43" t="s">
        <v>92</v>
      </c>
      <c r="F696" s="42" t="s">
        <v>11469</v>
      </c>
      <c r="G696" t="s">
        <v>13197</v>
      </c>
    </row>
    <row r="697" spans="1:7" x14ac:dyDescent="0.3">
      <c r="A697" s="42" t="s">
        <v>906</v>
      </c>
      <c r="B697" s="42" t="s">
        <v>914</v>
      </c>
      <c r="C697" s="42" t="s">
        <v>6438</v>
      </c>
      <c r="D697" s="43" t="s">
        <v>136</v>
      </c>
      <c r="E697" s="43" t="s">
        <v>92</v>
      </c>
      <c r="F697" s="42" t="s">
        <v>11469</v>
      </c>
      <c r="G697" t="s">
        <v>13197</v>
      </c>
    </row>
    <row r="698" spans="1:7" x14ac:dyDescent="0.3">
      <c r="A698" s="42" t="s">
        <v>906</v>
      </c>
      <c r="B698" s="42" t="s">
        <v>915</v>
      </c>
      <c r="C698" s="42" t="s">
        <v>6439</v>
      </c>
      <c r="D698" s="43" t="s">
        <v>136</v>
      </c>
      <c r="E698" s="43" t="s">
        <v>92</v>
      </c>
      <c r="F698" s="42" t="s">
        <v>11469</v>
      </c>
      <c r="G698" t="s">
        <v>13197</v>
      </c>
    </row>
    <row r="699" spans="1:7" x14ac:dyDescent="0.3">
      <c r="A699" s="42" t="s">
        <v>906</v>
      </c>
      <c r="B699" s="42" t="s">
        <v>916</v>
      </c>
      <c r="C699" s="42" t="s">
        <v>6440</v>
      </c>
      <c r="D699" s="43" t="s">
        <v>136</v>
      </c>
      <c r="E699" s="43" t="s">
        <v>92</v>
      </c>
      <c r="F699" s="42" t="s">
        <v>11469</v>
      </c>
      <c r="G699" t="s">
        <v>13197</v>
      </c>
    </row>
    <row r="700" spans="1:7" x14ac:dyDescent="0.3">
      <c r="A700" s="42" t="s">
        <v>906</v>
      </c>
      <c r="B700" s="42" t="s">
        <v>917</v>
      </c>
      <c r="C700" s="42" t="s">
        <v>6441</v>
      </c>
      <c r="D700" s="43" t="s">
        <v>136</v>
      </c>
      <c r="E700" s="43" t="s">
        <v>92</v>
      </c>
      <c r="F700" s="42" t="s">
        <v>11469</v>
      </c>
      <c r="G700" t="s">
        <v>13197</v>
      </c>
    </row>
    <row r="701" spans="1:7" x14ac:dyDescent="0.3">
      <c r="A701" s="42" t="s">
        <v>906</v>
      </c>
      <c r="B701" s="42" t="s">
        <v>918</v>
      </c>
      <c r="C701" s="42" t="s">
        <v>6442</v>
      </c>
      <c r="D701" s="43" t="s">
        <v>136</v>
      </c>
      <c r="E701" s="43" t="s">
        <v>92</v>
      </c>
      <c r="F701" s="42" t="s">
        <v>11469</v>
      </c>
      <c r="G701" t="s">
        <v>13197</v>
      </c>
    </row>
    <row r="702" spans="1:7" x14ac:dyDescent="0.3">
      <c r="A702" s="42" t="s">
        <v>906</v>
      </c>
      <c r="B702" s="42" t="s">
        <v>919</v>
      </c>
      <c r="C702" s="42" t="s">
        <v>6443</v>
      </c>
      <c r="D702" s="43" t="s">
        <v>136</v>
      </c>
      <c r="E702" s="43" t="s">
        <v>92</v>
      </c>
      <c r="F702" s="42" t="s">
        <v>11469</v>
      </c>
      <c r="G702" t="s">
        <v>13197</v>
      </c>
    </row>
    <row r="703" spans="1:7" x14ac:dyDescent="0.3">
      <c r="A703" s="42" t="s">
        <v>906</v>
      </c>
      <c r="B703" s="42" t="s">
        <v>920</v>
      </c>
      <c r="C703" s="42" t="s">
        <v>6444</v>
      </c>
      <c r="D703" s="43" t="s">
        <v>136</v>
      </c>
      <c r="E703" s="43" t="s">
        <v>92</v>
      </c>
      <c r="F703" s="42" t="s">
        <v>11469</v>
      </c>
      <c r="G703" t="s">
        <v>13197</v>
      </c>
    </row>
    <row r="704" spans="1:7" x14ac:dyDescent="0.3">
      <c r="A704" s="42" t="s">
        <v>906</v>
      </c>
      <c r="B704" s="42" t="s">
        <v>921</v>
      </c>
      <c r="C704" s="42" t="s">
        <v>6445</v>
      </c>
      <c r="D704" s="43" t="s">
        <v>136</v>
      </c>
      <c r="E704" s="43" t="s">
        <v>92</v>
      </c>
      <c r="F704" s="42" t="s">
        <v>11469</v>
      </c>
      <c r="G704" t="s">
        <v>13197</v>
      </c>
    </row>
    <row r="705" spans="1:7" x14ac:dyDescent="0.3">
      <c r="A705" s="42" t="s">
        <v>906</v>
      </c>
      <c r="B705" s="42" t="s">
        <v>922</v>
      </c>
      <c r="C705" s="42" t="s">
        <v>6446</v>
      </c>
      <c r="D705" s="43" t="s">
        <v>136</v>
      </c>
      <c r="E705" s="43" t="s">
        <v>92</v>
      </c>
      <c r="F705" s="42" t="s">
        <v>11469</v>
      </c>
      <c r="G705" t="s">
        <v>13197</v>
      </c>
    </row>
    <row r="706" spans="1:7" x14ac:dyDescent="0.3">
      <c r="A706" s="42" t="s">
        <v>906</v>
      </c>
      <c r="B706" s="42" t="s">
        <v>923</v>
      </c>
      <c r="C706" s="42" t="s">
        <v>6447</v>
      </c>
      <c r="D706" s="43" t="s">
        <v>136</v>
      </c>
      <c r="E706" s="43" t="s">
        <v>92</v>
      </c>
      <c r="F706" s="42" t="s">
        <v>192</v>
      </c>
      <c r="G706" t="s">
        <v>13196</v>
      </c>
    </row>
    <row r="707" spans="1:7" x14ac:dyDescent="0.3">
      <c r="A707" s="42" t="s">
        <v>906</v>
      </c>
      <c r="B707" s="42" t="s">
        <v>924</v>
      </c>
      <c r="C707" s="42" t="s">
        <v>6448</v>
      </c>
      <c r="D707" s="43" t="s">
        <v>136</v>
      </c>
      <c r="E707" s="43" t="s">
        <v>92</v>
      </c>
      <c r="F707" s="42" t="s">
        <v>11469</v>
      </c>
      <c r="G707" t="s">
        <v>13197</v>
      </c>
    </row>
    <row r="708" spans="1:7" x14ac:dyDescent="0.3">
      <c r="A708" s="42" t="s">
        <v>906</v>
      </c>
      <c r="B708" s="42" t="s">
        <v>925</v>
      </c>
      <c r="C708" s="42" t="s">
        <v>6449</v>
      </c>
      <c r="D708" s="43" t="s">
        <v>136</v>
      </c>
      <c r="E708" s="43" t="s">
        <v>92</v>
      </c>
      <c r="F708" s="42" t="s">
        <v>11469</v>
      </c>
      <c r="G708" t="s">
        <v>13197</v>
      </c>
    </row>
    <row r="709" spans="1:7" x14ac:dyDescent="0.3">
      <c r="A709" s="42" t="s">
        <v>906</v>
      </c>
      <c r="B709" s="42" t="s">
        <v>926</v>
      </c>
      <c r="C709" s="42" t="s">
        <v>6450</v>
      </c>
      <c r="D709" s="43" t="s">
        <v>136</v>
      </c>
      <c r="E709" s="43" t="s">
        <v>92</v>
      </c>
      <c r="F709" s="42" t="s">
        <v>11469</v>
      </c>
      <c r="G709" t="s">
        <v>13197</v>
      </c>
    </row>
    <row r="710" spans="1:7" x14ac:dyDescent="0.3">
      <c r="A710" s="42" t="s">
        <v>906</v>
      </c>
      <c r="B710" s="42" t="s">
        <v>927</v>
      </c>
      <c r="C710" s="42" t="s">
        <v>6451</v>
      </c>
      <c r="D710" s="43" t="s">
        <v>136</v>
      </c>
      <c r="E710" s="43" t="s">
        <v>92</v>
      </c>
      <c r="F710" s="42" t="s">
        <v>11469</v>
      </c>
      <c r="G710" t="s">
        <v>13197</v>
      </c>
    </row>
    <row r="711" spans="1:7" x14ac:dyDescent="0.3">
      <c r="A711" s="42" t="s">
        <v>906</v>
      </c>
      <c r="B711" s="42" t="s">
        <v>928</v>
      </c>
      <c r="C711" s="42" t="s">
        <v>6452</v>
      </c>
      <c r="D711" s="43" t="s">
        <v>136</v>
      </c>
      <c r="E711" s="43" t="s">
        <v>92</v>
      </c>
      <c r="F711" s="42" t="s">
        <v>11469</v>
      </c>
      <c r="G711" t="s">
        <v>13197</v>
      </c>
    </row>
    <row r="712" spans="1:7" x14ac:dyDescent="0.3">
      <c r="A712" s="42" t="s">
        <v>906</v>
      </c>
      <c r="B712" s="42" t="s">
        <v>929</v>
      </c>
      <c r="C712" s="42" t="s">
        <v>6453</v>
      </c>
      <c r="D712" s="43" t="s">
        <v>136</v>
      </c>
      <c r="E712" s="43" t="s">
        <v>92</v>
      </c>
      <c r="F712" s="42" t="s">
        <v>11469</v>
      </c>
      <c r="G712" t="s">
        <v>13197</v>
      </c>
    </row>
    <row r="713" spans="1:7" x14ac:dyDescent="0.3">
      <c r="A713" s="42" t="s">
        <v>906</v>
      </c>
      <c r="B713" s="42" t="s">
        <v>930</v>
      </c>
      <c r="C713" s="42" t="s">
        <v>6454</v>
      </c>
      <c r="D713" s="43" t="s">
        <v>136</v>
      </c>
      <c r="E713" s="43" t="s">
        <v>92</v>
      </c>
      <c r="F713" s="42" t="s">
        <v>11469</v>
      </c>
      <c r="G713" t="s">
        <v>13197</v>
      </c>
    </row>
    <row r="714" spans="1:7" x14ac:dyDescent="0.3">
      <c r="A714" s="42" t="s">
        <v>906</v>
      </c>
      <c r="B714" s="42" t="s">
        <v>931</v>
      </c>
      <c r="C714" s="42" t="s">
        <v>6455</v>
      </c>
      <c r="D714" s="43" t="s">
        <v>136</v>
      </c>
      <c r="E714" s="43" t="s">
        <v>92</v>
      </c>
      <c r="F714" s="42" t="s">
        <v>11469</v>
      </c>
      <c r="G714" t="s">
        <v>13197</v>
      </c>
    </row>
    <row r="715" spans="1:7" x14ac:dyDescent="0.3">
      <c r="A715" s="42" t="s">
        <v>906</v>
      </c>
      <c r="B715" s="42" t="s">
        <v>932</v>
      </c>
      <c r="C715" s="42" t="s">
        <v>6456</v>
      </c>
      <c r="D715" s="43" t="s">
        <v>136</v>
      </c>
      <c r="E715" s="43" t="s">
        <v>92</v>
      </c>
      <c r="F715" s="42" t="s">
        <v>11469</v>
      </c>
      <c r="G715" t="s">
        <v>13197</v>
      </c>
    </row>
    <row r="716" spans="1:7" x14ac:dyDescent="0.3">
      <c r="A716" s="42" t="s">
        <v>906</v>
      </c>
      <c r="B716" s="42" t="s">
        <v>933</v>
      </c>
      <c r="C716" s="42" t="s">
        <v>6457</v>
      </c>
      <c r="D716" s="43" t="s">
        <v>136</v>
      </c>
      <c r="E716" s="43" t="s">
        <v>92</v>
      </c>
      <c r="F716" s="42" t="s">
        <v>11469</v>
      </c>
      <c r="G716" t="s">
        <v>13197</v>
      </c>
    </row>
    <row r="717" spans="1:7" x14ac:dyDescent="0.3">
      <c r="A717" s="42" t="s">
        <v>906</v>
      </c>
      <c r="B717" s="42" t="s">
        <v>934</v>
      </c>
      <c r="C717" s="42" t="s">
        <v>6458</v>
      </c>
      <c r="D717" s="43" t="s">
        <v>136</v>
      </c>
      <c r="E717" s="43" t="s">
        <v>92</v>
      </c>
      <c r="F717" s="42" t="s">
        <v>11469</v>
      </c>
      <c r="G717" t="s">
        <v>13197</v>
      </c>
    </row>
    <row r="718" spans="1:7" x14ac:dyDescent="0.3">
      <c r="A718" s="42" t="s">
        <v>906</v>
      </c>
      <c r="B718" s="42" t="s">
        <v>935</v>
      </c>
      <c r="C718" s="42" t="s">
        <v>6459</v>
      </c>
      <c r="D718" s="43" t="s">
        <v>136</v>
      </c>
      <c r="E718" s="43" t="s">
        <v>92</v>
      </c>
      <c r="F718" s="42" t="s">
        <v>11469</v>
      </c>
      <c r="G718" t="s">
        <v>13197</v>
      </c>
    </row>
    <row r="719" spans="1:7" x14ac:dyDescent="0.3">
      <c r="A719" s="42" t="s">
        <v>906</v>
      </c>
      <c r="B719" s="42" t="s">
        <v>936</v>
      </c>
      <c r="C719" s="42" t="s">
        <v>6460</v>
      </c>
      <c r="D719" s="43" t="s">
        <v>136</v>
      </c>
      <c r="E719" s="43" t="s">
        <v>92</v>
      </c>
      <c r="F719" s="42" t="s">
        <v>11469</v>
      </c>
      <c r="G719" t="s">
        <v>13197</v>
      </c>
    </row>
    <row r="720" spans="1:7" x14ac:dyDescent="0.3">
      <c r="A720" s="42" t="s">
        <v>906</v>
      </c>
      <c r="B720" s="42" t="s">
        <v>937</v>
      </c>
      <c r="C720" s="42" t="s">
        <v>6461</v>
      </c>
      <c r="D720" s="43" t="s">
        <v>136</v>
      </c>
      <c r="E720" s="43" t="s">
        <v>92</v>
      </c>
      <c r="F720" s="42" t="s">
        <v>11469</v>
      </c>
      <c r="G720" t="s">
        <v>13197</v>
      </c>
    </row>
    <row r="721" spans="1:7" x14ac:dyDescent="0.3">
      <c r="A721" s="42" t="s">
        <v>906</v>
      </c>
      <c r="B721" s="42" t="s">
        <v>938</v>
      </c>
      <c r="C721" s="42" t="s">
        <v>6462</v>
      </c>
      <c r="D721" s="43" t="s">
        <v>136</v>
      </c>
      <c r="E721" s="43" t="s">
        <v>92</v>
      </c>
      <c r="F721" s="42" t="s">
        <v>11469</v>
      </c>
      <c r="G721" t="s">
        <v>13197</v>
      </c>
    </row>
    <row r="722" spans="1:7" x14ac:dyDescent="0.3">
      <c r="A722" s="42" t="s">
        <v>906</v>
      </c>
      <c r="B722" s="42" t="s">
        <v>939</v>
      </c>
      <c r="C722" s="42" t="s">
        <v>6463</v>
      </c>
      <c r="D722" s="43" t="s">
        <v>136</v>
      </c>
      <c r="E722" s="43" t="s">
        <v>92</v>
      </c>
      <c r="F722" s="42" t="s">
        <v>11469</v>
      </c>
      <c r="G722" t="s">
        <v>13197</v>
      </c>
    </row>
    <row r="723" spans="1:7" x14ac:dyDescent="0.3">
      <c r="A723" s="42" t="s">
        <v>906</v>
      </c>
      <c r="B723" s="42" t="s">
        <v>940</v>
      </c>
      <c r="C723" s="42" t="s">
        <v>6464</v>
      </c>
      <c r="D723" s="43" t="s">
        <v>136</v>
      </c>
      <c r="E723" s="43" t="s">
        <v>92</v>
      </c>
      <c r="F723" s="42" t="s">
        <v>11469</v>
      </c>
      <c r="G723" t="s">
        <v>13197</v>
      </c>
    </row>
    <row r="724" spans="1:7" x14ac:dyDescent="0.3">
      <c r="A724" s="42" t="s">
        <v>906</v>
      </c>
      <c r="B724" s="42" t="s">
        <v>941</v>
      </c>
      <c r="C724" s="42" t="s">
        <v>6465</v>
      </c>
      <c r="D724" s="43" t="s">
        <v>136</v>
      </c>
      <c r="E724" s="43" t="s">
        <v>92</v>
      </c>
      <c r="F724" s="42" t="s">
        <v>11469</v>
      </c>
      <c r="G724" t="s">
        <v>13197</v>
      </c>
    </row>
    <row r="725" spans="1:7" x14ac:dyDescent="0.3">
      <c r="A725" s="42" t="s">
        <v>906</v>
      </c>
      <c r="B725" s="42" t="s">
        <v>942</v>
      </c>
      <c r="C725" s="42" t="s">
        <v>6466</v>
      </c>
      <c r="D725" s="43" t="s">
        <v>136</v>
      </c>
      <c r="E725" s="43" t="s">
        <v>92</v>
      </c>
      <c r="F725" s="42" t="s">
        <v>11469</v>
      </c>
      <c r="G725" t="s">
        <v>13197</v>
      </c>
    </row>
    <row r="726" spans="1:7" x14ac:dyDescent="0.3">
      <c r="A726" s="42" t="s">
        <v>906</v>
      </c>
      <c r="B726" s="42" t="s">
        <v>943</v>
      </c>
      <c r="C726" s="42" t="s">
        <v>6467</v>
      </c>
      <c r="D726" s="43" t="s">
        <v>136</v>
      </c>
      <c r="E726" s="43" t="s">
        <v>92</v>
      </c>
      <c r="F726" s="42" t="s">
        <v>11469</v>
      </c>
      <c r="G726" t="s">
        <v>13197</v>
      </c>
    </row>
    <row r="727" spans="1:7" x14ac:dyDescent="0.3">
      <c r="A727" s="42" t="s">
        <v>906</v>
      </c>
      <c r="B727" s="42" t="s">
        <v>944</v>
      </c>
      <c r="C727" s="42" t="s">
        <v>6468</v>
      </c>
      <c r="D727" s="43" t="s">
        <v>136</v>
      </c>
      <c r="E727" s="43" t="s">
        <v>92</v>
      </c>
      <c r="F727" s="42" t="s">
        <v>11469</v>
      </c>
      <c r="G727" t="s">
        <v>13197</v>
      </c>
    </row>
    <row r="728" spans="1:7" x14ac:dyDescent="0.3">
      <c r="A728" s="42" t="s">
        <v>906</v>
      </c>
      <c r="B728" s="42" t="s">
        <v>945</v>
      </c>
      <c r="C728" s="42" t="s">
        <v>6469</v>
      </c>
      <c r="D728" s="43" t="s">
        <v>136</v>
      </c>
      <c r="E728" s="43" t="s">
        <v>92</v>
      </c>
      <c r="F728" s="42" t="s">
        <v>11469</v>
      </c>
      <c r="G728" t="s">
        <v>13198</v>
      </c>
    </row>
    <row r="729" spans="1:7" x14ac:dyDescent="0.3">
      <c r="A729" s="42" t="s">
        <v>906</v>
      </c>
      <c r="B729" s="42" t="s">
        <v>946</v>
      </c>
      <c r="C729" s="42" t="s">
        <v>6470</v>
      </c>
      <c r="D729" s="43" t="s">
        <v>136</v>
      </c>
      <c r="E729" s="43" t="s">
        <v>92</v>
      </c>
      <c r="F729" s="42" t="s">
        <v>11469</v>
      </c>
      <c r="G729" t="s">
        <v>13197</v>
      </c>
    </row>
    <row r="730" spans="1:7" x14ac:dyDescent="0.3">
      <c r="A730" s="42" t="s">
        <v>906</v>
      </c>
      <c r="B730" s="42" t="s">
        <v>947</v>
      </c>
      <c r="C730" s="42" t="s">
        <v>6471</v>
      </c>
      <c r="D730" s="43" t="s">
        <v>136</v>
      </c>
      <c r="E730" s="43" t="s">
        <v>92</v>
      </c>
      <c r="F730" s="42" t="s">
        <v>11469</v>
      </c>
      <c r="G730" t="s">
        <v>13197</v>
      </c>
    </row>
    <row r="731" spans="1:7" x14ac:dyDescent="0.3">
      <c r="A731" s="42" t="s">
        <v>906</v>
      </c>
      <c r="B731" s="42" t="s">
        <v>948</v>
      </c>
      <c r="C731" s="42" t="s">
        <v>6472</v>
      </c>
      <c r="D731" s="43" t="s">
        <v>136</v>
      </c>
      <c r="E731" s="43" t="s">
        <v>92</v>
      </c>
      <c r="F731" s="42" t="s">
        <v>11469</v>
      </c>
      <c r="G731" t="s">
        <v>13197</v>
      </c>
    </row>
    <row r="732" spans="1:7" x14ac:dyDescent="0.3">
      <c r="A732" s="42" t="s">
        <v>906</v>
      </c>
      <c r="B732" s="42" t="s">
        <v>949</v>
      </c>
      <c r="C732" s="42" t="s">
        <v>6473</v>
      </c>
      <c r="D732" s="43" t="s">
        <v>136</v>
      </c>
      <c r="E732" s="43" t="s">
        <v>92</v>
      </c>
      <c r="F732" s="42" t="s">
        <v>11469</v>
      </c>
      <c r="G732" t="s">
        <v>13197</v>
      </c>
    </row>
    <row r="733" spans="1:7" x14ac:dyDescent="0.3">
      <c r="A733" s="42" t="s">
        <v>906</v>
      </c>
      <c r="B733" s="42" t="s">
        <v>950</v>
      </c>
      <c r="C733" s="42" t="s">
        <v>6474</v>
      </c>
      <c r="D733" s="43" t="s">
        <v>136</v>
      </c>
      <c r="E733" s="43" t="s">
        <v>92</v>
      </c>
      <c r="F733" s="42" t="s">
        <v>11469</v>
      </c>
      <c r="G733" t="s">
        <v>13197</v>
      </c>
    </row>
    <row r="734" spans="1:7" x14ac:dyDescent="0.3">
      <c r="A734" s="42" t="s">
        <v>906</v>
      </c>
      <c r="B734" s="42" t="s">
        <v>951</v>
      </c>
      <c r="C734" s="42" t="s">
        <v>6475</v>
      </c>
      <c r="D734" s="43" t="s">
        <v>136</v>
      </c>
      <c r="E734" s="43" t="s">
        <v>92</v>
      </c>
      <c r="F734" s="42" t="s">
        <v>11469</v>
      </c>
      <c r="G734" t="s">
        <v>13197</v>
      </c>
    </row>
    <row r="735" spans="1:7" x14ac:dyDescent="0.3">
      <c r="A735" s="42" t="s">
        <v>906</v>
      </c>
      <c r="B735" s="42" t="s">
        <v>952</v>
      </c>
      <c r="C735" s="42" t="s">
        <v>6476</v>
      </c>
      <c r="D735" s="43" t="s">
        <v>136</v>
      </c>
      <c r="E735" s="43" t="s">
        <v>92</v>
      </c>
      <c r="F735" s="42" t="s">
        <v>11469</v>
      </c>
      <c r="G735" t="s">
        <v>13197</v>
      </c>
    </row>
    <row r="736" spans="1:7" x14ac:dyDescent="0.3">
      <c r="A736" s="42" t="s">
        <v>906</v>
      </c>
      <c r="B736" s="42" t="s">
        <v>953</v>
      </c>
      <c r="C736" s="42" t="s">
        <v>6477</v>
      </c>
      <c r="D736" s="43" t="s">
        <v>136</v>
      </c>
      <c r="E736" s="43" t="s">
        <v>92</v>
      </c>
      <c r="F736" s="42" t="s">
        <v>11469</v>
      </c>
      <c r="G736" t="s">
        <v>13197</v>
      </c>
    </row>
    <row r="737" spans="1:7" x14ac:dyDescent="0.3">
      <c r="A737" s="42" t="s">
        <v>906</v>
      </c>
      <c r="B737" s="42" t="s">
        <v>954</v>
      </c>
      <c r="C737" s="42" t="s">
        <v>6478</v>
      </c>
      <c r="D737" s="43" t="s">
        <v>136</v>
      </c>
      <c r="E737" s="43" t="s">
        <v>92</v>
      </c>
      <c r="F737" s="42" t="s">
        <v>11469</v>
      </c>
      <c r="G737" t="s">
        <v>13197</v>
      </c>
    </row>
    <row r="738" spans="1:7" x14ac:dyDescent="0.3">
      <c r="A738" s="42" t="s">
        <v>906</v>
      </c>
      <c r="B738" s="42" t="s">
        <v>955</v>
      </c>
      <c r="C738" s="42" t="s">
        <v>6479</v>
      </c>
      <c r="D738" s="43" t="s">
        <v>136</v>
      </c>
      <c r="E738" s="43" t="s">
        <v>92</v>
      </c>
      <c r="F738" s="42" t="s">
        <v>11469</v>
      </c>
      <c r="G738" t="s">
        <v>13197</v>
      </c>
    </row>
    <row r="739" spans="1:7" x14ac:dyDescent="0.3">
      <c r="A739" s="42" t="s">
        <v>906</v>
      </c>
      <c r="B739" s="42" t="s">
        <v>956</v>
      </c>
      <c r="C739" s="42" t="s">
        <v>6480</v>
      </c>
      <c r="D739" s="43" t="s">
        <v>136</v>
      </c>
      <c r="E739" s="43" t="s">
        <v>92</v>
      </c>
      <c r="F739" s="42" t="s">
        <v>11469</v>
      </c>
      <c r="G739" t="s">
        <v>13197</v>
      </c>
    </row>
    <row r="740" spans="1:7" x14ac:dyDescent="0.3">
      <c r="A740" s="42" t="s">
        <v>906</v>
      </c>
      <c r="B740" s="42" t="s">
        <v>957</v>
      </c>
      <c r="C740" s="42" t="s">
        <v>6481</v>
      </c>
      <c r="D740" s="43" t="s">
        <v>136</v>
      </c>
      <c r="E740" s="43" t="s">
        <v>92</v>
      </c>
      <c r="F740" s="42" t="s">
        <v>11469</v>
      </c>
      <c r="G740" t="s">
        <v>13197</v>
      </c>
    </row>
    <row r="741" spans="1:7" x14ac:dyDescent="0.3">
      <c r="A741" s="42" t="s">
        <v>906</v>
      </c>
      <c r="B741" s="42" t="s">
        <v>958</v>
      </c>
      <c r="C741" s="42" t="s">
        <v>6482</v>
      </c>
      <c r="D741" s="43" t="s">
        <v>136</v>
      </c>
      <c r="E741" s="43" t="s">
        <v>92</v>
      </c>
      <c r="F741" s="42" t="s">
        <v>11469</v>
      </c>
      <c r="G741" t="s">
        <v>13197</v>
      </c>
    </row>
    <row r="742" spans="1:7" x14ac:dyDescent="0.3">
      <c r="A742" s="42" t="s">
        <v>906</v>
      </c>
      <c r="B742" s="42" t="s">
        <v>959</v>
      </c>
      <c r="C742" s="42" t="s">
        <v>6483</v>
      </c>
      <c r="D742" s="43" t="s">
        <v>136</v>
      </c>
      <c r="E742" s="43" t="s">
        <v>92</v>
      </c>
      <c r="F742" s="42" t="s">
        <v>11469</v>
      </c>
      <c r="G742" t="s">
        <v>13197</v>
      </c>
    </row>
    <row r="743" spans="1:7" x14ac:dyDescent="0.3">
      <c r="A743" s="42" t="s">
        <v>906</v>
      </c>
      <c r="B743" s="42" t="s">
        <v>960</v>
      </c>
      <c r="C743" s="42" t="s">
        <v>6484</v>
      </c>
      <c r="D743" s="43" t="s">
        <v>136</v>
      </c>
      <c r="E743" s="43" t="s">
        <v>92</v>
      </c>
      <c r="F743" s="42" t="s">
        <v>192</v>
      </c>
      <c r="G743" t="s">
        <v>13196</v>
      </c>
    </row>
    <row r="744" spans="1:7" x14ac:dyDescent="0.3">
      <c r="A744" s="42" t="s">
        <v>906</v>
      </c>
      <c r="B744" s="42" t="s">
        <v>961</v>
      </c>
      <c r="C744" s="42" t="s">
        <v>6485</v>
      </c>
      <c r="D744" s="43" t="s">
        <v>136</v>
      </c>
      <c r="E744" s="43" t="s">
        <v>92</v>
      </c>
      <c r="F744" s="42" t="s">
        <v>11469</v>
      </c>
      <c r="G744" t="s">
        <v>13197</v>
      </c>
    </row>
    <row r="745" spans="1:7" x14ac:dyDescent="0.3">
      <c r="A745" s="42" t="s">
        <v>906</v>
      </c>
      <c r="B745" s="42" t="s">
        <v>962</v>
      </c>
      <c r="C745" s="42" t="s">
        <v>6486</v>
      </c>
      <c r="D745" s="43" t="s">
        <v>136</v>
      </c>
      <c r="E745" s="43" t="s">
        <v>92</v>
      </c>
      <c r="F745" s="42" t="s">
        <v>11469</v>
      </c>
      <c r="G745" t="s">
        <v>13197</v>
      </c>
    </row>
    <row r="746" spans="1:7" x14ac:dyDescent="0.3">
      <c r="A746" s="42" t="s">
        <v>906</v>
      </c>
      <c r="B746" s="42" t="s">
        <v>963</v>
      </c>
      <c r="C746" s="42" t="s">
        <v>6487</v>
      </c>
      <c r="D746" s="43" t="s">
        <v>136</v>
      </c>
      <c r="E746" s="43" t="s">
        <v>92</v>
      </c>
      <c r="F746" s="42" t="s">
        <v>11469</v>
      </c>
      <c r="G746" t="s">
        <v>13197</v>
      </c>
    </row>
    <row r="747" spans="1:7" x14ac:dyDescent="0.3">
      <c r="A747" s="42" t="s">
        <v>906</v>
      </c>
      <c r="B747" s="42" t="s">
        <v>964</v>
      </c>
      <c r="C747" s="42" t="s">
        <v>6488</v>
      </c>
      <c r="D747" s="43" t="s">
        <v>136</v>
      </c>
      <c r="E747" s="43" t="s">
        <v>92</v>
      </c>
      <c r="F747" s="42" t="s">
        <v>11469</v>
      </c>
      <c r="G747" t="s">
        <v>13197</v>
      </c>
    </row>
    <row r="748" spans="1:7" x14ac:dyDescent="0.3">
      <c r="A748" s="42" t="s">
        <v>906</v>
      </c>
      <c r="B748" s="42" t="s">
        <v>965</v>
      </c>
      <c r="C748" s="42" t="s">
        <v>6489</v>
      </c>
      <c r="D748" s="43" t="s">
        <v>136</v>
      </c>
      <c r="E748" s="43" t="s">
        <v>92</v>
      </c>
      <c r="F748" s="42" t="s">
        <v>11469</v>
      </c>
      <c r="G748" t="s">
        <v>13197</v>
      </c>
    </row>
    <row r="749" spans="1:7" x14ac:dyDescent="0.3">
      <c r="A749" s="42" t="s">
        <v>906</v>
      </c>
      <c r="B749" s="42" t="s">
        <v>966</v>
      </c>
      <c r="C749" s="42" t="s">
        <v>6490</v>
      </c>
      <c r="D749" s="43" t="s">
        <v>136</v>
      </c>
      <c r="E749" s="43" t="s">
        <v>92</v>
      </c>
      <c r="F749" s="42" t="s">
        <v>11469</v>
      </c>
      <c r="G749" t="s">
        <v>13197</v>
      </c>
    </row>
    <row r="750" spans="1:7" x14ac:dyDescent="0.3">
      <c r="A750" s="42" t="s">
        <v>906</v>
      </c>
      <c r="B750" s="42" t="s">
        <v>967</v>
      </c>
      <c r="C750" s="42" t="s">
        <v>6491</v>
      </c>
      <c r="D750" s="43" t="s">
        <v>136</v>
      </c>
      <c r="E750" s="43" t="s">
        <v>92</v>
      </c>
      <c r="F750" s="42" t="s">
        <v>11469</v>
      </c>
      <c r="G750" t="s">
        <v>13197</v>
      </c>
    </row>
    <row r="751" spans="1:7" x14ac:dyDescent="0.3">
      <c r="A751" s="42" t="s">
        <v>906</v>
      </c>
      <c r="B751" s="42" t="s">
        <v>968</v>
      </c>
      <c r="C751" s="42" t="s">
        <v>6492</v>
      </c>
      <c r="D751" s="43" t="s">
        <v>136</v>
      </c>
      <c r="E751" s="43" t="s">
        <v>92</v>
      </c>
      <c r="F751" s="42" t="s">
        <v>11469</v>
      </c>
      <c r="G751" t="s">
        <v>13197</v>
      </c>
    </row>
    <row r="752" spans="1:7" x14ac:dyDescent="0.3">
      <c r="A752" s="42" t="s">
        <v>906</v>
      </c>
      <c r="B752" s="42" t="s">
        <v>969</v>
      </c>
      <c r="C752" s="42" t="s">
        <v>6493</v>
      </c>
      <c r="D752" s="43" t="s">
        <v>136</v>
      </c>
      <c r="E752" s="43" t="s">
        <v>92</v>
      </c>
      <c r="F752" s="42" t="s">
        <v>11469</v>
      </c>
      <c r="G752" t="s">
        <v>13197</v>
      </c>
    </row>
    <row r="753" spans="1:7" x14ac:dyDescent="0.3">
      <c r="A753" s="42" t="s">
        <v>906</v>
      </c>
      <c r="B753" s="42" t="s">
        <v>970</v>
      </c>
      <c r="C753" s="42" t="s">
        <v>6494</v>
      </c>
      <c r="D753" s="43" t="s">
        <v>136</v>
      </c>
      <c r="E753" s="43" t="s">
        <v>92</v>
      </c>
      <c r="F753" s="42" t="s">
        <v>11469</v>
      </c>
      <c r="G753" t="s">
        <v>13197</v>
      </c>
    </row>
    <row r="754" spans="1:7" x14ac:dyDescent="0.3">
      <c r="A754" s="42" t="s">
        <v>906</v>
      </c>
      <c r="B754" s="42" t="s">
        <v>971</v>
      </c>
      <c r="C754" s="42" t="s">
        <v>6495</v>
      </c>
      <c r="D754" s="43" t="s">
        <v>136</v>
      </c>
      <c r="E754" s="43" t="s">
        <v>92</v>
      </c>
      <c r="F754" s="42" t="s">
        <v>11469</v>
      </c>
      <c r="G754" t="s">
        <v>13197</v>
      </c>
    </row>
    <row r="755" spans="1:7" x14ac:dyDescent="0.3">
      <c r="A755" s="42" t="s">
        <v>906</v>
      </c>
      <c r="B755" s="42" t="s">
        <v>972</v>
      </c>
      <c r="C755" s="42" t="s">
        <v>6496</v>
      </c>
      <c r="D755" s="43" t="s">
        <v>136</v>
      </c>
      <c r="E755" s="43" t="s">
        <v>92</v>
      </c>
      <c r="F755" s="42" t="s">
        <v>11469</v>
      </c>
      <c r="G755" t="s">
        <v>13197</v>
      </c>
    </row>
    <row r="756" spans="1:7" x14ac:dyDescent="0.3">
      <c r="A756" s="42" t="s">
        <v>906</v>
      </c>
      <c r="B756" s="42" t="s">
        <v>973</v>
      </c>
      <c r="C756" s="42" t="s">
        <v>6497</v>
      </c>
      <c r="D756" s="43" t="s">
        <v>136</v>
      </c>
      <c r="E756" s="43" t="s">
        <v>92</v>
      </c>
      <c r="F756" s="42" t="s">
        <v>192</v>
      </c>
      <c r="G756" t="s">
        <v>13196</v>
      </c>
    </row>
    <row r="757" spans="1:7" x14ac:dyDescent="0.3">
      <c r="A757" s="42" t="s">
        <v>906</v>
      </c>
      <c r="B757" s="42" t="s">
        <v>974</v>
      </c>
      <c r="C757" s="42" t="s">
        <v>6498</v>
      </c>
      <c r="D757" s="43" t="s">
        <v>136</v>
      </c>
      <c r="E757" s="43" t="s">
        <v>92</v>
      </c>
      <c r="F757" s="42" t="s">
        <v>11469</v>
      </c>
      <c r="G757" t="s">
        <v>13197</v>
      </c>
    </row>
    <row r="758" spans="1:7" x14ac:dyDescent="0.3">
      <c r="A758" s="42" t="s">
        <v>906</v>
      </c>
      <c r="B758" s="42" t="s">
        <v>975</v>
      </c>
      <c r="C758" s="42" t="s">
        <v>6499</v>
      </c>
      <c r="D758" s="43" t="s">
        <v>136</v>
      </c>
      <c r="E758" s="43" t="s">
        <v>92</v>
      </c>
      <c r="F758" s="42" t="s">
        <v>192</v>
      </c>
      <c r="G758" t="s">
        <v>13196</v>
      </c>
    </row>
    <row r="759" spans="1:7" x14ac:dyDescent="0.3">
      <c r="A759" s="42" t="s">
        <v>906</v>
      </c>
      <c r="B759" s="42" t="s">
        <v>976</v>
      </c>
      <c r="C759" s="42" t="s">
        <v>6500</v>
      </c>
      <c r="D759" s="43" t="s">
        <v>136</v>
      </c>
      <c r="E759" s="43" t="s">
        <v>92</v>
      </c>
      <c r="F759" s="42" t="s">
        <v>11469</v>
      </c>
      <c r="G759" t="s">
        <v>13197</v>
      </c>
    </row>
    <row r="760" spans="1:7" x14ac:dyDescent="0.3">
      <c r="A760" s="42" t="s">
        <v>906</v>
      </c>
      <c r="B760" s="42" t="s">
        <v>977</v>
      </c>
      <c r="C760" s="42" t="s">
        <v>6501</v>
      </c>
      <c r="D760" s="43" t="s">
        <v>136</v>
      </c>
      <c r="E760" s="43" t="s">
        <v>92</v>
      </c>
      <c r="F760" s="42" t="s">
        <v>11469</v>
      </c>
      <c r="G760" t="s">
        <v>13197</v>
      </c>
    </row>
    <row r="761" spans="1:7" x14ac:dyDescent="0.3">
      <c r="A761" s="42" t="s">
        <v>906</v>
      </c>
      <c r="B761" s="42" t="s">
        <v>978</v>
      </c>
      <c r="C761" s="42" t="s">
        <v>6502</v>
      </c>
      <c r="D761" s="43" t="s">
        <v>136</v>
      </c>
      <c r="E761" s="43" t="s">
        <v>92</v>
      </c>
      <c r="F761" s="42" t="s">
        <v>11469</v>
      </c>
      <c r="G761" t="s">
        <v>13197</v>
      </c>
    </row>
    <row r="762" spans="1:7" x14ac:dyDescent="0.3">
      <c r="A762" s="42" t="s">
        <v>906</v>
      </c>
      <c r="B762" s="42" t="s">
        <v>979</v>
      </c>
      <c r="C762" s="42" t="s">
        <v>6503</v>
      </c>
      <c r="D762" s="43" t="s">
        <v>136</v>
      </c>
      <c r="E762" s="43" t="s">
        <v>92</v>
      </c>
      <c r="F762" s="42" t="s">
        <v>11469</v>
      </c>
      <c r="G762" t="s">
        <v>13197</v>
      </c>
    </row>
    <row r="763" spans="1:7" x14ac:dyDescent="0.3">
      <c r="A763" s="42" t="s">
        <v>906</v>
      </c>
      <c r="B763" s="42" t="s">
        <v>980</v>
      </c>
      <c r="C763" s="42" t="s">
        <v>6504</v>
      </c>
      <c r="D763" s="43" t="s">
        <v>136</v>
      </c>
      <c r="E763" s="43" t="s">
        <v>92</v>
      </c>
      <c r="F763" s="42" t="s">
        <v>11469</v>
      </c>
      <c r="G763" t="s">
        <v>13197</v>
      </c>
    </row>
    <row r="764" spans="1:7" x14ac:dyDescent="0.3">
      <c r="A764" s="42" t="s">
        <v>906</v>
      </c>
      <c r="B764" s="42" t="s">
        <v>981</v>
      </c>
      <c r="C764" s="42" t="s">
        <v>6505</v>
      </c>
      <c r="D764" s="43" t="s">
        <v>136</v>
      </c>
      <c r="E764" s="43" t="s">
        <v>92</v>
      </c>
      <c r="F764" s="42" t="s">
        <v>11469</v>
      </c>
      <c r="G764" t="s">
        <v>13197</v>
      </c>
    </row>
    <row r="765" spans="1:7" x14ac:dyDescent="0.3">
      <c r="A765" s="42" t="s">
        <v>906</v>
      </c>
      <c r="B765" s="42" t="s">
        <v>982</v>
      </c>
      <c r="C765" s="42" t="s">
        <v>6506</v>
      </c>
      <c r="D765" s="43" t="s">
        <v>136</v>
      </c>
      <c r="E765" s="43" t="s">
        <v>92</v>
      </c>
      <c r="F765" s="42" t="s">
        <v>11469</v>
      </c>
      <c r="G765" t="s">
        <v>13198</v>
      </c>
    </row>
    <row r="766" spans="1:7" x14ac:dyDescent="0.3">
      <c r="A766" s="42" t="s">
        <v>906</v>
      </c>
      <c r="B766" s="42" t="s">
        <v>983</v>
      </c>
      <c r="C766" s="42" t="s">
        <v>6507</v>
      </c>
      <c r="D766" s="43" t="s">
        <v>136</v>
      </c>
      <c r="E766" s="43" t="s">
        <v>92</v>
      </c>
      <c r="F766" s="42" t="s">
        <v>11469</v>
      </c>
      <c r="G766" t="s">
        <v>13197</v>
      </c>
    </row>
    <row r="767" spans="1:7" x14ac:dyDescent="0.3">
      <c r="A767" s="42" t="s">
        <v>906</v>
      </c>
      <c r="B767" s="42" t="s">
        <v>984</v>
      </c>
      <c r="C767" s="42" t="s">
        <v>6508</v>
      </c>
      <c r="D767" s="43" t="s">
        <v>136</v>
      </c>
      <c r="E767" s="43" t="s">
        <v>92</v>
      </c>
      <c r="F767" s="42" t="s">
        <v>11469</v>
      </c>
      <c r="G767" t="s">
        <v>13197</v>
      </c>
    </row>
    <row r="768" spans="1:7" x14ac:dyDescent="0.3">
      <c r="A768" s="42" t="s">
        <v>906</v>
      </c>
      <c r="B768" s="42" t="s">
        <v>985</v>
      </c>
      <c r="C768" s="42" t="s">
        <v>6509</v>
      </c>
      <c r="D768" s="43" t="s">
        <v>136</v>
      </c>
      <c r="E768" s="43" t="s">
        <v>92</v>
      </c>
      <c r="F768" s="42" t="s">
        <v>11469</v>
      </c>
      <c r="G768" t="s">
        <v>13197</v>
      </c>
    </row>
    <row r="769" spans="1:7" x14ac:dyDescent="0.3">
      <c r="A769" s="42" t="s">
        <v>906</v>
      </c>
      <c r="B769" s="42" t="s">
        <v>986</v>
      </c>
      <c r="C769" s="42" t="s">
        <v>6510</v>
      </c>
      <c r="D769" s="43" t="s">
        <v>136</v>
      </c>
      <c r="E769" s="43" t="s">
        <v>92</v>
      </c>
      <c r="F769" s="42" t="s">
        <v>11469</v>
      </c>
      <c r="G769" t="s">
        <v>13197</v>
      </c>
    </row>
    <row r="770" spans="1:7" x14ac:dyDescent="0.3">
      <c r="A770" s="42" t="s">
        <v>906</v>
      </c>
      <c r="B770" s="42" t="s">
        <v>987</v>
      </c>
      <c r="C770" s="42" t="s">
        <v>6511</v>
      </c>
      <c r="D770" s="43" t="s">
        <v>136</v>
      </c>
      <c r="E770" s="43" t="s">
        <v>92</v>
      </c>
      <c r="F770" s="42" t="s">
        <v>11469</v>
      </c>
      <c r="G770" t="s">
        <v>13197</v>
      </c>
    </row>
    <row r="771" spans="1:7" x14ac:dyDescent="0.3">
      <c r="A771" s="42" t="s">
        <v>906</v>
      </c>
      <c r="B771" s="42" t="s">
        <v>988</v>
      </c>
      <c r="C771" s="42" t="s">
        <v>6512</v>
      </c>
      <c r="D771" s="43" t="s">
        <v>136</v>
      </c>
      <c r="E771" s="43" t="s">
        <v>92</v>
      </c>
      <c r="F771" s="42" t="s">
        <v>11469</v>
      </c>
      <c r="G771" t="s">
        <v>13197</v>
      </c>
    </row>
    <row r="772" spans="1:7" x14ac:dyDescent="0.3">
      <c r="A772" s="42" t="s">
        <v>906</v>
      </c>
      <c r="B772" s="42" t="s">
        <v>989</v>
      </c>
      <c r="C772" s="42" t="s">
        <v>6513</v>
      </c>
      <c r="D772" s="43" t="s">
        <v>136</v>
      </c>
      <c r="E772" s="43" t="s">
        <v>92</v>
      </c>
      <c r="F772" s="42" t="s">
        <v>11469</v>
      </c>
      <c r="G772" t="s">
        <v>13197</v>
      </c>
    </row>
    <row r="773" spans="1:7" x14ac:dyDescent="0.3">
      <c r="A773" s="42" t="s">
        <v>906</v>
      </c>
      <c r="B773" s="42" t="s">
        <v>990</v>
      </c>
      <c r="C773" s="42" t="s">
        <v>6514</v>
      </c>
      <c r="D773" s="43" t="s">
        <v>136</v>
      </c>
      <c r="E773" s="43" t="s">
        <v>92</v>
      </c>
      <c r="F773" s="42" t="s">
        <v>11469</v>
      </c>
      <c r="G773" t="s">
        <v>13197</v>
      </c>
    </row>
    <row r="774" spans="1:7" x14ac:dyDescent="0.3">
      <c r="A774" s="42" t="s">
        <v>906</v>
      </c>
      <c r="B774" s="42" t="s">
        <v>991</v>
      </c>
      <c r="C774" s="42" t="s">
        <v>6515</v>
      </c>
      <c r="D774" s="43" t="s">
        <v>136</v>
      </c>
      <c r="E774" s="43" t="s">
        <v>92</v>
      </c>
      <c r="F774" s="42" t="s">
        <v>11469</v>
      </c>
      <c r="G774" t="s">
        <v>13197</v>
      </c>
    </row>
    <row r="775" spans="1:7" x14ac:dyDescent="0.3">
      <c r="A775" s="42" t="s">
        <v>906</v>
      </c>
      <c r="B775" s="42" t="s">
        <v>992</v>
      </c>
      <c r="C775" s="42" t="s">
        <v>6516</v>
      </c>
      <c r="D775" s="43" t="s">
        <v>136</v>
      </c>
      <c r="E775" s="43" t="s">
        <v>92</v>
      </c>
      <c r="F775" s="42" t="s">
        <v>11469</v>
      </c>
      <c r="G775" t="s">
        <v>13197</v>
      </c>
    </row>
    <row r="776" spans="1:7" x14ac:dyDescent="0.3">
      <c r="A776" s="42" t="s">
        <v>906</v>
      </c>
      <c r="B776" s="42" t="s">
        <v>993</v>
      </c>
      <c r="C776" s="42" t="s">
        <v>6517</v>
      </c>
      <c r="D776" s="43" t="s">
        <v>136</v>
      </c>
      <c r="E776" s="43" t="s">
        <v>92</v>
      </c>
      <c r="F776" s="42" t="s">
        <v>11469</v>
      </c>
      <c r="G776" t="s">
        <v>13197</v>
      </c>
    </row>
    <row r="777" spans="1:7" x14ac:dyDescent="0.3">
      <c r="A777" s="42" t="s">
        <v>906</v>
      </c>
      <c r="B777" s="42" t="s">
        <v>994</v>
      </c>
      <c r="C777" s="42" t="s">
        <v>6518</v>
      </c>
      <c r="D777" s="43" t="s">
        <v>136</v>
      </c>
      <c r="E777" s="43" t="s">
        <v>92</v>
      </c>
      <c r="F777" s="42" t="s">
        <v>11469</v>
      </c>
      <c r="G777" t="s">
        <v>13198</v>
      </c>
    </row>
    <row r="778" spans="1:7" x14ac:dyDescent="0.3">
      <c r="A778" s="42" t="s">
        <v>906</v>
      </c>
      <c r="B778" s="42" t="s">
        <v>995</v>
      </c>
      <c r="C778" s="42" t="s">
        <v>6519</v>
      </c>
      <c r="D778" s="43" t="s">
        <v>136</v>
      </c>
      <c r="E778" s="43" t="s">
        <v>92</v>
      </c>
      <c r="F778" s="42" t="s">
        <v>11469</v>
      </c>
      <c r="G778" t="s">
        <v>13197</v>
      </c>
    </row>
    <row r="779" spans="1:7" x14ac:dyDescent="0.3">
      <c r="A779" s="42" t="s">
        <v>906</v>
      </c>
      <c r="B779" s="42" t="s">
        <v>996</v>
      </c>
      <c r="C779" s="42" t="s">
        <v>6520</v>
      </c>
      <c r="D779" s="43" t="s">
        <v>136</v>
      </c>
      <c r="E779" s="43" t="s">
        <v>92</v>
      </c>
      <c r="F779" s="42" t="s">
        <v>11469</v>
      </c>
      <c r="G779" t="s">
        <v>13197</v>
      </c>
    </row>
    <row r="780" spans="1:7" x14ac:dyDescent="0.3">
      <c r="A780" s="42" t="s">
        <v>906</v>
      </c>
      <c r="B780" s="42" t="s">
        <v>997</v>
      </c>
      <c r="C780" s="42" t="s">
        <v>6521</v>
      </c>
      <c r="D780" s="43" t="s">
        <v>136</v>
      </c>
      <c r="E780" s="43" t="s">
        <v>92</v>
      </c>
      <c r="F780" s="42" t="s">
        <v>11469</v>
      </c>
      <c r="G780" t="s">
        <v>13197</v>
      </c>
    </row>
    <row r="781" spans="1:7" x14ac:dyDescent="0.3">
      <c r="A781" s="42" t="s">
        <v>906</v>
      </c>
      <c r="B781" s="42" t="s">
        <v>998</v>
      </c>
      <c r="C781" s="42" t="s">
        <v>6522</v>
      </c>
      <c r="D781" s="43" t="s">
        <v>136</v>
      </c>
      <c r="E781" s="43" t="s">
        <v>92</v>
      </c>
      <c r="F781" s="42" t="s">
        <v>11469</v>
      </c>
      <c r="G781" t="s">
        <v>13197</v>
      </c>
    </row>
    <row r="782" spans="1:7" x14ac:dyDescent="0.3">
      <c r="A782" s="42" t="s">
        <v>906</v>
      </c>
      <c r="B782" s="42" t="s">
        <v>999</v>
      </c>
      <c r="C782" s="42" t="s">
        <v>6523</v>
      </c>
      <c r="D782" s="43" t="s">
        <v>136</v>
      </c>
      <c r="E782" s="43" t="s">
        <v>92</v>
      </c>
      <c r="F782" s="42" t="s">
        <v>11469</v>
      </c>
      <c r="G782" t="s">
        <v>13197</v>
      </c>
    </row>
    <row r="783" spans="1:7" x14ac:dyDescent="0.3">
      <c r="A783" s="42" t="s">
        <v>906</v>
      </c>
      <c r="B783" s="42" t="s">
        <v>1000</v>
      </c>
      <c r="C783" s="42" t="s">
        <v>6524</v>
      </c>
      <c r="D783" s="43" t="s">
        <v>136</v>
      </c>
      <c r="E783" s="43" t="s">
        <v>92</v>
      </c>
      <c r="F783" s="42" t="s">
        <v>11469</v>
      </c>
      <c r="G783" t="s">
        <v>13197</v>
      </c>
    </row>
    <row r="784" spans="1:7" x14ac:dyDescent="0.3">
      <c r="A784" s="42" t="s">
        <v>906</v>
      </c>
      <c r="B784" s="42" t="s">
        <v>1001</v>
      </c>
      <c r="C784" s="42" t="s">
        <v>6525</v>
      </c>
      <c r="D784" s="43" t="s">
        <v>136</v>
      </c>
      <c r="E784" s="43" t="s">
        <v>92</v>
      </c>
      <c r="F784" s="42" t="s">
        <v>11469</v>
      </c>
      <c r="G784" t="s">
        <v>13197</v>
      </c>
    </row>
    <row r="785" spans="1:7" x14ac:dyDescent="0.3">
      <c r="A785" s="42" t="s">
        <v>906</v>
      </c>
      <c r="B785" s="42" t="s">
        <v>1002</v>
      </c>
      <c r="C785" s="42" t="s">
        <v>6526</v>
      </c>
      <c r="D785" s="43" t="s">
        <v>136</v>
      </c>
      <c r="E785" s="43" t="s">
        <v>92</v>
      </c>
      <c r="F785" s="42" t="s">
        <v>11469</v>
      </c>
      <c r="G785" t="s">
        <v>13197</v>
      </c>
    </row>
    <row r="786" spans="1:7" x14ac:dyDescent="0.3">
      <c r="A786" s="42" t="s">
        <v>906</v>
      </c>
      <c r="B786" s="42" t="s">
        <v>1003</v>
      </c>
      <c r="C786" s="42" t="s">
        <v>6527</v>
      </c>
      <c r="D786" s="43" t="s">
        <v>136</v>
      </c>
      <c r="E786" s="43" t="s">
        <v>92</v>
      </c>
      <c r="F786" s="42" t="s">
        <v>11469</v>
      </c>
      <c r="G786" t="s">
        <v>13197</v>
      </c>
    </row>
    <row r="787" spans="1:7" x14ac:dyDescent="0.3">
      <c r="A787" s="42" t="s">
        <v>906</v>
      </c>
      <c r="B787" s="42" t="s">
        <v>1004</v>
      </c>
      <c r="C787" s="42" t="s">
        <v>6528</v>
      </c>
      <c r="D787" s="43" t="s">
        <v>136</v>
      </c>
      <c r="E787" s="43" t="s">
        <v>92</v>
      </c>
      <c r="F787" s="42" t="s">
        <v>11469</v>
      </c>
      <c r="G787" t="s">
        <v>13197</v>
      </c>
    </row>
    <row r="788" spans="1:7" x14ac:dyDescent="0.3">
      <c r="A788" s="42" t="s">
        <v>906</v>
      </c>
      <c r="B788" s="42" t="s">
        <v>1005</v>
      </c>
      <c r="C788" s="42" t="s">
        <v>6529</v>
      </c>
      <c r="D788" s="43" t="s">
        <v>136</v>
      </c>
      <c r="E788" s="43" t="s">
        <v>92</v>
      </c>
      <c r="F788" s="42" t="s">
        <v>11469</v>
      </c>
      <c r="G788" t="s">
        <v>13197</v>
      </c>
    </row>
    <row r="789" spans="1:7" x14ac:dyDescent="0.3">
      <c r="A789" s="42" t="s">
        <v>906</v>
      </c>
      <c r="B789" s="42" t="s">
        <v>1006</v>
      </c>
      <c r="C789" s="42" t="s">
        <v>6530</v>
      </c>
      <c r="D789" s="43" t="s">
        <v>136</v>
      </c>
      <c r="E789" s="43" t="s">
        <v>92</v>
      </c>
      <c r="F789" s="42" t="s">
        <v>11469</v>
      </c>
      <c r="G789" t="s">
        <v>13197</v>
      </c>
    </row>
    <row r="790" spans="1:7" x14ac:dyDescent="0.3">
      <c r="A790" s="42" t="s">
        <v>906</v>
      </c>
      <c r="B790" s="42" t="s">
        <v>1007</v>
      </c>
      <c r="C790" s="42" t="s">
        <v>6531</v>
      </c>
      <c r="D790" s="43" t="s">
        <v>136</v>
      </c>
      <c r="E790" s="43" t="s">
        <v>92</v>
      </c>
      <c r="F790" s="42" t="s">
        <v>192</v>
      </c>
      <c r="G790" t="s">
        <v>13196</v>
      </c>
    </row>
    <row r="791" spans="1:7" x14ac:dyDescent="0.3">
      <c r="A791" s="42" t="s">
        <v>906</v>
      </c>
      <c r="B791" s="42" t="s">
        <v>1008</v>
      </c>
      <c r="C791" s="42" t="s">
        <v>6532</v>
      </c>
      <c r="D791" s="43" t="s">
        <v>136</v>
      </c>
      <c r="E791" s="43" t="s">
        <v>92</v>
      </c>
      <c r="F791" s="42" t="s">
        <v>11469</v>
      </c>
      <c r="G791" t="s">
        <v>13197</v>
      </c>
    </row>
    <row r="792" spans="1:7" x14ac:dyDescent="0.3">
      <c r="A792" s="42" t="s">
        <v>906</v>
      </c>
      <c r="B792" s="42" t="s">
        <v>1009</v>
      </c>
      <c r="C792" s="42" t="s">
        <v>6533</v>
      </c>
      <c r="D792" s="43" t="s">
        <v>136</v>
      </c>
      <c r="E792" s="43" t="s">
        <v>92</v>
      </c>
      <c r="F792" s="42" t="s">
        <v>11469</v>
      </c>
      <c r="G792" t="s">
        <v>13197</v>
      </c>
    </row>
    <row r="793" spans="1:7" x14ac:dyDescent="0.3">
      <c r="A793" s="42" t="s">
        <v>906</v>
      </c>
      <c r="B793" s="42" t="s">
        <v>1010</v>
      </c>
      <c r="C793" s="42" t="s">
        <v>6534</v>
      </c>
      <c r="D793" s="43" t="s">
        <v>136</v>
      </c>
      <c r="E793" s="43" t="s">
        <v>92</v>
      </c>
      <c r="F793" s="42" t="s">
        <v>11469</v>
      </c>
      <c r="G793" t="s">
        <v>13197</v>
      </c>
    </row>
    <row r="794" spans="1:7" x14ac:dyDescent="0.3">
      <c r="A794" s="42" t="s">
        <v>906</v>
      </c>
      <c r="B794" s="42" t="s">
        <v>1011</v>
      </c>
      <c r="C794" s="42" t="s">
        <v>6535</v>
      </c>
      <c r="D794" s="43" t="s">
        <v>136</v>
      </c>
      <c r="E794" s="43" t="s">
        <v>92</v>
      </c>
      <c r="F794" s="42" t="s">
        <v>11469</v>
      </c>
      <c r="G794" t="s">
        <v>13197</v>
      </c>
    </row>
    <row r="795" spans="1:7" x14ac:dyDescent="0.3">
      <c r="A795" s="42" t="s">
        <v>906</v>
      </c>
      <c r="B795" s="42" t="s">
        <v>1012</v>
      </c>
      <c r="C795" s="42" t="s">
        <v>6536</v>
      </c>
      <c r="D795" s="43" t="s">
        <v>136</v>
      </c>
      <c r="E795" s="43" t="s">
        <v>92</v>
      </c>
      <c r="F795" s="42" t="s">
        <v>11469</v>
      </c>
      <c r="G795" t="s">
        <v>13197</v>
      </c>
    </row>
    <row r="796" spans="1:7" x14ac:dyDescent="0.3">
      <c r="A796" s="42" t="s">
        <v>906</v>
      </c>
      <c r="B796" s="42" t="s">
        <v>1013</v>
      </c>
      <c r="C796" s="42" t="s">
        <v>6537</v>
      </c>
      <c r="D796" s="43" t="s">
        <v>136</v>
      </c>
      <c r="E796" s="43" t="s">
        <v>92</v>
      </c>
      <c r="F796" s="42" t="s">
        <v>11469</v>
      </c>
      <c r="G796" t="s">
        <v>13197</v>
      </c>
    </row>
    <row r="797" spans="1:7" x14ac:dyDescent="0.3">
      <c r="A797" s="42" t="s">
        <v>906</v>
      </c>
      <c r="B797" s="42" t="s">
        <v>1014</v>
      </c>
      <c r="C797" s="42" t="s">
        <v>6538</v>
      </c>
      <c r="D797" s="43" t="s">
        <v>136</v>
      </c>
      <c r="E797" s="43" t="s">
        <v>92</v>
      </c>
      <c r="F797" s="42" t="s">
        <v>11469</v>
      </c>
      <c r="G797" t="s">
        <v>13197</v>
      </c>
    </row>
    <row r="798" spans="1:7" x14ac:dyDescent="0.3">
      <c r="A798" s="42" t="s">
        <v>906</v>
      </c>
      <c r="B798" s="42" t="s">
        <v>1015</v>
      </c>
      <c r="C798" s="42" t="s">
        <v>6539</v>
      </c>
      <c r="D798" s="43" t="s">
        <v>136</v>
      </c>
      <c r="E798" s="43" t="s">
        <v>92</v>
      </c>
      <c r="F798" s="42" t="s">
        <v>11469</v>
      </c>
      <c r="G798" t="s">
        <v>13197</v>
      </c>
    </row>
    <row r="799" spans="1:7" x14ac:dyDescent="0.3">
      <c r="A799" s="42" t="s">
        <v>906</v>
      </c>
      <c r="B799" s="42" t="s">
        <v>1016</v>
      </c>
      <c r="C799" s="42" t="s">
        <v>6540</v>
      </c>
      <c r="D799" s="43" t="s">
        <v>136</v>
      </c>
      <c r="E799" s="43" t="s">
        <v>92</v>
      </c>
      <c r="F799" s="42" t="s">
        <v>11469</v>
      </c>
      <c r="G799" t="s">
        <v>13197</v>
      </c>
    </row>
    <row r="800" spans="1:7" x14ac:dyDescent="0.3">
      <c r="A800" s="42" t="s">
        <v>906</v>
      </c>
      <c r="B800" s="42" t="s">
        <v>1017</v>
      </c>
      <c r="C800" s="42" t="s">
        <v>6541</v>
      </c>
      <c r="D800" s="43" t="s">
        <v>136</v>
      </c>
      <c r="E800" s="43" t="s">
        <v>92</v>
      </c>
      <c r="F800" s="42" t="s">
        <v>11469</v>
      </c>
      <c r="G800" t="s">
        <v>13197</v>
      </c>
    </row>
    <row r="801" spans="1:7" x14ac:dyDescent="0.3">
      <c r="A801" s="42" t="s">
        <v>906</v>
      </c>
      <c r="B801" s="42" t="s">
        <v>1018</v>
      </c>
      <c r="C801" s="42" t="s">
        <v>6542</v>
      </c>
      <c r="D801" s="43" t="s">
        <v>136</v>
      </c>
      <c r="E801" s="43" t="s">
        <v>92</v>
      </c>
      <c r="F801" s="42" t="s">
        <v>11469</v>
      </c>
      <c r="G801" t="s">
        <v>13197</v>
      </c>
    </row>
    <row r="802" spans="1:7" x14ac:dyDescent="0.3">
      <c r="A802" s="42" t="s">
        <v>906</v>
      </c>
      <c r="B802" s="42" t="s">
        <v>1019</v>
      </c>
      <c r="C802" s="42" t="s">
        <v>6543</v>
      </c>
      <c r="D802" s="43" t="s">
        <v>136</v>
      </c>
      <c r="E802" s="43" t="s">
        <v>92</v>
      </c>
      <c r="F802" s="42" t="s">
        <v>11469</v>
      </c>
      <c r="G802" t="s">
        <v>13197</v>
      </c>
    </row>
    <row r="803" spans="1:7" x14ac:dyDescent="0.3">
      <c r="A803" s="42" t="s">
        <v>906</v>
      </c>
      <c r="B803" s="42" t="s">
        <v>1020</v>
      </c>
      <c r="C803" s="42" t="s">
        <v>6544</v>
      </c>
      <c r="D803" s="43" t="s">
        <v>136</v>
      </c>
      <c r="E803" s="43" t="s">
        <v>92</v>
      </c>
      <c r="F803" s="42" t="s">
        <v>11469</v>
      </c>
      <c r="G803" t="s">
        <v>13197</v>
      </c>
    </row>
    <row r="804" spans="1:7" x14ac:dyDescent="0.3">
      <c r="A804" s="42" t="s">
        <v>906</v>
      </c>
      <c r="B804" s="42" t="s">
        <v>1021</v>
      </c>
      <c r="C804" s="42" t="s">
        <v>6545</v>
      </c>
      <c r="D804" s="43" t="s">
        <v>136</v>
      </c>
      <c r="E804" s="43" t="s">
        <v>92</v>
      </c>
      <c r="F804" s="42" t="s">
        <v>11469</v>
      </c>
      <c r="G804" t="s">
        <v>13197</v>
      </c>
    </row>
    <row r="805" spans="1:7" x14ac:dyDescent="0.3">
      <c r="A805" s="42" t="s">
        <v>906</v>
      </c>
      <c r="B805" s="42" t="s">
        <v>1022</v>
      </c>
      <c r="C805" s="42" t="s">
        <v>6546</v>
      </c>
      <c r="D805" s="43" t="s">
        <v>136</v>
      </c>
      <c r="E805" s="43" t="s">
        <v>92</v>
      </c>
      <c r="F805" s="42" t="s">
        <v>11469</v>
      </c>
      <c r="G805" t="s">
        <v>13197</v>
      </c>
    </row>
    <row r="806" spans="1:7" x14ac:dyDescent="0.3">
      <c r="A806" s="42" t="s">
        <v>906</v>
      </c>
      <c r="B806" s="42" t="s">
        <v>1023</v>
      </c>
      <c r="C806" s="42" t="s">
        <v>6547</v>
      </c>
      <c r="D806" s="43" t="s">
        <v>136</v>
      </c>
      <c r="E806" s="43" t="s">
        <v>92</v>
      </c>
      <c r="F806" s="42" t="s">
        <v>11469</v>
      </c>
      <c r="G806" t="s">
        <v>13197</v>
      </c>
    </row>
    <row r="807" spans="1:7" x14ac:dyDescent="0.3">
      <c r="A807" s="42" t="s">
        <v>906</v>
      </c>
      <c r="B807" s="42" t="s">
        <v>1024</v>
      </c>
      <c r="C807" s="42" t="s">
        <v>6548</v>
      </c>
      <c r="D807" s="43" t="s">
        <v>136</v>
      </c>
      <c r="E807" s="43" t="s">
        <v>92</v>
      </c>
      <c r="F807" s="42" t="s">
        <v>11469</v>
      </c>
      <c r="G807" t="s">
        <v>13197</v>
      </c>
    </row>
    <row r="808" spans="1:7" x14ac:dyDescent="0.3">
      <c r="A808" s="42" t="s">
        <v>906</v>
      </c>
      <c r="B808" s="42" t="s">
        <v>1025</v>
      </c>
      <c r="C808" s="42" t="s">
        <v>6549</v>
      </c>
      <c r="D808" s="43" t="s">
        <v>136</v>
      </c>
      <c r="E808" s="43" t="s">
        <v>92</v>
      </c>
      <c r="F808" s="42" t="s">
        <v>11469</v>
      </c>
      <c r="G808" t="s">
        <v>13197</v>
      </c>
    </row>
    <row r="809" spans="1:7" x14ac:dyDescent="0.3">
      <c r="A809" s="42" t="s">
        <v>906</v>
      </c>
      <c r="B809" s="42" t="s">
        <v>1026</v>
      </c>
      <c r="C809" s="42" t="s">
        <v>6550</v>
      </c>
      <c r="D809" s="43" t="s">
        <v>136</v>
      </c>
      <c r="E809" s="43" t="s">
        <v>92</v>
      </c>
      <c r="F809" s="42" t="s">
        <v>11469</v>
      </c>
      <c r="G809" t="s">
        <v>13197</v>
      </c>
    </row>
    <row r="810" spans="1:7" x14ac:dyDescent="0.3">
      <c r="A810" s="42" t="s">
        <v>906</v>
      </c>
      <c r="B810" s="42" t="s">
        <v>1027</v>
      </c>
      <c r="C810" s="42" t="s">
        <v>6551</v>
      </c>
      <c r="D810" s="43" t="s">
        <v>136</v>
      </c>
      <c r="E810" s="43" t="s">
        <v>92</v>
      </c>
      <c r="F810" s="42" t="s">
        <v>11469</v>
      </c>
      <c r="G810" t="s">
        <v>13197</v>
      </c>
    </row>
    <row r="811" spans="1:7" x14ac:dyDescent="0.3">
      <c r="A811" s="42" t="s">
        <v>906</v>
      </c>
      <c r="B811" s="42" t="s">
        <v>1028</v>
      </c>
      <c r="C811" s="42" t="s">
        <v>6552</v>
      </c>
      <c r="D811" s="43" t="s">
        <v>136</v>
      </c>
      <c r="E811" s="43" t="s">
        <v>92</v>
      </c>
      <c r="F811" s="42" t="s">
        <v>11469</v>
      </c>
      <c r="G811" t="s">
        <v>13197</v>
      </c>
    </row>
    <row r="812" spans="1:7" x14ac:dyDescent="0.3">
      <c r="A812" s="42" t="s">
        <v>906</v>
      </c>
      <c r="B812" s="42" t="s">
        <v>1029</v>
      </c>
      <c r="C812" s="42" t="s">
        <v>6553</v>
      </c>
      <c r="D812" s="43" t="s">
        <v>136</v>
      </c>
      <c r="E812" s="43" t="s">
        <v>92</v>
      </c>
      <c r="F812" s="42" t="s">
        <v>11469</v>
      </c>
      <c r="G812" t="s">
        <v>13197</v>
      </c>
    </row>
    <row r="813" spans="1:7" x14ac:dyDescent="0.3">
      <c r="A813" s="42" t="s">
        <v>906</v>
      </c>
      <c r="B813" s="42" t="s">
        <v>1030</v>
      </c>
      <c r="C813" s="42" t="s">
        <v>6554</v>
      </c>
      <c r="D813" s="43" t="s">
        <v>136</v>
      </c>
      <c r="E813" s="43" t="s">
        <v>92</v>
      </c>
      <c r="F813" s="42" t="s">
        <v>192</v>
      </c>
      <c r="G813" t="s">
        <v>13196</v>
      </c>
    </row>
    <row r="814" spans="1:7" x14ac:dyDescent="0.3">
      <c r="A814" s="42" t="s">
        <v>906</v>
      </c>
      <c r="B814" s="42" t="s">
        <v>1031</v>
      </c>
      <c r="C814" s="42" t="s">
        <v>6555</v>
      </c>
      <c r="D814" s="43" t="s">
        <v>136</v>
      </c>
      <c r="E814" s="43" t="s">
        <v>92</v>
      </c>
      <c r="F814" s="42" t="s">
        <v>11469</v>
      </c>
      <c r="G814" t="s">
        <v>13197</v>
      </c>
    </row>
    <row r="815" spans="1:7" x14ac:dyDescent="0.3">
      <c r="A815" s="42" t="s">
        <v>906</v>
      </c>
      <c r="B815" s="42" t="s">
        <v>1032</v>
      </c>
      <c r="C815" s="42" t="s">
        <v>6556</v>
      </c>
      <c r="D815" s="43" t="s">
        <v>136</v>
      </c>
      <c r="E815" s="43" t="s">
        <v>92</v>
      </c>
      <c r="F815" s="42" t="s">
        <v>11469</v>
      </c>
      <c r="G815" t="s">
        <v>13197</v>
      </c>
    </row>
    <row r="816" spans="1:7" x14ac:dyDescent="0.3">
      <c r="A816" s="42" t="s">
        <v>906</v>
      </c>
      <c r="B816" s="42" t="s">
        <v>1033</v>
      </c>
      <c r="C816" s="42" t="s">
        <v>6557</v>
      </c>
      <c r="D816" s="43" t="s">
        <v>136</v>
      </c>
      <c r="E816" s="43" t="s">
        <v>92</v>
      </c>
      <c r="F816" s="42" t="s">
        <v>11469</v>
      </c>
      <c r="G816" t="s">
        <v>13197</v>
      </c>
    </row>
    <row r="817" spans="1:7" x14ac:dyDescent="0.3">
      <c r="A817" s="42" t="s">
        <v>906</v>
      </c>
      <c r="B817" s="42" t="s">
        <v>1034</v>
      </c>
      <c r="C817" s="42" t="s">
        <v>6558</v>
      </c>
      <c r="D817" s="43" t="s">
        <v>136</v>
      </c>
      <c r="E817" s="43" t="s">
        <v>92</v>
      </c>
      <c r="F817" s="42" t="s">
        <v>11469</v>
      </c>
      <c r="G817" t="s">
        <v>13197</v>
      </c>
    </row>
    <row r="818" spans="1:7" x14ac:dyDescent="0.3">
      <c r="A818" s="42" t="s">
        <v>906</v>
      </c>
      <c r="B818" s="42" t="s">
        <v>1035</v>
      </c>
      <c r="C818" s="42" t="s">
        <v>6559</v>
      </c>
      <c r="D818" s="43" t="s">
        <v>136</v>
      </c>
      <c r="E818" s="43" t="s">
        <v>92</v>
      </c>
      <c r="F818" s="42" t="s">
        <v>11469</v>
      </c>
      <c r="G818" t="s">
        <v>13197</v>
      </c>
    </row>
    <row r="819" spans="1:7" x14ac:dyDescent="0.3">
      <c r="A819" s="42" t="s">
        <v>906</v>
      </c>
      <c r="B819" s="42" t="s">
        <v>1036</v>
      </c>
      <c r="C819" s="42" t="s">
        <v>6560</v>
      </c>
      <c r="D819" s="43" t="s">
        <v>136</v>
      </c>
      <c r="E819" s="43" t="s">
        <v>92</v>
      </c>
      <c r="F819" s="42" t="s">
        <v>11469</v>
      </c>
      <c r="G819" t="s">
        <v>13197</v>
      </c>
    </row>
    <row r="820" spans="1:7" x14ac:dyDescent="0.3">
      <c r="A820" s="42" t="s">
        <v>906</v>
      </c>
      <c r="B820" s="42" t="s">
        <v>1037</v>
      </c>
      <c r="C820" s="42" t="s">
        <v>6561</v>
      </c>
      <c r="D820" s="43" t="s">
        <v>136</v>
      </c>
      <c r="E820" s="43" t="s">
        <v>92</v>
      </c>
      <c r="F820" s="42" t="s">
        <v>11469</v>
      </c>
      <c r="G820" t="s">
        <v>13197</v>
      </c>
    </row>
    <row r="821" spans="1:7" x14ac:dyDescent="0.3">
      <c r="A821" s="42" t="s">
        <v>906</v>
      </c>
      <c r="B821" s="42" t="s">
        <v>1038</v>
      </c>
      <c r="C821" s="42" t="s">
        <v>6562</v>
      </c>
      <c r="D821" s="43" t="s">
        <v>136</v>
      </c>
      <c r="E821" s="43" t="s">
        <v>92</v>
      </c>
      <c r="F821" s="42" t="s">
        <v>11469</v>
      </c>
      <c r="G821" t="s">
        <v>13197</v>
      </c>
    </row>
    <row r="822" spans="1:7" x14ac:dyDescent="0.3">
      <c r="A822" s="42" t="s">
        <v>906</v>
      </c>
      <c r="B822" s="42" t="s">
        <v>1039</v>
      </c>
      <c r="C822" s="42" t="s">
        <v>6563</v>
      </c>
      <c r="D822" s="43" t="s">
        <v>136</v>
      </c>
      <c r="E822" s="43" t="s">
        <v>92</v>
      </c>
      <c r="F822" s="42" t="s">
        <v>11469</v>
      </c>
      <c r="G822" t="s">
        <v>13197</v>
      </c>
    </row>
    <row r="823" spans="1:7" x14ac:dyDescent="0.3">
      <c r="A823" s="42" t="s">
        <v>906</v>
      </c>
      <c r="B823" s="42" t="s">
        <v>1040</v>
      </c>
      <c r="C823" s="42" t="s">
        <v>6564</v>
      </c>
      <c r="D823" s="43" t="s">
        <v>136</v>
      </c>
      <c r="E823" s="43" t="s">
        <v>92</v>
      </c>
      <c r="F823" s="42" t="s">
        <v>11469</v>
      </c>
      <c r="G823" t="s">
        <v>13197</v>
      </c>
    </row>
    <row r="824" spans="1:7" x14ac:dyDescent="0.3">
      <c r="A824" s="42" t="s">
        <v>906</v>
      </c>
      <c r="B824" s="42" t="s">
        <v>1041</v>
      </c>
      <c r="C824" s="42" t="s">
        <v>6565</v>
      </c>
      <c r="D824" s="43" t="s">
        <v>136</v>
      </c>
      <c r="E824" s="43" t="s">
        <v>92</v>
      </c>
      <c r="F824" s="42" t="s">
        <v>11469</v>
      </c>
      <c r="G824" t="s">
        <v>13197</v>
      </c>
    </row>
    <row r="825" spans="1:7" x14ac:dyDescent="0.3">
      <c r="A825" s="42" t="s">
        <v>906</v>
      </c>
      <c r="B825" s="42" t="s">
        <v>1042</v>
      </c>
      <c r="C825" s="42" t="s">
        <v>6566</v>
      </c>
      <c r="D825" s="43" t="s">
        <v>136</v>
      </c>
      <c r="E825" s="43" t="s">
        <v>92</v>
      </c>
      <c r="F825" s="42" t="s">
        <v>11469</v>
      </c>
      <c r="G825" t="s">
        <v>13197</v>
      </c>
    </row>
    <row r="826" spans="1:7" x14ac:dyDescent="0.3">
      <c r="A826" s="42" t="s">
        <v>906</v>
      </c>
      <c r="B826" s="42" t="s">
        <v>1043</v>
      </c>
      <c r="C826" s="42" t="s">
        <v>6567</v>
      </c>
      <c r="D826" s="43" t="s">
        <v>136</v>
      </c>
      <c r="E826" s="43" t="s">
        <v>92</v>
      </c>
      <c r="F826" s="42" t="s">
        <v>11469</v>
      </c>
      <c r="G826" t="s">
        <v>13197</v>
      </c>
    </row>
    <row r="827" spans="1:7" x14ac:dyDescent="0.3">
      <c r="A827" s="42" t="s">
        <v>906</v>
      </c>
      <c r="B827" s="42" t="s">
        <v>1044</v>
      </c>
      <c r="C827" s="42" t="s">
        <v>6568</v>
      </c>
      <c r="D827" s="43" t="s">
        <v>136</v>
      </c>
      <c r="E827" s="43" t="s">
        <v>92</v>
      </c>
      <c r="F827" s="42" t="s">
        <v>11469</v>
      </c>
      <c r="G827" t="s">
        <v>13197</v>
      </c>
    </row>
    <row r="828" spans="1:7" x14ac:dyDescent="0.3">
      <c r="A828" s="42" t="s">
        <v>906</v>
      </c>
      <c r="B828" s="42" t="s">
        <v>1045</v>
      </c>
      <c r="C828" s="42" t="s">
        <v>6569</v>
      </c>
      <c r="D828" s="43" t="s">
        <v>136</v>
      </c>
      <c r="E828" s="43" t="s">
        <v>92</v>
      </c>
      <c r="F828" s="42" t="s">
        <v>11469</v>
      </c>
      <c r="G828" t="s">
        <v>13197</v>
      </c>
    </row>
    <row r="829" spans="1:7" x14ac:dyDescent="0.3">
      <c r="A829" s="42" t="s">
        <v>906</v>
      </c>
      <c r="B829" s="42" t="s">
        <v>1046</v>
      </c>
      <c r="C829" s="42" t="s">
        <v>6570</v>
      </c>
      <c r="D829" s="43" t="s">
        <v>136</v>
      </c>
      <c r="E829" s="43" t="s">
        <v>92</v>
      </c>
      <c r="F829" s="42" t="s">
        <v>11469</v>
      </c>
      <c r="G829" t="s">
        <v>13197</v>
      </c>
    </row>
    <row r="830" spans="1:7" x14ac:dyDescent="0.3">
      <c r="A830" s="42" t="s">
        <v>906</v>
      </c>
      <c r="B830" s="42" t="s">
        <v>1047</v>
      </c>
      <c r="C830" s="42" t="s">
        <v>6571</v>
      </c>
      <c r="D830" s="43" t="s">
        <v>136</v>
      </c>
      <c r="E830" s="43" t="s">
        <v>92</v>
      </c>
      <c r="F830" s="42" t="s">
        <v>11469</v>
      </c>
      <c r="G830" t="s">
        <v>13197</v>
      </c>
    </row>
    <row r="831" spans="1:7" x14ac:dyDescent="0.3">
      <c r="A831" s="42" t="s">
        <v>906</v>
      </c>
      <c r="B831" s="42" t="s">
        <v>1048</v>
      </c>
      <c r="C831" s="42" t="s">
        <v>6572</v>
      </c>
      <c r="D831" s="43" t="s">
        <v>136</v>
      </c>
      <c r="E831" s="43" t="s">
        <v>92</v>
      </c>
      <c r="F831" s="42" t="s">
        <v>11469</v>
      </c>
      <c r="G831" t="s">
        <v>13197</v>
      </c>
    </row>
    <row r="832" spans="1:7" x14ac:dyDescent="0.3">
      <c r="A832" s="42" t="s">
        <v>906</v>
      </c>
      <c r="B832" s="42" t="s">
        <v>1049</v>
      </c>
      <c r="C832" s="42" t="s">
        <v>6573</v>
      </c>
      <c r="D832" s="43" t="s">
        <v>136</v>
      </c>
      <c r="E832" s="43" t="s">
        <v>92</v>
      </c>
      <c r="F832" s="42" t="s">
        <v>11469</v>
      </c>
      <c r="G832" t="s">
        <v>13197</v>
      </c>
    </row>
    <row r="833" spans="1:7" x14ac:dyDescent="0.3">
      <c r="A833" s="42" t="s">
        <v>906</v>
      </c>
      <c r="B833" s="42" t="s">
        <v>1050</v>
      </c>
      <c r="C833" s="42" t="s">
        <v>6574</v>
      </c>
      <c r="D833" s="43" t="s">
        <v>136</v>
      </c>
      <c r="E833" s="43" t="s">
        <v>92</v>
      </c>
      <c r="F833" s="42" t="s">
        <v>192</v>
      </c>
      <c r="G833" t="s">
        <v>13196</v>
      </c>
    </row>
    <row r="834" spans="1:7" x14ac:dyDescent="0.3">
      <c r="A834" s="42" t="s">
        <v>906</v>
      </c>
      <c r="B834" s="42" t="s">
        <v>1051</v>
      </c>
      <c r="C834" s="42" t="s">
        <v>6575</v>
      </c>
      <c r="D834" s="43" t="s">
        <v>136</v>
      </c>
      <c r="E834" s="43" t="s">
        <v>92</v>
      </c>
      <c r="F834" s="42" t="s">
        <v>11469</v>
      </c>
      <c r="G834" t="s">
        <v>13197</v>
      </c>
    </row>
    <row r="835" spans="1:7" x14ac:dyDescent="0.3">
      <c r="A835" s="42" t="s">
        <v>906</v>
      </c>
      <c r="B835" s="42" t="s">
        <v>1052</v>
      </c>
      <c r="C835" s="42" t="s">
        <v>6576</v>
      </c>
      <c r="D835" s="43" t="s">
        <v>136</v>
      </c>
      <c r="E835" s="43" t="s">
        <v>92</v>
      </c>
      <c r="F835" s="42" t="s">
        <v>11469</v>
      </c>
      <c r="G835" t="s">
        <v>13197</v>
      </c>
    </row>
    <row r="836" spans="1:7" x14ac:dyDescent="0.3">
      <c r="A836" s="42" t="s">
        <v>906</v>
      </c>
      <c r="B836" s="42" t="s">
        <v>1053</v>
      </c>
      <c r="C836" s="42" t="s">
        <v>6577</v>
      </c>
      <c r="D836" s="43" t="s">
        <v>136</v>
      </c>
      <c r="E836" s="43" t="s">
        <v>92</v>
      </c>
      <c r="F836" s="42" t="s">
        <v>11469</v>
      </c>
      <c r="G836" t="s">
        <v>13197</v>
      </c>
    </row>
    <row r="837" spans="1:7" x14ac:dyDescent="0.3">
      <c r="A837" s="42" t="s">
        <v>906</v>
      </c>
      <c r="B837" s="42" t="s">
        <v>1054</v>
      </c>
      <c r="C837" s="42" t="s">
        <v>6578</v>
      </c>
      <c r="D837" s="43" t="s">
        <v>136</v>
      </c>
      <c r="E837" s="43" t="s">
        <v>92</v>
      </c>
      <c r="F837" s="42" t="s">
        <v>11469</v>
      </c>
      <c r="G837" t="s">
        <v>13197</v>
      </c>
    </row>
    <row r="838" spans="1:7" x14ac:dyDescent="0.3">
      <c r="A838" s="42" t="s">
        <v>906</v>
      </c>
      <c r="B838" s="42" t="s">
        <v>1055</v>
      </c>
      <c r="C838" s="42" t="s">
        <v>6579</v>
      </c>
      <c r="D838" s="43" t="s">
        <v>136</v>
      </c>
      <c r="E838" s="43" t="s">
        <v>92</v>
      </c>
      <c r="F838" s="42" t="s">
        <v>11469</v>
      </c>
      <c r="G838" t="s">
        <v>13197</v>
      </c>
    </row>
    <row r="839" spans="1:7" x14ac:dyDescent="0.3">
      <c r="A839" s="42" t="s">
        <v>906</v>
      </c>
      <c r="B839" s="42" t="s">
        <v>1056</v>
      </c>
      <c r="C839" s="42" t="s">
        <v>6580</v>
      </c>
      <c r="D839" s="43" t="s">
        <v>136</v>
      </c>
      <c r="E839" s="43" t="s">
        <v>92</v>
      </c>
      <c r="F839" s="42" t="s">
        <v>11469</v>
      </c>
      <c r="G839" t="s">
        <v>13197</v>
      </c>
    </row>
    <row r="840" spans="1:7" x14ac:dyDescent="0.3">
      <c r="A840" s="42" t="s">
        <v>906</v>
      </c>
      <c r="B840" s="42" t="s">
        <v>1057</v>
      </c>
      <c r="C840" s="42" t="s">
        <v>6581</v>
      </c>
      <c r="D840" s="43" t="s">
        <v>136</v>
      </c>
      <c r="E840" s="43" t="s">
        <v>92</v>
      </c>
      <c r="F840" s="42" t="s">
        <v>11469</v>
      </c>
      <c r="G840" t="s">
        <v>13197</v>
      </c>
    </row>
    <row r="841" spans="1:7" x14ac:dyDescent="0.3">
      <c r="A841" s="42" t="s">
        <v>906</v>
      </c>
      <c r="B841" s="42" t="s">
        <v>1058</v>
      </c>
      <c r="C841" s="42" t="s">
        <v>6582</v>
      </c>
      <c r="D841" s="43" t="s">
        <v>136</v>
      </c>
      <c r="E841" s="43" t="s">
        <v>92</v>
      </c>
      <c r="F841" s="42" t="s">
        <v>11469</v>
      </c>
      <c r="G841" t="s">
        <v>13197</v>
      </c>
    </row>
    <row r="842" spans="1:7" x14ac:dyDescent="0.3">
      <c r="A842" s="42" t="s">
        <v>906</v>
      </c>
      <c r="B842" s="42" t="s">
        <v>1059</v>
      </c>
      <c r="C842" s="42" t="s">
        <v>6583</v>
      </c>
      <c r="D842" s="43" t="s">
        <v>136</v>
      </c>
      <c r="E842" s="43" t="s">
        <v>92</v>
      </c>
      <c r="F842" s="42" t="s">
        <v>11469</v>
      </c>
      <c r="G842" t="s">
        <v>13197</v>
      </c>
    </row>
    <row r="843" spans="1:7" x14ac:dyDescent="0.3">
      <c r="A843" s="42" t="s">
        <v>906</v>
      </c>
      <c r="B843" s="42" t="s">
        <v>1060</v>
      </c>
      <c r="C843" s="42" t="s">
        <v>6584</v>
      </c>
      <c r="D843" s="43" t="s">
        <v>136</v>
      </c>
      <c r="E843" s="43" t="s">
        <v>92</v>
      </c>
      <c r="F843" s="42" t="s">
        <v>11469</v>
      </c>
      <c r="G843" t="s">
        <v>13197</v>
      </c>
    </row>
    <row r="844" spans="1:7" x14ac:dyDescent="0.3">
      <c r="A844" s="42" t="s">
        <v>906</v>
      </c>
      <c r="B844" s="42" t="s">
        <v>1061</v>
      </c>
      <c r="C844" s="42" t="s">
        <v>6585</v>
      </c>
      <c r="D844" s="43" t="s">
        <v>136</v>
      </c>
      <c r="E844" s="43" t="s">
        <v>92</v>
      </c>
      <c r="F844" s="42" t="s">
        <v>11469</v>
      </c>
      <c r="G844" t="s">
        <v>13197</v>
      </c>
    </row>
    <row r="845" spans="1:7" x14ac:dyDescent="0.3">
      <c r="A845" s="42" t="s">
        <v>906</v>
      </c>
      <c r="B845" s="42" t="s">
        <v>1062</v>
      </c>
      <c r="C845" s="42" t="s">
        <v>6586</v>
      </c>
      <c r="D845" s="43" t="s">
        <v>136</v>
      </c>
      <c r="E845" s="43" t="s">
        <v>92</v>
      </c>
      <c r="F845" s="42" t="s">
        <v>192</v>
      </c>
      <c r="G845" t="s">
        <v>13196</v>
      </c>
    </row>
    <row r="846" spans="1:7" x14ac:dyDescent="0.3">
      <c r="A846" s="42" t="s">
        <v>906</v>
      </c>
      <c r="B846" s="42" t="s">
        <v>1063</v>
      </c>
      <c r="C846" s="42" t="s">
        <v>6587</v>
      </c>
      <c r="D846" s="43" t="s">
        <v>136</v>
      </c>
      <c r="E846" s="43" t="s">
        <v>92</v>
      </c>
      <c r="F846" s="42" t="s">
        <v>11469</v>
      </c>
      <c r="G846" t="s">
        <v>13197</v>
      </c>
    </row>
    <row r="847" spans="1:7" x14ac:dyDescent="0.3">
      <c r="A847" s="42" t="s">
        <v>906</v>
      </c>
      <c r="B847" s="42" t="s">
        <v>1064</v>
      </c>
      <c r="C847" s="42" t="s">
        <v>6588</v>
      </c>
      <c r="D847" s="43" t="s">
        <v>136</v>
      </c>
      <c r="E847" s="43" t="s">
        <v>92</v>
      </c>
      <c r="F847" s="42" t="s">
        <v>11469</v>
      </c>
      <c r="G847" t="s">
        <v>13197</v>
      </c>
    </row>
    <row r="848" spans="1:7" x14ac:dyDescent="0.3">
      <c r="A848" s="42" t="s">
        <v>906</v>
      </c>
      <c r="B848" s="42" t="s">
        <v>1065</v>
      </c>
      <c r="C848" s="42" t="s">
        <v>6589</v>
      </c>
      <c r="D848" s="43" t="s">
        <v>136</v>
      </c>
      <c r="E848" s="43" t="s">
        <v>92</v>
      </c>
      <c r="F848" s="42" t="s">
        <v>11469</v>
      </c>
      <c r="G848" t="s">
        <v>13197</v>
      </c>
    </row>
    <row r="849" spans="1:7" x14ac:dyDescent="0.3">
      <c r="A849" s="42" t="s">
        <v>906</v>
      </c>
      <c r="B849" s="42" t="s">
        <v>1066</v>
      </c>
      <c r="C849" s="42" t="s">
        <v>6590</v>
      </c>
      <c r="D849" s="43" t="s">
        <v>136</v>
      </c>
      <c r="E849" s="43" t="s">
        <v>92</v>
      </c>
      <c r="F849" s="42" t="s">
        <v>11469</v>
      </c>
      <c r="G849" t="s">
        <v>13197</v>
      </c>
    </row>
    <row r="850" spans="1:7" x14ac:dyDescent="0.3">
      <c r="A850" s="42" t="s">
        <v>906</v>
      </c>
      <c r="B850" s="42" t="s">
        <v>1067</v>
      </c>
      <c r="C850" s="42" t="s">
        <v>6591</v>
      </c>
      <c r="D850" s="43" t="s">
        <v>136</v>
      </c>
      <c r="E850" s="43" t="s">
        <v>92</v>
      </c>
      <c r="F850" s="42" t="s">
        <v>11469</v>
      </c>
      <c r="G850" t="s">
        <v>13197</v>
      </c>
    </row>
    <row r="851" spans="1:7" x14ac:dyDescent="0.3">
      <c r="A851" s="42" t="s">
        <v>906</v>
      </c>
      <c r="B851" s="42" t="s">
        <v>1068</v>
      </c>
      <c r="C851" s="42" t="s">
        <v>6592</v>
      </c>
      <c r="D851" s="43" t="s">
        <v>136</v>
      </c>
      <c r="E851" s="43" t="s">
        <v>92</v>
      </c>
      <c r="F851" s="42" t="s">
        <v>11469</v>
      </c>
      <c r="G851" t="s">
        <v>13197</v>
      </c>
    </row>
    <row r="852" spans="1:7" x14ac:dyDescent="0.3">
      <c r="A852" s="42" t="s">
        <v>906</v>
      </c>
      <c r="B852" s="42" t="s">
        <v>1069</v>
      </c>
      <c r="C852" s="42" t="s">
        <v>6593</v>
      </c>
      <c r="D852" s="43" t="s">
        <v>136</v>
      </c>
      <c r="E852" s="43" t="s">
        <v>92</v>
      </c>
      <c r="F852" s="42" t="s">
        <v>11469</v>
      </c>
      <c r="G852" t="s">
        <v>13197</v>
      </c>
    </row>
    <row r="853" spans="1:7" x14ac:dyDescent="0.3">
      <c r="A853" s="42" t="s">
        <v>906</v>
      </c>
      <c r="B853" s="42" t="s">
        <v>1070</v>
      </c>
      <c r="C853" s="42" t="s">
        <v>6594</v>
      </c>
      <c r="D853" s="43" t="s">
        <v>136</v>
      </c>
      <c r="E853" s="43" t="s">
        <v>92</v>
      </c>
      <c r="F853" s="42" t="s">
        <v>11469</v>
      </c>
      <c r="G853" t="s">
        <v>13197</v>
      </c>
    </row>
    <row r="854" spans="1:7" x14ac:dyDescent="0.3">
      <c r="A854" s="42" t="s">
        <v>906</v>
      </c>
      <c r="B854" s="42" t="s">
        <v>1071</v>
      </c>
      <c r="C854" s="42" t="s">
        <v>6595</v>
      </c>
      <c r="D854" s="43" t="s">
        <v>136</v>
      </c>
      <c r="E854" s="43" t="s">
        <v>92</v>
      </c>
      <c r="F854" s="42" t="s">
        <v>11469</v>
      </c>
      <c r="G854" t="s">
        <v>13197</v>
      </c>
    </row>
    <row r="855" spans="1:7" x14ac:dyDescent="0.3">
      <c r="A855" s="42" t="s">
        <v>906</v>
      </c>
      <c r="B855" s="42" t="s">
        <v>1072</v>
      </c>
      <c r="C855" s="42" t="s">
        <v>6596</v>
      </c>
      <c r="D855" s="43" t="s">
        <v>136</v>
      </c>
      <c r="E855" s="43" t="s">
        <v>92</v>
      </c>
      <c r="F855" s="42" t="s">
        <v>192</v>
      </c>
      <c r="G855" t="s">
        <v>13196</v>
      </c>
    </row>
    <row r="856" spans="1:7" x14ac:dyDescent="0.3">
      <c r="A856" s="42" t="s">
        <v>906</v>
      </c>
      <c r="B856" s="42" t="s">
        <v>1073</v>
      </c>
      <c r="C856" s="42" t="s">
        <v>6597</v>
      </c>
      <c r="D856" s="43" t="s">
        <v>136</v>
      </c>
      <c r="E856" s="43" t="s">
        <v>92</v>
      </c>
      <c r="F856" s="42" t="s">
        <v>11469</v>
      </c>
      <c r="G856" t="s">
        <v>13197</v>
      </c>
    </row>
    <row r="857" spans="1:7" x14ac:dyDescent="0.3">
      <c r="A857" s="42" t="s">
        <v>906</v>
      </c>
      <c r="B857" s="42" t="s">
        <v>1074</v>
      </c>
      <c r="C857" s="42" t="s">
        <v>6598</v>
      </c>
      <c r="D857" s="43" t="s">
        <v>136</v>
      </c>
      <c r="E857" s="43" t="s">
        <v>92</v>
      </c>
      <c r="F857" s="42" t="s">
        <v>11469</v>
      </c>
      <c r="G857" t="s">
        <v>13197</v>
      </c>
    </row>
    <row r="858" spans="1:7" x14ac:dyDescent="0.3">
      <c r="A858" s="42" t="s">
        <v>906</v>
      </c>
      <c r="B858" s="42" t="s">
        <v>1075</v>
      </c>
      <c r="C858" s="42" t="s">
        <v>6599</v>
      </c>
      <c r="D858" s="43" t="s">
        <v>136</v>
      </c>
      <c r="E858" s="43" t="s">
        <v>92</v>
      </c>
      <c r="F858" s="42" t="s">
        <v>192</v>
      </c>
      <c r="G858" t="s">
        <v>13196</v>
      </c>
    </row>
    <row r="859" spans="1:7" x14ac:dyDescent="0.3">
      <c r="A859" s="42" t="s">
        <v>906</v>
      </c>
      <c r="B859" s="42" t="s">
        <v>1076</v>
      </c>
      <c r="C859" s="42" t="s">
        <v>6600</v>
      </c>
      <c r="D859" s="43" t="s">
        <v>136</v>
      </c>
      <c r="E859" s="43" t="s">
        <v>92</v>
      </c>
      <c r="F859" s="42" t="s">
        <v>11469</v>
      </c>
      <c r="G859" t="s">
        <v>13197</v>
      </c>
    </row>
    <row r="860" spans="1:7" x14ac:dyDescent="0.3">
      <c r="A860" s="42" t="s">
        <v>906</v>
      </c>
      <c r="B860" s="42" t="s">
        <v>1077</v>
      </c>
      <c r="C860" s="42" t="s">
        <v>6601</v>
      </c>
      <c r="D860" s="43" t="s">
        <v>136</v>
      </c>
      <c r="E860" s="43" t="s">
        <v>92</v>
      </c>
      <c r="F860" s="42" t="s">
        <v>11469</v>
      </c>
      <c r="G860" t="s">
        <v>13197</v>
      </c>
    </row>
    <row r="861" spans="1:7" x14ac:dyDescent="0.3">
      <c r="A861" s="42" t="s">
        <v>906</v>
      </c>
      <c r="B861" s="42" t="s">
        <v>1078</v>
      </c>
      <c r="C861" s="42" t="s">
        <v>6602</v>
      </c>
      <c r="D861" s="43" t="s">
        <v>136</v>
      </c>
      <c r="E861" s="43" t="s">
        <v>92</v>
      </c>
      <c r="F861" s="42" t="s">
        <v>11469</v>
      </c>
      <c r="G861" t="s">
        <v>13197</v>
      </c>
    </row>
    <row r="862" spans="1:7" x14ac:dyDescent="0.3">
      <c r="A862" s="42" t="s">
        <v>906</v>
      </c>
      <c r="B862" s="42" t="s">
        <v>1079</v>
      </c>
      <c r="C862" s="42" t="s">
        <v>6603</v>
      </c>
      <c r="D862" s="43" t="s">
        <v>136</v>
      </c>
      <c r="E862" s="43" t="s">
        <v>92</v>
      </c>
      <c r="F862" s="42" t="s">
        <v>11469</v>
      </c>
      <c r="G862" t="s">
        <v>13197</v>
      </c>
    </row>
    <row r="863" spans="1:7" x14ac:dyDescent="0.3">
      <c r="A863" s="42" t="s">
        <v>906</v>
      </c>
      <c r="B863" s="42" t="s">
        <v>1080</v>
      </c>
      <c r="C863" s="42" t="s">
        <v>6604</v>
      </c>
      <c r="D863" s="43" t="s">
        <v>136</v>
      </c>
      <c r="E863" s="43" t="s">
        <v>92</v>
      </c>
      <c r="F863" s="42" t="s">
        <v>11469</v>
      </c>
      <c r="G863" t="s">
        <v>13197</v>
      </c>
    </row>
    <row r="864" spans="1:7" x14ac:dyDescent="0.3">
      <c r="A864" s="42" t="s">
        <v>906</v>
      </c>
      <c r="B864" s="42" t="s">
        <v>1081</v>
      </c>
      <c r="C864" s="42" t="s">
        <v>6605</v>
      </c>
      <c r="D864" s="43" t="s">
        <v>136</v>
      </c>
      <c r="E864" s="43" t="s">
        <v>92</v>
      </c>
      <c r="F864" s="42" t="s">
        <v>11469</v>
      </c>
      <c r="G864" t="s">
        <v>13197</v>
      </c>
    </row>
    <row r="865" spans="1:7" x14ac:dyDescent="0.3">
      <c r="A865" s="42" t="s">
        <v>906</v>
      </c>
      <c r="B865" s="42" t="s">
        <v>1082</v>
      </c>
      <c r="C865" s="42" t="s">
        <v>6606</v>
      </c>
      <c r="D865" s="43" t="s">
        <v>136</v>
      </c>
      <c r="E865" s="43" t="s">
        <v>92</v>
      </c>
      <c r="F865" s="42" t="s">
        <v>11469</v>
      </c>
      <c r="G865" t="s">
        <v>13197</v>
      </c>
    </row>
    <row r="866" spans="1:7" x14ac:dyDescent="0.3">
      <c r="A866" s="42" t="s">
        <v>906</v>
      </c>
      <c r="B866" s="42" t="s">
        <v>1083</v>
      </c>
      <c r="C866" s="42" t="s">
        <v>6607</v>
      </c>
      <c r="D866" s="43" t="s">
        <v>136</v>
      </c>
      <c r="E866" s="43" t="s">
        <v>92</v>
      </c>
      <c r="F866" s="42" t="s">
        <v>11469</v>
      </c>
      <c r="G866" t="s">
        <v>13197</v>
      </c>
    </row>
    <row r="867" spans="1:7" x14ac:dyDescent="0.3">
      <c r="A867" s="42" t="s">
        <v>906</v>
      </c>
      <c r="B867" s="42" t="s">
        <v>1084</v>
      </c>
      <c r="C867" s="42" t="s">
        <v>6608</v>
      </c>
      <c r="D867" s="43" t="s">
        <v>136</v>
      </c>
      <c r="E867" s="43" t="s">
        <v>92</v>
      </c>
      <c r="F867" s="42" t="s">
        <v>11469</v>
      </c>
      <c r="G867" t="s">
        <v>13197</v>
      </c>
    </row>
    <row r="868" spans="1:7" x14ac:dyDescent="0.3">
      <c r="A868" s="42" t="s">
        <v>906</v>
      </c>
      <c r="B868" s="42" t="s">
        <v>1085</v>
      </c>
      <c r="C868" s="42" t="s">
        <v>6609</v>
      </c>
      <c r="D868" s="43" t="s">
        <v>136</v>
      </c>
      <c r="E868" s="43" t="s">
        <v>92</v>
      </c>
      <c r="F868" s="42" t="s">
        <v>11469</v>
      </c>
      <c r="G868" t="s">
        <v>13197</v>
      </c>
    </row>
    <row r="869" spans="1:7" x14ac:dyDescent="0.3">
      <c r="A869" s="42" t="s">
        <v>906</v>
      </c>
      <c r="B869" s="42" t="s">
        <v>1086</v>
      </c>
      <c r="C869" s="42" t="s">
        <v>6610</v>
      </c>
      <c r="D869" s="43" t="s">
        <v>136</v>
      </c>
      <c r="E869" s="43" t="s">
        <v>92</v>
      </c>
      <c r="F869" s="42" t="s">
        <v>11469</v>
      </c>
      <c r="G869" t="s">
        <v>13197</v>
      </c>
    </row>
    <row r="870" spans="1:7" x14ac:dyDescent="0.3">
      <c r="A870" s="42" t="s">
        <v>906</v>
      </c>
      <c r="B870" s="42" t="s">
        <v>1087</v>
      </c>
      <c r="C870" s="42" t="s">
        <v>6611</v>
      </c>
      <c r="D870" s="43" t="s">
        <v>136</v>
      </c>
      <c r="E870" s="43" t="s">
        <v>92</v>
      </c>
      <c r="F870" s="42" t="s">
        <v>11469</v>
      </c>
      <c r="G870" t="s">
        <v>13197</v>
      </c>
    </row>
    <row r="871" spans="1:7" x14ac:dyDescent="0.3">
      <c r="A871" s="42" t="s">
        <v>906</v>
      </c>
      <c r="B871" s="42" t="s">
        <v>1088</v>
      </c>
      <c r="C871" s="42" t="s">
        <v>6612</v>
      </c>
      <c r="D871" s="43" t="s">
        <v>136</v>
      </c>
      <c r="E871" s="43" t="s">
        <v>92</v>
      </c>
      <c r="F871" s="42" t="s">
        <v>11469</v>
      </c>
      <c r="G871" t="s">
        <v>13197</v>
      </c>
    </row>
    <row r="872" spans="1:7" x14ac:dyDescent="0.3">
      <c r="A872" s="42" t="s">
        <v>906</v>
      </c>
      <c r="B872" s="42" t="s">
        <v>1089</v>
      </c>
      <c r="C872" s="42" t="s">
        <v>6613</v>
      </c>
      <c r="D872" s="43" t="s">
        <v>136</v>
      </c>
      <c r="E872" s="43" t="s">
        <v>92</v>
      </c>
      <c r="F872" s="42" t="s">
        <v>11469</v>
      </c>
      <c r="G872" t="s">
        <v>13197</v>
      </c>
    </row>
    <row r="873" spans="1:7" x14ac:dyDescent="0.3">
      <c r="A873" s="42" t="s">
        <v>906</v>
      </c>
      <c r="B873" s="42" t="s">
        <v>1090</v>
      </c>
      <c r="C873" s="42" t="s">
        <v>6614</v>
      </c>
      <c r="D873" s="43" t="s">
        <v>136</v>
      </c>
      <c r="E873" s="43" t="s">
        <v>92</v>
      </c>
      <c r="F873" s="42" t="s">
        <v>11469</v>
      </c>
      <c r="G873" t="s">
        <v>13197</v>
      </c>
    </row>
    <row r="874" spans="1:7" x14ac:dyDescent="0.3">
      <c r="A874" s="42" t="s">
        <v>906</v>
      </c>
      <c r="B874" s="42" t="s">
        <v>1091</v>
      </c>
      <c r="C874" s="42" t="s">
        <v>6615</v>
      </c>
      <c r="D874" s="43" t="s">
        <v>136</v>
      </c>
      <c r="E874" s="43" t="s">
        <v>92</v>
      </c>
      <c r="F874" s="42" t="s">
        <v>11469</v>
      </c>
      <c r="G874" t="s">
        <v>13197</v>
      </c>
    </row>
    <row r="875" spans="1:7" x14ac:dyDescent="0.3">
      <c r="A875" s="42" t="s">
        <v>906</v>
      </c>
      <c r="B875" s="42" t="s">
        <v>1092</v>
      </c>
      <c r="C875" s="42" t="s">
        <v>6616</v>
      </c>
      <c r="D875" s="43" t="s">
        <v>136</v>
      </c>
      <c r="E875" s="43" t="s">
        <v>92</v>
      </c>
      <c r="F875" s="42" t="s">
        <v>11469</v>
      </c>
      <c r="G875" t="s">
        <v>13197</v>
      </c>
    </row>
    <row r="876" spans="1:7" x14ac:dyDescent="0.3">
      <c r="A876" s="42" t="s">
        <v>906</v>
      </c>
      <c r="B876" s="42" t="s">
        <v>1093</v>
      </c>
      <c r="C876" s="42" t="s">
        <v>6617</v>
      </c>
      <c r="D876" s="43" t="s">
        <v>136</v>
      </c>
      <c r="E876" s="43" t="s">
        <v>92</v>
      </c>
      <c r="F876" s="42" t="s">
        <v>11469</v>
      </c>
      <c r="G876" t="s">
        <v>13197</v>
      </c>
    </row>
    <row r="877" spans="1:7" x14ac:dyDescent="0.3">
      <c r="A877" s="42" t="s">
        <v>906</v>
      </c>
      <c r="B877" s="42" t="s">
        <v>1094</v>
      </c>
      <c r="C877" s="42" t="s">
        <v>6618</v>
      </c>
      <c r="D877" s="43" t="s">
        <v>136</v>
      </c>
      <c r="E877" s="43" t="s">
        <v>92</v>
      </c>
      <c r="F877" s="42" t="s">
        <v>11469</v>
      </c>
      <c r="G877" t="s">
        <v>13197</v>
      </c>
    </row>
    <row r="878" spans="1:7" x14ac:dyDescent="0.3">
      <c r="A878" s="42" t="s">
        <v>906</v>
      </c>
      <c r="B878" s="42" t="s">
        <v>1095</v>
      </c>
      <c r="C878" s="42" t="s">
        <v>6619</v>
      </c>
      <c r="D878" s="43" t="s">
        <v>136</v>
      </c>
      <c r="E878" s="43" t="s">
        <v>92</v>
      </c>
      <c r="F878" s="42" t="s">
        <v>192</v>
      </c>
      <c r="G878" t="s">
        <v>13196</v>
      </c>
    </row>
    <row r="879" spans="1:7" x14ac:dyDescent="0.3">
      <c r="A879" s="42" t="s">
        <v>906</v>
      </c>
      <c r="B879" s="42" t="s">
        <v>1096</v>
      </c>
      <c r="C879" s="42" t="s">
        <v>6620</v>
      </c>
      <c r="D879" s="43" t="s">
        <v>136</v>
      </c>
      <c r="E879" s="43" t="s">
        <v>92</v>
      </c>
      <c r="F879" s="42" t="s">
        <v>11469</v>
      </c>
      <c r="G879" t="s">
        <v>13197</v>
      </c>
    </row>
    <row r="880" spans="1:7" x14ac:dyDescent="0.3">
      <c r="A880" s="42" t="s">
        <v>906</v>
      </c>
      <c r="B880" s="42" t="s">
        <v>1097</v>
      </c>
      <c r="C880" s="42" t="s">
        <v>6621</v>
      </c>
      <c r="D880" s="43" t="s">
        <v>136</v>
      </c>
      <c r="E880" s="43" t="s">
        <v>92</v>
      </c>
      <c r="F880" s="42" t="s">
        <v>11469</v>
      </c>
      <c r="G880" t="s">
        <v>13197</v>
      </c>
    </row>
    <row r="881" spans="1:7" x14ac:dyDescent="0.3">
      <c r="A881" s="42" t="s">
        <v>906</v>
      </c>
      <c r="B881" s="42" t="s">
        <v>1098</v>
      </c>
      <c r="C881" s="42" t="s">
        <v>6622</v>
      </c>
      <c r="D881" s="43" t="s">
        <v>136</v>
      </c>
      <c r="E881" s="43" t="s">
        <v>92</v>
      </c>
      <c r="F881" s="42" t="s">
        <v>11469</v>
      </c>
      <c r="G881" t="s">
        <v>13197</v>
      </c>
    </row>
    <row r="882" spans="1:7" x14ac:dyDescent="0.3">
      <c r="A882" s="42" t="s">
        <v>906</v>
      </c>
      <c r="B882" s="42" t="s">
        <v>1099</v>
      </c>
      <c r="C882" s="42" t="s">
        <v>6623</v>
      </c>
      <c r="D882" s="43" t="s">
        <v>136</v>
      </c>
      <c r="E882" s="43" t="s">
        <v>92</v>
      </c>
      <c r="F882" s="42" t="s">
        <v>11469</v>
      </c>
      <c r="G882" t="s">
        <v>13197</v>
      </c>
    </row>
    <row r="883" spans="1:7" x14ac:dyDescent="0.3">
      <c r="A883" s="42" t="s">
        <v>906</v>
      </c>
      <c r="B883" s="42" t="s">
        <v>1100</v>
      </c>
      <c r="C883" s="42" t="s">
        <v>6624</v>
      </c>
      <c r="D883" s="43" t="s">
        <v>136</v>
      </c>
      <c r="E883" s="43" t="s">
        <v>92</v>
      </c>
      <c r="F883" s="42" t="s">
        <v>11469</v>
      </c>
      <c r="G883" t="s">
        <v>13197</v>
      </c>
    </row>
    <row r="884" spans="1:7" x14ac:dyDescent="0.3">
      <c r="A884" s="42" t="s">
        <v>906</v>
      </c>
      <c r="B884" s="42" t="s">
        <v>1101</v>
      </c>
      <c r="C884" s="42" t="s">
        <v>6625</v>
      </c>
      <c r="D884" s="43" t="s">
        <v>136</v>
      </c>
      <c r="E884" s="43" t="s">
        <v>92</v>
      </c>
      <c r="F884" s="42" t="s">
        <v>11469</v>
      </c>
      <c r="G884" t="s">
        <v>13197</v>
      </c>
    </row>
    <row r="885" spans="1:7" x14ac:dyDescent="0.3">
      <c r="A885" s="42" t="s">
        <v>1102</v>
      </c>
      <c r="B885" s="42" t="s">
        <v>1103</v>
      </c>
      <c r="C885" s="42" t="s">
        <v>6626</v>
      </c>
      <c r="D885" s="43" t="s">
        <v>136</v>
      </c>
      <c r="E885" s="43" t="s">
        <v>92</v>
      </c>
      <c r="F885" s="42" t="s">
        <v>11469</v>
      </c>
      <c r="G885" t="s">
        <v>13197</v>
      </c>
    </row>
    <row r="886" spans="1:7" x14ac:dyDescent="0.3">
      <c r="A886" s="42" t="s">
        <v>1102</v>
      </c>
      <c r="B886" s="42" t="s">
        <v>1104</v>
      </c>
      <c r="C886" s="42" t="s">
        <v>6627</v>
      </c>
      <c r="D886" s="43" t="s">
        <v>136</v>
      </c>
      <c r="E886" s="43" t="s">
        <v>92</v>
      </c>
      <c r="F886" s="42" t="s">
        <v>11469</v>
      </c>
      <c r="G886" t="s">
        <v>13197</v>
      </c>
    </row>
    <row r="887" spans="1:7" x14ac:dyDescent="0.3">
      <c r="A887" s="42" t="s">
        <v>1102</v>
      </c>
      <c r="B887" s="42" t="s">
        <v>1105</v>
      </c>
      <c r="C887" s="42" t="s">
        <v>6628</v>
      </c>
      <c r="D887" s="43" t="s">
        <v>136</v>
      </c>
      <c r="E887" s="43" t="s">
        <v>92</v>
      </c>
      <c r="F887" s="42" t="s">
        <v>11469</v>
      </c>
      <c r="G887" t="s">
        <v>13197</v>
      </c>
    </row>
    <row r="888" spans="1:7" x14ac:dyDescent="0.3">
      <c r="A888" s="42" t="s">
        <v>1102</v>
      </c>
      <c r="B888" s="42" t="s">
        <v>1106</v>
      </c>
      <c r="C888" s="42" t="s">
        <v>6629</v>
      </c>
      <c r="D888" s="43" t="s">
        <v>136</v>
      </c>
      <c r="E888" s="43" t="s">
        <v>92</v>
      </c>
      <c r="F888" s="42" t="s">
        <v>11469</v>
      </c>
      <c r="G888" t="s">
        <v>13197</v>
      </c>
    </row>
    <row r="889" spans="1:7" x14ac:dyDescent="0.3">
      <c r="A889" s="42" t="s">
        <v>1102</v>
      </c>
      <c r="B889" s="42" t="s">
        <v>1107</v>
      </c>
      <c r="C889" s="42" t="s">
        <v>6630</v>
      </c>
      <c r="D889" s="43" t="s">
        <v>136</v>
      </c>
      <c r="E889" s="43" t="s">
        <v>92</v>
      </c>
      <c r="F889" s="42" t="s">
        <v>11469</v>
      </c>
      <c r="G889" t="s">
        <v>13197</v>
      </c>
    </row>
    <row r="890" spans="1:7" x14ac:dyDescent="0.3">
      <c r="A890" s="42" t="s">
        <v>1102</v>
      </c>
      <c r="B890" s="42" t="s">
        <v>1108</v>
      </c>
      <c r="C890" s="42" t="s">
        <v>6631</v>
      </c>
      <c r="D890" s="43" t="s">
        <v>136</v>
      </c>
      <c r="E890" s="43" t="s">
        <v>92</v>
      </c>
      <c r="F890" s="42" t="s">
        <v>11469</v>
      </c>
      <c r="G890" t="s">
        <v>13197</v>
      </c>
    </row>
    <row r="891" spans="1:7" x14ac:dyDescent="0.3">
      <c r="A891" s="42" t="s">
        <v>1102</v>
      </c>
      <c r="B891" s="42" t="s">
        <v>1109</v>
      </c>
      <c r="C891" s="42" t="s">
        <v>6632</v>
      </c>
      <c r="D891" s="43" t="s">
        <v>136</v>
      </c>
      <c r="E891" s="43" t="s">
        <v>92</v>
      </c>
      <c r="F891" s="42" t="s">
        <v>11469</v>
      </c>
      <c r="G891" t="s">
        <v>13197</v>
      </c>
    </row>
    <row r="892" spans="1:7" x14ac:dyDescent="0.3">
      <c r="A892" s="42" t="s">
        <v>1102</v>
      </c>
      <c r="B892" s="42" t="s">
        <v>1110</v>
      </c>
      <c r="C892" s="42" t="s">
        <v>6633</v>
      </c>
      <c r="D892" s="43" t="s">
        <v>136</v>
      </c>
      <c r="E892" s="43" t="s">
        <v>92</v>
      </c>
      <c r="F892" s="42" t="s">
        <v>11469</v>
      </c>
      <c r="G892" t="s">
        <v>13197</v>
      </c>
    </row>
    <row r="893" spans="1:7" x14ac:dyDescent="0.3">
      <c r="A893" s="42" t="s">
        <v>1102</v>
      </c>
      <c r="B893" s="42" t="s">
        <v>1111</v>
      </c>
      <c r="C893" s="42" t="s">
        <v>6634</v>
      </c>
      <c r="D893" s="43" t="s">
        <v>136</v>
      </c>
      <c r="E893" s="43" t="s">
        <v>92</v>
      </c>
      <c r="F893" s="42" t="s">
        <v>192</v>
      </c>
      <c r="G893" t="s">
        <v>13196</v>
      </c>
    </row>
    <row r="894" spans="1:7" x14ac:dyDescent="0.3">
      <c r="A894" s="42" t="s">
        <v>1102</v>
      </c>
      <c r="B894" s="42" t="s">
        <v>1112</v>
      </c>
      <c r="C894" s="42" t="s">
        <v>6635</v>
      </c>
      <c r="D894" s="43" t="s">
        <v>136</v>
      </c>
      <c r="E894" s="43" t="s">
        <v>92</v>
      </c>
      <c r="F894" s="42" t="s">
        <v>11469</v>
      </c>
      <c r="G894" t="s">
        <v>13197</v>
      </c>
    </row>
    <row r="895" spans="1:7" x14ac:dyDescent="0.3">
      <c r="A895" s="42" t="s">
        <v>1102</v>
      </c>
      <c r="B895" s="42" t="s">
        <v>1113</v>
      </c>
      <c r="C895" s="42" t="s">
        <v>6636</v>
      </c>
      <c r="D895" s="43" t="s">
        <v>136</v>
      </c>
      <c r="E895" s="43" t="s">
        <v>92</v>
      </c>
      <c r="F895" s="42" t="s">
        <v>11469</v>
      </c>
      <c r="G895" t="s">
        <v>13197</v>
      </c>
    </row>
    <row r="896" spans="1:7" x14ac:dyDescent="0.3">
      <c r="A896" s="42" t="s">
        <v>1102</v>
      </c>
      <c r="B896" s="42" t="s">
        <v>1114</v>
      </c>
      <c r="C896" s="42" t="s">
        <v>6637</v>
      </c>
      <c r="D896" s="43" t="s">
        <v>136</v>
      </c>
      <c r="E896" s="43" t="s">
        <v>92</v>
      </c>
      <c r="F896" s="42" t="s">
        <v>11469</v>
      </c>
      <c r="G896" t="s">
        <v>13197</v>
      </c>
    </row>
    <row r="897" spans="1:7" x14ac:dyDescent="0.3">
      <c r="A897" s="42" t="s">
        <v>1102</v>
      </c>
      <c r="B897" s="42" t="s">
        <v>1115</v>
      </c>
      <c r="C897" s="42" t="s">
        <v>6638</v>
      </c>
      <c r="D897" s="43" t="s">
        <v>136</v>
      </c>
      <c r="E897" s="43" t="s">
        <v>92</v>
      </c>
      <c r="F897" s="42" t="s">
        <v>11469</v>
      </c>
      <c r="G897" t="s">
        <v>13197</v>
      </c>
    </row>
    <row r="898" spans="1:7" x14ac:dyDescent="0.3">
      <c r="A898" s="42" t="s">
        <v>1102</v>
      </c>
      <c r="B898" s="42" t="s">
        <v>1116</v>
      </c>
      <c r="C898" s="42" t="s">
        <v>6639</v>
      </c>
      <c r="D898" s="43" t="s">
        <v>136</v>
      </c>
      <c r="E898" s="43" t="s">
        <v>92</v>
      </c>
      <c r="F898" s="42" t="s">
        <v>11469</v>
      </c>
      <c r="G898" t="s">
        <v>13197</v>
      </c>
    </row>
    <row r="899" spans="1:7" x14ac:dyDescent="0.3">
      <c r="A899" s="42" t="s">
        <v>1102</v>
      </c>
      <c r="B899" s="42" t="s">
        <v>1117</v>
      </c>
      <c r="C899" s="42" t="s">
        <v>6640</v>
      </c>
      <c r="D899" s="43" t="s">
        <v>136</v>
      </c>
      <c r="E899" s="43" t="s">
        <v>92</v>
      </c>
      <c r="F899" s="42" t="s">
        <v>11469</v>
      </c>
      <c r="G899" t="s">
        <v>13197</v>
      </c>
    </row>
    <row r="900" spans="1:7" x14ac:dyDescent="0.3">
      <c r="A900" s="42" t="s">
        <v>1102</v>
      </c>
      <c r="B900" s="42" t="s">
        <v>1118</v>
      </c>
      <c r="C900" s="42" t="s">
        <v>6641</v>
      </c>
      <c r="D900" s="43" t="s">
        <v>136</v>
      </c>
      <c r="E900" s="43" t="s">
        <v>92</v>
      </c>
      <c r="F900" s="42" t="s">
        <v>11469</v>
      </c>
      <c r="G900" t="s">
        <v>13197</v>
      </c>
    </row>
    <row r="901" spans="1:7" x14ac:dyDescent="0.3">
      <c r="A901" s="42" t="s">
        <v>1102</v>
      </c>
      <c r="B901" s="42" t="s">
        <v>1119</v>
      </c>
      <c r="C901" s="42" t="s">
        <v>6642</v>
      </c>
      <c r="D901" s="43" t="s">
        <v>136</v>
      </c>
      <c r="E901" s="43" t="s">
        <v>92</v>
      </c>
      <c r="F901" s="42" t="s">
        <v>11469</v>
      </c>
      <c r="G901" t="s">
        <v>13197</v>
      </c>
    </row>
    <row r="902" spans="1:7" x14ac:dyDescent="0.3">
      <c r="A902" s="42" t="s">
        <v>1102</v>
      </c>
      <c r="B902" s="42" t="s">
        <v>1120</v>
      </c>
      <c r="C902" s="42" t="s">
        <v>6643</v>
      </c>
      <c r="D902" s="43" t="s">
        <v>136</v>
      </c>
      <c r="E902" s="43" t="s">
        <v>92</v>
      </c>
      <c r="F902" s="42" t="s">
        <v>11469</v>
      </c>
      <c r="G902" t="s">
        <v>13200</v>
      </c>
    </row>
    <row r="903" spans="1:7" x14ac:dyDescent="0.3">
      <c r="A903" s="42" t="s">
        <v>1102</v>
      </c>
      <c r="B903" s="42" t="s">
        <v>1121</v>
      </c>
      <c r="C903" s="42" t="s">
        <v>6644</v>
      </c>
      <c r="D903" s="43" t="s">
        <v>136</v>
      </c>
      <c r="E903" s="43" t="s">
        <v>92</v>
      </c>
      <c r="F903" s="42" t="s">
        <v>11469</v>
      </c>
      <c r="G903" t="s">
        <v>13197</v>
      </c>
    </row>
    <row r="904" spans="1:7" x14ac:dyDescent="0.3">
      <c r="A904" s="42" t="s">
        <v>1102</v>
      </c>
      <c r="B904" s="42" t="s">
        <v>1122</v>
      </c>
      <c r="C904" s="42" t="s">
        <v>6645</v>
      </c>
      <c r="D904" s="43" t="s">
        <v>136</v>
      </c>
      <c r="E904" s="43" t="s">
        <v>92</v>
      </c>
      <c r="F904" s="42" t="s">
        <v>11469</v>
      </c>
      <c r="G904" t="s">
        <v>13197</v>
      </c>
    </row>
    <row r="905" spans="1:7" x14ac:dyDescent="0.3">
      <c r="A905" s="42" t="s">
        <v>1102</v>
      </c>
      <c r="B905" s="42" t="s">
        <v>1123</v>
      </c>
      <c r="C905" s="42" t="s">
        <v>6646</v>
      </c>
      <c r="D905" s="43" t="s">
        <v>136</v>
      </c>
      <c r="E905" s="43" t="s">
        <v>92</v>
      </c>
      <c r="F905" s="42" t="s">
        <v>11469</v>
      </c>
      <c r="G905" t="s">
        <v>13197</v>
      </c>
    </row>
    <row r="906" spans="1:7" x14ac:dyDescent="0.3">
      <c r="A906" s="42" t="s">
        <v>1102</v>
      </c>
      <c r="B906" s="42" t="s">
        <v>1124</v>
      </c>
      <c r="C906" s="42" t="s">
        <v>6647</v>
      </c>
      <c r="D906" s="43" t="s">
        <v>136</v>
      </c>
      <c r="E906" s="43" t="s">
        <v>92</v>
      </c>
      <c r="F906" s="42" t="s">
        <v>11469</v>
      </c>
      <c r="G906" t="s">
        <v>13197</v>
      </c>
    </row>
    <row r="907" spans="1:7" x14ac:dyDescent="0.3">
      <c r="A907" s="42" t="s">
        <v>1102</v>
      </c>
      <c r="B907" s="42" t="s">
        <v>1125</v>
      </c>
      <c r="C907" s="42" t="s">
        <v>6648</v>
      </c>
      <c r="D907" s="43" t="s">
        <v>136</v>
      </c>
      <c r="E907" s="43" t="s">
        <v>92</v>
      </c>
      <c r="F907" s="42" t="s">
        <v>11469</v>
      </c>
      <c r="G907" t="s">
        <v>13197</v>
      </c>
    </row>
    <row r="908" spans="1:7" x14ac:dyDescent="0.3">
      <c r="A908" s="42" t="s">
        <v>1102</v>
      </c>
      <c r="B908" s="42" t="s">
        <v>1126</v>
      </c>
      <c r="C908" s="42" t="s">
        <v>6649</v>
      </c>
      <c r="D908" s="43" t="s">
        <v>136</v>
      </c>
      <c r="E908" s="43" t="s">
        <v>92</v>
      </c>
      <c r="F908" s="42" t="s">
        <v>137</v>
      </c>
      <c r="G908" t="s">
        <v>13197</v>
      </c>
    </row>
    <row r="909" spans="1:7" x14ac:dyDescent="0.3">
      <c r="A909" s="42" t="s">
        <v>1102</v>
      </c>
      <c r="B909" s="42" t="s">
        <v>1127</v>
      </c>
      <c r="C909" s="42" t="s">
        <v>6650</v>
      </c>
      <c r="D909" s="43" t="s">
        <v>136</v>
      </c>
      <c r="E909" s="43" t="s">
        <v>92</v>
      </c>
      <c r="F909" s="42" t="s">
        <v>192</v>
      </c>
      <c r="G909" t="s">
        <v>13196</v>
      </c>
    </row>
    <row r="910" spans="1:7" x14ac:dyDescent="0.3">
      <c r="A910" s="42" t="s">
        <v>1102</v>
      </c>
      <c r="B910" s="42" t="s">
        <v>1128</v>
      </c>
      <c r="C910" s="42" t="s">
        <v>6651</v>
      </c>
      <c r="D910" s="43" t="s">
        <v>136</v>
      </c>
      <c r="E910" s="43" t="s">
        <v>92</v>
      </c>
      <c r="F910" s="42" t="s">
        <v>11469</v>
      </c>
      <c r="G910" t="s">
        <v>13197</v>
      </c>
    </row>
    <row r="911" spans="1:7" x14ac:dyDescent="0.3">
      <c r="A911" s="42" t="s">
        <v>1102</v>
      </c>
      <c r="B911" s="42" t="s">
        <v>1129</v>
      </c>
      <c r="C911" s="42" t="s">
        <v>6652</v>
      </c>
      <c r="D911" s="43" t="s">
        <v>136</v>
      </c>
      <c r="E911" s="43" t="s">
        <v>92</v>
      </c>
      <c r="F911" s="42" t="s">
        <v>11469</v>
      </c>
      <c r="G911" t="s">
        <v>13197</v>
      </c>
    </row>
    <row r="912" spans="1:7" x14ac:dyDescent="0.3">
      <c r="A912" s="42" t="s">
        <v>1102</v>
      </c>
      <c r="B912" s="42" t="s">
        <v>1130</v>
      </c>
      <c r="C912" s="42" t="s">
        <v>6653</v>
      </c>
      <c r="D912" s="43" t="s">
        <v>136</v>
      </c>
      <c r="E912" s="43" t="s">
        <v>92</v>
      </c>
      <c r="F912" s="42" t="s">
        <v>11469</v>
      </c>
      <c r="G912" t="s">
        <v>13197</v>
      </c>
    </row>
    <row r="913" spans="1:7" x14ac:dyDescent="0.3">
      <c r="A913" s="42" t="s">
        <v>1102</v>
      </c>
      <c r="B913" s="42" t="s">
        <v>1131</v>
      </c>
      <c r="C913" s="42" t="s">
        <v>6654</v>
      </c>
      <c r="D913" s="43" t="s">
        <v>136</v>
      </c>
      <c r="E913" s="43" t="s">
        <v>92</v>
      </c>
      <c r="F913" s="42" t="s">
        <v>11469</v>
      </c>
      <c r="G913" t="s">
        <v>13197</v>
      </c>
    </row>
    <row r="914" spans="1:7" x14ac:dyDescent="0.3">
      <c r="A914" s="42" t="s">
        <v>1102</v>
      </c>
      <c r="B914" s="42" t="s">
        <v>1132</v>
      </c>
      <c r="C914" s="42" t="s">
        <v>6655</v>
      </c>
      <c r="D914" s="43" t="s">
        <v>136</v>
      </c>
      <c r="E914" s="43" t="s">
        <v>92</v>
      </c>
      <c r="F914" s="42" t="s">
        <v>11469</v>
      </c>
      <c r="G914" t="s">
        <v>13197</v>
      </c>
    </row>
    <row r="915" spans="1:7" x14ac:dyDescent="0.3">
      <c r="A915" s="42" t="s">
        <v>1102</v>
      </c>
      <c r="B915" s="42" t="s">
        <v>1133</v>
      </c>
      <c r="C915" s="42" t="s">
        <v>6656</v>
      </c>
      <c r="D915" s="43" t="s">
        <v>136</v>
      </c>
      <c r="E915" s="43" t="s">
        <v>92</v>
      </c>
      <c r="F915" s="42" t="s">
        <v>192</v>
      </c>
      <c r="G915" t="s">
        <v>13196</v>
      </c>
    </row>
    <row r="916" spans="1:7" x14ac:dyDescent="0.3">
      <c r="A916" s="42" t="s">
        <v>1102</v>
      </c>
      <c r="B916" s="42" t="s">
        <v>1134</v>
      </c>
      <c r="C916" s="42" t="s">
        <v>6657</v>
      </c>
      <c r="D916" s="43" t="s">
        <v>136</v>
      </c>
      <c r="E916" s="43" t="s">
        <v>92</v>
      </c>
      <c r="F916" s="42" t="s">
        <v>11469</v>
      </c>
      <c r="G916" t="s">
        <v>13197</v>
      </c>
    </row>
    <row r="917" spans="1:7" x14ac:dyDescent="0.3">
      <c r="A917" s="42" t="s">
        <v>1102</v>
      </c>
      <c r="B917" s="42" t="s">
        <v>1135</v>
      </c>
      <c r="C917" s="42" t="s">
        <v>6658</v>
      </c>
      <c r="D917" s="43" t="s">
        <v>136</v>
      </c>
      <c r="E917" s="43" t="s">
        <v>92</v>
      </c>
      <c r="F917" s="42" t="s">
        <v>11469</v>
      </c>
      <c r="G917" t="s">
        <v>13197</v>
      </c>
    </row>
    <row r="918" spans="1:7" x14ac:dyDescent="0.3">
      <c r="A918" s="42" t="s">
        <v>1102</v>
      </c>
      <c r="B918" s="42" t="s">
        <v>1136</v>
      </c>
      <c r="C918" s="42" t="s">
        <v>6659</v>
      </c>
      <c r="D918" s="43" t="s">
        <v>136</v>
      </c>
      <c r="E918" s="43" t="s">
        <v>92</v>
      </c>
      <c r="F918" s="42" t="s">
        <v>11469</v>
      </c>
      <c r="G918" t="s">
        <v>13197</v>
      </c>
    </row>
    <row r="919" spans="1:7" x14ac:dyDescent="0.3">
      <c r="A919" s="42" t="s">
        <v>1102</v>
      </c>
      <c r="B919" s="42" t="s">
        <v>1137</v>
      </c>
      <c r="C919" s="42" t="s">
        <v>6660</v>
      </c>
      <c r="D919" s="43" t="s">
        <v>136</v>
      </c>
      <c r="E919" s="43" t="s">
        <v>92</v>
      </c>
      <c r="F919" s="42" t="s">
        <v>11469</v>
      </c>
      <c r="G919" t="s">
        <v>13197</v>
      </c>
    </row>
    <row r="920" spans="1:7" x14ac:dyDescent="0.3">
      <c r="A920" s="42" t="s">
        <v>1102</v>
      </c>
      <c r="B920" s="42" t="s">
        <v>1138</v>
      </c>
      <c r="C920" s="42" t="s">
        <v>6661</v>
      </c>
      <c r="D920" s="43" t="s">
        <v>136</v>
      </c>
      <c r="E920" s="43" t="s">
        <v>92</v>
      </c>
      <c r="F920" s="42" t="s">
        <v>11469</v>
      </c>
      <c r="G920" t="s">
        <v>13197</v>
      </c>
    </row>
    <row r="921" spans="1:7" x14ac:dyDescent="0.3">
      <c r="A921" s="42" t="s">
        <v>1102</v>
      </c>
      <c r="B921" s="42" t="s">
        <v>1139</v>
      </c>
      <c r="C921" s="42" t="s">
        <v>6662</v>
      </c>
      <c r="D921" s="43" t="s">
        <v>136</v>
      </c>
      <c r="E921" s="43" t="s">
        <v>92</v>
      </c>
      <c r="F921" s="42" t="s">
        <v>11469</v>
      </c>
      <c r="G921" t="s">
        <v>13197</v>
      </c>
    </row>
    <row r="922" spans="1:7" x14ac:dyDescent="0.3">
      <c r="A922" s="42" t="s">
        <v>1102</v>
      </c>
      <c r="B922" s="42" t="s">
        <v>1140</v>
      </c>
      <c r="C922" s="42" t="s">
        <v>6663</v>
      </c>
      <c r="D922" s="43" t="s">
        <v>136</v>
      </c>
      <c r="E922" s="43" t="s">
        <v>92</v>
      </c>
      <c r="F922" s="42" t="s">
        <v>11469</v>
      </c>
      <c r="G922" t="s">
        <v>13197</v>
      </c>
    </row>
    <row r="923" spans="1:7" x14ac:dyDescent="0.3">
      <c r="A923" s="42" t="s">
        <v>1102</v>
      </c>
      <c r="B923" s="42" t="s">
        <v>1141</v>
      </c>
      <c r="C923" s="42" t="s">
        <v>6664</v>
      </c>
      <c r="D923" s="43" t="s">
        <v>136</v>
      </c>
      <c r="E923" s="43" t="s">
        <v>92</v>
      </c>
      <c r="F923" s="42" t="s">
        <v>192</v>
      </c>
      <c r="G923" t="s">
        <v>13196</v>
      </c>
    </row>
    <row r="924" spans="1:7" x14ac:dyDescent="0.3">
      <c r="A924" s="42" t="s">
        <v>1102</v>
      </c>
      <c r="B924" s="42" t="s">
        <v>1142</v>
      </c>
      <c r="C924" s="42" t="s">
        <v>6665</v>
      </c>
      <c r="D924" s="43" t="s">
        <v>136</v>
      </c>
      <c r="E924" s="43" t="s">
        <v>92</v>
      </c>
      <c r="F924" s="42" t="s">
        <v>11469</v>
      </c>
      <c r="G924" t="s">
        <v>13197</v>
      </c>
    </row>
    <row r="925" spans="1:7" x14ac:dyDescent="0.3">
      <c r="A925" s="42" t="s">
        <v>1102</v>
      </c>
      <c r="B925" s="42" t="s">
        <v>1143</v>
      </c>
      <c r="C925" s="42" t="s">
        <v>6666</v>
      </c>
      <c r="D925" s="43" t="s">
        <v>136</v>
      </c>
      <c r="E925" s="43" t="s">
        <v>92</v>
      </c>
      <c r="F925" s="42" t="s">
        <v>11469</v>
      </c>
      <c r="G925" t="s">
        <v>13197</v>
      </c>
    </row>
    <row r="926" spans="1:7" x14ac:dyDescent="0.3">
      <c r="A926" s="42" t="s">
        <v>1102</v>
      </c>
      <c r="B926" s="42" t="s">
        <v>1144</v>
      </c>
      <c r="C926" s="42" t="s">
        <v>6667</v>
      </c>
      <c r="D926" s="43" t="s">
        <v>136</v>
      </c>
      <c r="E926" s="43" t="s">
        <v>92</v>
      </c>
      <c r="F926" s="42" t="s">
        <v>11469</v>
      </c>
      <c r="G926" t="s">
        <v>13197</v>
      </c>
    </row>
    <row r="927" spans="1:7" x14ac:dyDescent="0.3">
      <c r="A927" s="42" t="s">
        <v>1102</v>
      </c>
      <c r="B927" s="42" t="s">
        <v>1145</v>
      </c>
      <c r="C927" s="42" t="s">
        <v>6668</v>
      </c>
      <c r="D927" s="43" t="s">
        <v>136</v>
      </c>
      <c r="E927" s="43" t="s">
        <v>92</v>
      </c>
      <c r="F927" s="42" t="s">
        <v>11469</v>
      </c>
      <c r="G927" t="s">
        <v>13197</v>
      </c>
    </row>
    <row r="928" spans="1:7" x14ac:dyDescent="0.3">
      <c r="A928" s="42" t="s">
        <v>1102</v>
      </c>
      <c r="B928" s="42" t="s">
        <v>1146</v>
      </c>
      <c r="C928" s="42" t="s">
        <v>6669</v>
      </c>
      <c r="D928" s="43" t="s">
        <v>136</v>
      </c>
      <c r="E928" s="43" t="s">
        <v>92</v>
      </c>
      <c r="F928" s="42" t="s">
        <v>11469</v>
      </c>
      <c r="G928" t="s">
        <v>13197</v>
      </c>
    </row>
    <row r="929" spans="1:7" x14ac:dyDescent="0.3">
      <c r="A929" s="42" t="s">
        <v>1102</v>
      </c>
      <c r="B929" s="42" t="s">
        <v>1147</v>
      </c>
      <c r="C929" s="42" t="s">
        <v>6670</v>
      </c>
      <c r="D929" s="43" t="s">
        <v>136</v>
      </c>
      <c r="E929" s="43" t="s">
        <v>92</v>
      </c>
      <c r="F929" s="42" t="s">
        <v>11469</v>
      </c>
      <c r="G929" t="s">
        <v>13197</v>
      </c>
    </row>
    <row r="930" spans="1:7" x14ac:dyDescent="0.3">
      <c r="A930" s="42" t="s">
        <v>1102</v>
      </c>
      <c r="B930" s="42" t="s">
        <v>1148</v>
      </c>
      <c r="C930" s="42" t="s">
        <v>6671</v>
      </c>
      <c r="D930" s="43" t="s">
        <v>136</v>
      </c>
      <c r="E930" s="43" t="s">
        <v>92</v>
      </c>
      <c r="F930" s="42" t="s">
        <v>192</v>
      </c>
      <c r="G930" t="s">
        <v>13196</v>
      </c>
    </row>
    <row r="931" spans="1:7" x14ac:dyDescent="0.3">
      <c r="A931" s="42" t="s">
        <v>1102</v>
      </c>
      <c r="B931" s="42" t="s">
        <v>1149</v>
      </c>
      <c r="C931" s="42" t="s">
        <v>6672</v>
      </c>
      <c r="D931" s="43" t="s">
        <v>136</v>
      </c>
      <c r="E931" s="43" t="s">
        <v>92</v>
      </c>
      <c r="F931" s="42" t="s">
        <v>11469</v>
      </c>
      <c r="G931" t="s">
        <v>13197</v>
      </c>
    </row>
    <row r="932" spans="1:7" x14ac:dyDescent="0.3">
      <c r="A932" s="42" t="s">
        <v>1102</v>
      </c>
      <c r="B932" s="42" t="s">
        <v>1150</v>
      </c>
      <c r="C932" s="42" t="s">
        <v>6673</v>
      </c>
      <c r="D932" s="43" t="s">
        <v>136</v>
      </c>
      <c r="E932" s="43" t="s">
        <v>92</v>
      </c>
      <c r="F932" s="42" t="s">
        <v>192</v>
      </c>
      <c r="G932" t="s">
        <v>13196</v>
      </c>
    </row>
    <row r="933" spans="1:7" x14ac:dyDescent="0.3">
      <c r="A933" s="42" t="s">
        <v>1102</v>
      </c>
      <c r="B933" s="42" t="s">
        <v>1151</v>
      </c>
      <c r="C933" s="42" t="s">
        <v>6674</v>
      </c>
      <c r="D933" s="43" t="s">
        <v>136</v>
      </c>
      <c r="E933" s="43" t="s">
        <v>92</v>
      </c>
      <c r="F933" s="42" t="s">
        <v>11469</v>
      </c>
      <c r="G933" t="s">
        <v>13197</v>
      </c>
    </row>
    <row r="934" spans="1:7" x14ac:dyDescent="0.3">
      <c r="A934" s="42" t="s">
        <v>1102</v>
      </c>
      <c r="B934" s="42" t="s">
        <v>1152</v>
      </c>
      <c r="C934" s="42" t="s">
        <v>6675</v>
      </c>
      <c r="D934" s="43" t="s">
        <v>136</v>
      </c>
      <c r="E934" s="43" t="s">
        <v>92</v>
      </c>
      <c r="F934" s="42" t="s">
        <v>11469</v>
      </c>
      <c r="G934" t="s">
        <v>13197</v>
      </c>
    </row>
    <row r="935" spans="1:7" x14ac:dyDescent="0.3">
      <c r="A935" s="42" t="s">
        <v>1102</v>
      </c>
      <c r="B935" s="42" t="s">
        <v>1153</v>
      </c>
      <c r="C935" s="42" t="s">
        <v>6676</v>
      </c>
      <c r="D935" s="43" t="s">
        <v>136</v>
      </c>
      <c r="E935" s="43" t="s">
        <v>92</v>
      </c>
      <c r="F935" s="42" t="s">
        <v>11469</v>
      </c>
      <c r="G935" t="s">
        <v>13197</v>
      </c>
    </row>
    <row r="936" spans="1:7" x14ac:dyDescent="0.3">
      <c r="A936" s="42" t="s">
        <v>1102</v>
      </c>
      <c r="B936" s="42" t="s">
        <v>1154</v>
      </c>
      <c r="C936" s="42" t="s">
        <v>6677</v>
      </c>
      <c r="D936" s="43" t="s">
        <v>136</v>
      </c>
      <c r="E936" s="43" t="s">
        <v>92</v>
      </c>
      <c r="F936" s="42" t="s">
        <v>11469</v>
      </c>
      <c r="G936" t="s">
        <v>13197</v>
      </c>
    </row>
    <row r="937" spans="1:7" x14ac:dyDescent="0.3">
      <c r="A937" s="42" t="s">
        <v>1102</v>
      </c>
      <c r="B937" s="42" t="s">
        <v>1155</v>
      </c>
      <c r="C937" s="42" t="s">
        <v>6678</v>
      </c>
      <c r="D937" s="43" t="s">
        <v>136</v>
      </c>
      <c r="E937" s="43" t="s">
        <v>92</v>
      </c>
      <c r="F937" s="42" t="s">
        <v>11469</v>
      </c>
      <c r="G937" t="s">
        <v>13197</v>
      </c>
    </row>
    <row r="938" spans="1:7" x14ac:dyDescent="0.3">
      <c r="A938" s="42" t="s">
        <v>1102</v>
      </c>
      <c r="B938" s="42" t="s">
        <v>1156</v>
      </c>
      <c r="C938" s="42" t="s">
        <v>6679</v>
      </c>
      <c r="D938" s="43" t="s">
        <v>136</v>
      </c>
      <c r="E938" s="43" t="s">
        <v>92</v>
      </c>
      <c r="F938" s="42" t="s">
        <v>11469</v>
      </c>
      <c r="G938" t="s">
        <v>13197</v>
      </c>
    </row>
    <row r="939" spans="1:7" x14ac:dyDescent="0.3">
      <c r="A939" s="42" t="s">
        <v>1102</v>
      </c>
      <c r="B939" s="42" t="s">
        <v>1157</v>
      </c>
      <c r="C939" s="42" t="s">
        <v>6680</v>
      </c>
      <c r="D939" s="43" t="s">
        <v>136</v>
      </c>
      <c r="E939" s="43" t="s">
        <v>92</v>
      </c>
      <c r="F939" s="42" t="s">
        <v>11469</v>
      </c>
      <c r="G939" t="s">
        <v>13197</v>
      </c>
    </row>
    <row r="940" spans="1:7" x14ac:dyDescent="0.3">
      <c r="A940" s="42" t="s">
        <v>1102</v>
      </c>
      <c r="B940" s="42" t="s">
        <v>1158</v>
      </c>
      <c r="C940" s="42" t="s">
        <v>6681</v>
      </c>
      <c r="D940" s="43" t="s">
        <v>136</v>
      </c>
      <c r="E940" s="43" t="s">
        <v>92</v>
      </c>
      <c r="F940" s="42" t="s">
        <v>11469</v>
      </c>
      <c r="G940" t="s">
        <v>13197</v>
      </c>
    </row>
    <row r="941" spans="1:7" x14ac:dyDescent="0.3">
      <c r="A941" s="42" t="s">
        <v>1102</v>
      </c>
      <c r="B941" s="42" t="s">
        <v>1159</v>
      </c>
      <c r="C941" s="42" t="s">
        <v>6682</v>
      </c>
      <c r="D941" s="43" t="s">
        <v>136</v>
      </c>
      <c r="E941" s="43" t="s">
        <v>92</v>
      </c>
      <c r="F941" s="42" t="s">
        <v>11469</v>
      </c>
      <c r="G941" t="s">
        <v>13197</v>
      </c>
    </row>
    <row r="942" spans="1:7" x14ac:dyDescent="0.3">
      <c r="A942" s="42" t="s">
        <v>1102</v>
      </c>
      <c r="B942" s="42" t="s">
        <v>1160</v>
      </c>
      <c r="C942" s="42" t="s">
        <v>6683</v>
      </c>
      <c r="D942" s="43" t="s">
        <v>136</v>
      </c>
      <c r="E942" s="43" t="s">
        <v>92</v>
      </c>
      <c r="F942" s="42" t="s">
        <v>11469</v>
      </c>
      <c r="G942" t="s">
        <v>13197</v>
      </c>
    </row>
    <row r="943" spans="1:7" x14ac:dyDescent="0.3">
      <c r="A943" s="42" t="s">
        <v>1102</v>
      </c>
      <c r="B943" s="42" t="s">
        <v>1161</v>
      </c>
      <c r="C943" s="42" t="s">
        <v>6684</v>
      </c>
      <c r="D943" s="43" t="s">
        <v>136</v>
      </c>
      <c r="E943" s="43" t="s">
        <v>92</v>
      </c>
      <c r="F943" s="42" t="s">
        <v>11469</v>
      </c>
      <c r="G943" t="s">
        <v>13197</v>
      </c>
    </row>
    <row r="944" spans="1:7" x14ac:dyDescent="0.3">
      <c r="A944" s="42" t="s">
        <v>1102</v>
      </c>
      <c r="B944" s="42" t="s">
        <v>1162</v>
      </c>
      <c r="C944" s="42" t="s">
        <v>6685</v>
      </c>
      <c r="D944" s="43" t="s">
        <v>136</v>
      </c>
      <c r="E944" s="43" t="s">
        <v>92</v>
      </c>
      <c r="F944" s="42" t="s">
        <v>11469</v>
      </c>
      <c r="G944" t="s">
        <v>13197</v>
      </c>
    </row>
    <row r="945" spans="1:7" x14ac:dyDescent="0.3">
      <c r="A945" s="42" t="s">
        <v>1102</v>
      </c>
      <c r="B945" s="42" t="s">
        <v>1163</v>
      </c>
      <c r="C945" s="42" t="s">
        <v>6686</v>
      </c>
      <c r="D945" s="43" t="s">
        <v>136</v>
      </c>
      <c r="E945" s="43" t="s">
        <v>92</v>
      </c>
      <c r="F945" s="42" t="s">
        <v>11469</v>
      </c>
      <c r="G945" t="s">
        <v>13197</v>
      </c>
    </row>
    <row r="946" spans="1:7" x14ac:dyDescent="0.3">
      <c r="A946" s="42" t="s">
        <v>1102</v>
      </c>
      <c r="B946" s="42" t="s">
        <v>1164</v>
      </c>
      <c r="C946" s="42" t="s">
        <v>6687</v>
      </c>
      <c r="D946" s="43" t="s">
        <v>136</v>
      </c>
      <c r="E946" s="43" t="s">
        <v>92</v>
      </c>
      <c r="F946" s="42" t="s">
        <v>192</v>
      </c>
      <c r="G946" t="s">
        <v>13196</v>
      </c>
    </row>
    <row r="947" spans="1:7" x14ac:dyDescent="0.3">
      <c r="A947" s="42" t="s">
        <v>1102</v>
      </c>
      <c r="B947" s="42" t="s">
        <v>1165</v>
      </c>
      <c r="C947" s="42" t="s">
        <v>6688</v>
      </c>
      <c r="D947" s="43" t="s">
        <v>136</v>
      </c>
      <c r="E947" s="43" t="s">
        <v>92</v>
      </c>
      <c r="F947" s="42" t="s">
        <v>11469</v>
      </c>
      <c r="G947" t="s">
        <v>13197</v>
      </c>
    </row>
    <row r="948" spans="1:7" x14ac:dyDescent="0.3">
      <c r="A948" s="42" t="s">
        <v>1102</v>
      </c>
      <c r="B948" s="42" t="s">
        <v>1166</v>
      </c>
      <c r="C948" s="42" t="s">
        <v>6689</v>
      </c>
      <c r="D948" s="43" t="s">
        <v>136</v>
      </c>
      <c r="E948" s="43" t="s">
        <v>92</v>
      </c>
      <c r="F948" s="42" t="s">
        <v>192</v>
      </c>
      <c r="G948" t="s">
        <v>13196</v>
      </c>
    </row>
    <row r="949" spans="1:7" x14ac:dyDescent="0.3">
      <c r="A949" s="42" t="s">
        <v>1102</v>
      </c>
      <c r="B949" s="42" t="s">
        <v>1167</v>
      </c>
      <c r="C949" s="42" t="s">
        <v>6690</v>
      </c>
      <c r="D949" s="43" t="s">
        <v>136</v>
      </c>
      <c r="E949" s="43" t="s">
        <v>92</v>
      </c>
      <c r="F949" s="42" t="s">
        <v>11469</v>
      </c>
      <c r="G949" t="s">
        <v>13197</v>
      </c>
    </row>
    <row r="950" spans="1:7" x14ac:dyDescent="0.3">
      <c r="A950" s="42" t="s">
        <v>1102</v>
      </c>
      <c r="B950" s="42" t="s">
        <v>1168</v>
      </c>
      <c r="C950" s="42" t="s">
        <v>6691</v>
      </c>
      <c r="D950" s="43" t="s">
        <v>136</v>
      </c>
      <c r="E950" s="43" t="s">
        <v>92</v>
      </c>
      <c r="F950" s="42" t="s">
        <v>11469</v>
      </c>
      <c r="G950" t="s">
        <v>13197</v>
      </c>
    </row>
    <row r="951" spans="1:7" x14ac:dyDescent="0.3">
      <c r="A951" s="42" t="s">
        <v>1102</v>
      </c>
      <c r="B951" s="42" t="s">
        <v>1169</v>
      </c>
      <c r="C951" s="42" t="s">
        <v>6692</v>
      </c>
      <c r="D951" s="43" t="s">
        <v>136</v>
      </c>
      <c r="E951" s="43" t="s">
        <v>92</v>
      </c>
      <c r="F951" s="42" t="s">
        <v>11469</v>
      </c>
      <c r="G951" t="s">
        <v>13197</v>
      </c>
    </row>
    <row r="952" spans="1:7" x14ac:dyDescent="0.3">
      <c r="A952" s="42" t="s">
        <v>1102</v>
      </c>
      <c r="B952" s="42" t="s">
        <v>1170</v>
      </c>
      <c r="C952" s="42" t="s">
        <v>6693</v>
      </c>
      <c r="D952" s="43" t="s">
        <v>136</v>
      </c>
      <c r="E952" s="43" t="s">
        <v>92</v>
      </c>
      <c r="F952" s="42" t="s">
        <v>11469</v>
      </c>
      <c r="G952" t="s">
        <v>13197</v>
      </c>
    </row>
    <row r="953" spans="1:7" x14ac:dyDescent="0.3">
      <c r="A953" s="42" t="s">
        <v>1102</v>
      </c>
      <c r="B953" s="42" t="s">
        <v>1171</v>
      </c>
      <c r="C953" s="42" t="s">
        <v>6694</v>
      </c>
      <c r="D953" s="43" t="s">
        <v>136</v>
      </c>
      <c r="E953" s="43" t="s">
        <v>92</v>
      </c>
      <c r="F953" s="42" t="s">
        <v>11469</v>
      </c>
      <c r="G953" t="s">
        <v>13197</v>
      </c>
    </row>
    <row r="954" spans="1:7" x14ac:dyDescent="0.3">
      <c r="A954" s="42" t="s">
        <v>1102</v>
      </c>
      <c r="B954" s="42" t="s">
        <v>1172</v>
      </c>
      <c r="C954" s="42" t="s">
        <v>6695</v>
      </c>
      <c r="D954" s="43" t="s">
        <v>136</v>
      </c>
      <c r="E954" s="43" t="s">
        <v>92</v>
      </c>
      <c r="F954" s="42" t="s">
        <v>11469</v>
      </c>
      <c r="G954" t="s">
        <v>13197</v>
      </c>
    </row>
    <row r="955" spans="1:7" x14ac:dyDescent="0.3">
      <c r="A955" s="42" t="s">
        <v>1102</v>
      </c>
      <c r="B955" s="42" t="s">
        <v>1173</v>
      </c>
      <c r="C955" s="42" t="s">
        <v>6696</v>
      </c>
      <c r="D955" s="43" t="s">
        <v>136</v>
      </c>
      <c r="E955" s="43" t="s">
        <v>92</v>
      </c>
      <c r="F955" s="42" t="s">
        <v>192</v>
      </c>
      <c r="G955" t="s">
        <v>13196</v>
      </c>
    </row>
    <row r="956" spans="1:7" x14ac:dyDescent="0.3">
      <c r="A956" s="42" t="s">
        <v>1102</v>
      </c>
      <c r="B956" s="42" t="s">
        <v>1174</v>
      </c>
      <c r="C956" s="42" t="s">
        <v>6697</v>
      </c>
      <c r="D956" s="43" t="s">
        <v>136</v>
      </c>
      <c r="E956" s="43" t="s">
        <v>92</v>
      </c>
      <c r="F956" s="42" t="s">
        <v>11469</v>
      </c>
      <c r="G956" t="s">
        <v>13197</v>
      </c>
    </row>
    <row r="957" spans="1:7" x14ac:dyDescent="0.3">
      <c r="A957" s="42" t="s">
        <v>1102</v>
      </c>
      <c r="B957" s="42" t="s">
        <v>1175</v>
      </c>
      <c r="C957" s="42" t="s">
        <v>6698</v>
      </c>
      <c r="D957" s="43" t="s">
        <v>136</v>
      </c>
      <c r="E957" s="43" t="s">
        <v>92</v>
      </c>
      <c r="F957" s="42" t="s">
        <v>11469</v>
      </c>
      <c r="G957" t="s">
        <v>13197</v>
      </c>
    </row>
    <row r="958" spans="1:7" x14ac:dyDescent="0.3">
      <c r="A958" s="42" t="s">
        <v>1102</v>
      </c>
      <c r="B958" s="42" t="s">
        <v>1176</v>
      </c>
      <c r="C958" s="42" t="s">
        <v>6699</v>
      </c>
      <c r="D958" s="43" t="s">
        <v>136</v>
      </c>
      <c r="E958" s="43" t="s">
        <v>92</v>
      </c>
      <c r="F958" s="42" t="s">
        <v>11469</v>
      </c>
      <c r="G958" t="s">
        <v>13197</v>
      </c>
    </row>
    <row r="959" spans="1:7" x14ac:dyDescent="0.3">
      <c r="A959" s="42" t="s">
        <v>1102</v>
      </c>
      <c r="B959" s="42" t="s">
        <v>1177</v>
      </c>
      <c r="C959" s="42" t="s">
        <v>6700</v>
      </c>
      <c r="D959" s="43" t="s">
        <v>136</v>
      </c>
      <c r="E959" s="43" t="s">
        <v>92</v>
      </c>
      <c r="F959" s="42" t="s">
        <v>11469</v>
      </c>
      <c r="G959" t="s">
        <v>13197</v>
      </c>
    </row>
    <row r="960" spans="1:7" x14ac:dyDescent="0.3">
      <c r="A960" s="42" t="s">
        <v>1102</v>
      </c>
      <c r="B960" s="42" t="s">
        <v>1178</v>
      </c>
      <c r="C960" s="42" t="s">
        <v>6701</v>
      </c>
      <c r="D960" s="43" t="s">
        <v>136</v>
      </c>
      <c r="E960" s="43" t="s">
        <v>92</v>
      </c>
      <c r="F960" s="42" t="s">
        <v>11469</v>
      </c>
      <c r="G960" t="s">
        <v>13197</v>
      </c>
    </row>
    <row r="961" spans="1:7" x14ac:dyDescent="0.3">
      <c r="A961" s="42" t="s">
        <v>1102</v>
      </c>
      <c r="B961" s="42" t="s">
        <v>1179</v>
      </c>
      <c r="C961" s="42" t="s">
        <v>6702</v>
      </c>
      <c r="D961" s="43" t="s">
        <v>136</v>
      </c>
      <c r="E961" s="43" t="s">
        <v>92</v>
      </c>
      <c r="F961" s="42" t="s">
        <v>11469</v>
      </c>
      <c r="G961" t="s">
        <v>13197</v>
      </c>
    </row>
    <row r="962" spans="1:7" x14ac:dyDescent="0.3">
      <c r="A962" s="42" t="s">
        <v>1102</v>
      </c>
      <c r="B962" s="42" t="s">
        <v>1180</v>
      </c>
      <c r="C962" s="42" t="s">
        <v>6703</v>
      </c>
      <c r="D962" s="43" t="s">
        <v>136</v>
      </c>
      <c r="E962" s="43" t="s">
        <v>92</v>
      </c>
      <c r="F962" s="42" t="s">
        <v>11469</v>
      </c>
      <c r="G962" t="s">
        <v>13197</v>
      </c>
    </row>
    <row r="963" spans="1:7" x14ac:dyDescent="0.3">
      <c r="A963" s="42" t="s">
        <v>1102</v>
      </c>
      <c r="B963" s="42" t="s">
        <v>1181</v>
      </c>
      <c r="C963" s="42" t="s">
        <v>6704</v>
      </c>
      <c r="D963" s="43" t="s">
        <v>136</v>
      </c>
      <c r="E963" s="43" t="s">
        <v>92</v>
      </c>
      <c r="F963" s="42" t="s">
        <v>11469</v>
      </c>
      <c r="G963" t="s">
        <v>13197</v>
      </c>
    </row>
    <row r="964" spans="1:7" x14ac:dyDescent="0.3">
      <c r="A964" s="42" t="s">
        <v>1102</v>
      </c>
      <c r="B964" s="42" t="s">
        <v>1182</v>
      </c>
      <c r="C964" s="42" t="s">
        <v>6705</v>
      </c>
      <c r="D964" s="43" t="s">
        <v>136</v>
      </c>
      <c r="E964" s="43" t="s">
        <v>92</v>
      </c>
      <c r="F964" s="42" t="s">
        <v>11469</v>
      </c>
      <c r="G964" t="s">
        <v>13197</v>
      </c>
    </row>
    <row r="965" spans="1:7" x14ac:dyDescent="0.3">
      <c r="A965" s="42" t="s">
        <v>1102</v>
      </c>
      <c r="B965" s="42" t="s">
        <v>1183</v>
      </c>
      <c r="C965" s="42" t="s">
        <v>6706</v>
      </c>
      <c r="D965" s="43" t="s">
        <v>136</v>
      </c>
      <c r="E965" s="43" t="s">
        <v>92</v>
      </c>
      <c r="F965" s="42" t="s">
        <v>11469</v>
      </c>
      <c r="G965" t="s">
        <v>13197</v>
      </c>
    </row>
    <row r="966" spans="1:7" x14ac:dyDescent="0.3">
      <c r="A966" s="42" t="s">
        <v>1102</v>
      </c>
      <c r="B966" s="42" t="s">
        <v>1184</v>
      </c>
      <c r="C966" s="42" t="s">
        <v>6707</v>
      </c>
      <c r="D966" s="43" t="s">
        <v>136</v>
      </c>
      <c r="E966" s="43" t="s">
        <v>92</v>
      </c>
      <c r="F966" s="42" t="s">
        <v>192</v>
      </c>
      <c r="G966" t="s">
        <v>13196</v>
      </c>
    </row>
    <row r="967" spans="1:7" x14ac:dyDescent="0.3">
      <c r="A967" s="42" t="s">
        <v>1102</v>
      </c>
      <c r="B967" s="42" t="s">
        <v>1185</v>
      </c>
      <c r="C967" s="42" t="s">
        <v>6708</v>
      </c>
      <c r="D967" s="43" t="s">
        <v>136</v>
      </c>
      <c r="E967" s="43" t="s">
        <v>92</v>
      </c>
      <c r="F967" s="42" t="s">
        <v>192</v>
      </c>
      <c r="G967" t="s">
        <v>13196</v>
      </c>
    </row>
    <row r="968" spans="1:7" x14ac:dyDescent="0.3">
      <c r="A968" s="42" t="s">
        <v>1102</v>
      </c>
      <c r="B968" s="42" t="s">
        <v>1186</v>
      </c>
      <c r="C968" s="42" t="s">
        <v>6709</v>
      </c>
      <c r="D968" s="43" t="s">
        <v>136</v>
      </c>
      <c r="E968" s="43" t="s">
        <v>92</v>
      </c>
      <c r="F968" s="42" t="s">
        <v>11469</v>
      </c>
      <c r="G968" t="s">
        <v>13197</v>
      </c>
    </row>
    <row r="969" spans="1:7" x14ac:dyDescent="0.3">
      <c r="A969" s="42" t="s">
        <v>1102</v>
      </c>
      <c r="B969" s="42" t="s">
        <v>1187</v>
      </c>
      <c r="C969" s="42" t="s">
        <v>6710</v>
      </c>
      <c r="D969" s="43" t="s">
        <v>136</v>
      </c>
      <c r="E969" s="43" t="s">
        <v>92</v>
      </c>
      <c r="F969" s="42" t="s">
        <v>137</v>
      </c>
      <c r="G969" t="s">
        <v>13197</v>
      </c>
    </row>
    <row r="970" spans="1:7" x14ac:dyDescent="0.3">
      <c r="A970" s="42" t="s">
        <v>1102</v>
      </c>
      <c r="B970" s="42" t="s">
        <v>1188</v>
      </c>
      <c r="C970" s="42" t="s">
        <v>6711</v>
      </c>
      <c r="D970" s="43" t="s">
        <v>136</v>
      </c>
      <c r="E970" s="43" t="s">
        <v>92</v>
      </c>
      <c r="F970" s="42" t="s">
        <v>11469</v>
      </c>
      <c r="G970" t="s">
        <v>13197</v>
      </c>
    </row>
    <row r="971" spans="1:7" x14ac:dyDescent="0.3">
      <c r="A971" s="42" t="s">
        <v>1102</v>
      </c>
      <c r="B971" s="42" t="s">
        <v>1189</v>
      </c>
      <c r="C971" s="42" t="s">
        <v>6712</v>
      </c>
      <c r="D971" s="43" t="s">
        <v>136</v>
      </c>
      <c r="E971" s="43" t="s">
        <v>92</v>
      </c>
      <c r="F971" s="42" t="s">
        <v>192</v>
      </c>
      <c r="G971" t="s">
        <v>13196</v>
      </c>
    </row>
    <row r="972" spans="1:7" x14ac:dyDescent="0.3">
      <c r="A972" s="42" t="s">
        <v>1102</v>
      </c>
      <c r="B972" s="42" t="s">
        <v>1190</v>
      </c>
      <c r="C972" s="42" t="s">
        <v>6713</v>
      </c>
      <c r="D972" s="43" t="s">
        <v>136</v>
      </c>
      <c r="E972" s="43" t="s">
        <v>92</v>
      </c>
      <c r="F972" s="42" t="s">
        <v>11469</v>
      </c>
      <c r="G972" t="s">
        <v>13197</v>
      </c>
    </row>
    <row r="973" spans="1:7" x14ac:dyDescent="0.3">
      <c r="A973" s="42" t="s">
        <v>1102</v>
      </c>
      <c r="B973" s="42" t="s">
        <v>1191</v>
      </c>
      <c r="C973" s="42" t="s">
        <v>6714</v>
      </c>
      <c r="D973" s="43" t="s">
        <v>136</v>
      </c>
      <c r="E973" s="43" t="s">
        <v>92</v>
      </c>
      <c r="F973" s="42" t="s">
        <v>11469</v>
      </c>
      <c r="G973" t="s">
        <v>13197</v>
      </c>
    </row>
    <row r="974" spans="1:7" x14ac:dyDescent="0.3">
      <c r="A974" s="42" t="s">
        <v>1102</v>
      </c>
      <c r="B974" s="42" t="s">
        <v>1192</v>
      </c>
      <c r="C974" s="42" t="s">
        <v>6715</v>
      </c>
      <c r="D974" s="43" t="s">
        <v>136</v>
      </c>
      <c r="E974" s="43" t="s">
        <v>92</v>
      </c>
      <c r="F974" s="42" t="s">
        <v>11469</v>
      </c>
      <c r="G974" t="s">
        <v>13197</v>
      </c>
    </row>
    <row r="975" spans="1:7" x14ac:dyDescent="0.3">
      <c r="A975" s="42" t="s">
        <v>1102</v>
      </c>
      <c r="B975" s="42" t="s">
        <v>1193</v>
      </c>
      <c r="C975" s="42" t="s">
        <v>6716</v>
      </c>
      <c r="D975" s="43" t="s">
        <v>136</v>
      </c>
      <c r="E975" s="43" t="s">
        <v>92</v>
      </c>
      <c r="F975" s="42" t="s">
        <v>11469</v>
      </c>
      <c r="G975" t="s">
        <v>13197</v>
      </c>
    </row>
    <row r="976" spans="1:7" x14ac:dyDescent="0.3">
      <c r="A976" s="42" t="s">
        <v>1102</v>
      </c>
      <c r="B976" s="42" t="s">
        <v>1194</v>
      </c>
      <c r="C976" s="42" t="s">
        <v>6717</v>
      </c>
      <c r="D976" s="43" t="s">
        <v>136</v>
      </c>
      <c r="E976" s="43" t="s">
        <v>92</v>
      </c>
      <c r="F976" s="42" t="s">
        <v>11469</v>
      </c>
      <c r="G976" t="s">
        <v>13197</v>
      </c>
    </row>
    <row r="977" spans="1:7" x14ac:dyDescent="0.3">
      <c r="A977" s="42" t="s">
        <v>1102</v>
      </c>
      <c r="B977" s="42" t="s">
        <v>1195</v>
      </c>
      <c r="C977" s="42" t="s">
        <v>6718</v>
      </c>
      <c r="D977" s="43" t="s">
        <v>136</v>
      </c>
      <c r="E977" s="43" t="s">
        <v>92</v>
      </c>
      <c r="F977" s="42" t="s">
        <v>11469</v>
      </c>
      <c r="G977" t="s">
        <v>13197</v>
      </c>
    </row>
    <row r="978" spans="1:7" x14ac:dyDescent="0.3">
      <c r="A978" s="42" t="s">
        <v>1102</v>
      </c>
      <c r="B978" s="42" t="s">
        <v>1196</v>
      </c>
      <c r="C978" s="42" t="s">
        <v>6719</v>
      </c>
      <c r="D978" s="43" t="s">
        <v>136</v>
      </c>
      <c r="E978" s="43" t="s">
        <v>92</v>
      </c>
      <c r="F978" s="42" t="s">
        <v>11469</v>
      </c>
      <c r="G978" t="s">
        <v>13197</v>
      </c>
    </row>
    <row r="979" spans="1:7" x14ac:dyDescent="0.3">
      <c r="A979" s="42" t="s">
        <v>1102</v>
      </c>
      <c r="B979" s="42" t="s">
        <v>1197</v>
      </c>
      <c r="C979" s="42" t="s">
        <v>6720</v>
      </c>
      <c r="D979" s="43" t="s">
        <v>136</v>
      </c>
      <c r="E979" s="43" t="s">
        <v>92</v>
      </c>
      <c r="F979" s="42" t="s">
        <v>11469</v>
      </c>
      <c r="G979" t="s">
        <v>13197</v>
      </c>
    </row>
    <row r="980" spans="1:7" x14ac:dyDescent="0.3">
      <c r="A980" s="42" t="s">
        <v>1102</v>
      </c>
      <c r="B980" s="42" t="s">
        <v>1198</v>
      </c>
      <c r="C980" s="42" t="s">
        <v>6721</v>
      </c>
      <c r="D980" s="43" t="s">
        <v>136</v>
      </c>
      <c r="E980" s="43" t="s">
        <v>92</v>
      </c>
      <c r="F980" s="42" t="s">
        <v>11469</v>
      </c>
      <c r="G980" t="s">
        <v>13197</v>
      </c>
    </row>
    <row r="981" spans="1:7" x14ac:dyDescent="0.3">
      <c r="A981" s="42" t="s">
        <v>1102</v>
      </c>
      <c r="B981" s="42" t="s">
        <v>1199</v>
      </c>
      <c r="C981" s="42" t="s">
        <v>6722</v>
      </c>
      <c r="D981" s="43" t="s">
        <v>136</v>
      </c>
      <c r="E981" s="43" t="s">
        <v>92</v>
      </c>
      <c r="F981" s="42" t="s">
        <v>11469</v>
      </c>
      <c r="G981" t="s">
        <v>13197</v>
      </c>
    </row>
    <row r="982" spans="1:7" x14ac:dyDescent="0.3">
      <c r="A982" s="42" t="s">
        <v>1102</v>
      </c>
      <c r="B982" s="42" t="s">
        <v>1200</v>
      </c>
      <c r="C982" s="42" t="s">
        <v>6723</v>
      </c>
      <c r="D982" s="43" t="s">
        <v>136</v>
      </c>
      <c r="E982" s="43" t="s">
        <v>92</v>
      </c>
      <c r="F982" s="42" t="s">
        <v>11469</v>
      </c>
      <c r="G982" t="s">
        <v>13197</v>
      </c>
    </row>
    <row r="983" spans="1:7" x14ac:dyDescent="0.3">
      <c r="A983" s="42" t="s">
        <v>1102</v>
      </c>
      <c r="B983" s="42" t="s">
        <v>1201</v>
      </c>
      <c r="C983" s="42" t="s">
        <v>6724</v>
      </c>
      <c r="D983" s="43" t="s">
        <v>136</v>
      </c>
      <c r="E983" s="43" t="s">
        <v>92</v>
      </c>
      <c r="F983" s="42" t="s">
        <v>192</v>
      </c>
      <c r="G983" t="s">
        <v>13196</v>
      </c>
    </row>
    <row r="984" spans="1:7" x14ac:dyDescent="0.3">
      <c r="A984" s="42" t="s">
        <v>1102</v>
      </c>
      <c r="B984" s="42" t="s">
        <v>1202</v>
      </c>
      <c r="C984" s="42" t="s">
        <v>6725</v>
      </c>
      <c r="D984" s="43" t="s">
        <v>136</v>
      </c>
      <c r="E984" s="43" t="s">
        <v>92</v>
      </c>
      <c r="F984" s="42" t="s">
        <v>11469</v>
      </c>
      <c r="G984" t="s">
        <v>13197</v>
      </c>
    </row>
    <row r="985" spans="1:7" x14ac:dyDescent="0.3">
      <c r="A985" s="42" t="s">
        <v>1102</v>
      </c>
      <c r="B985" s="42" t="s">
        <v>1203</v>
      </c>
      <c r="C985" s="42" t="s">
        <v>6726</v>
      </c>
      <c r="D985" s="43" t="s">
        <v>136</v>
      </c>
      <c r="E985" s="43" t="s">
        <v>92</v>
      </c>
      <c r="F985" s="42" t="s">
        <v>11469</v>
      </c>
      <c r="G985" t="s">
        <v>13197</v>
      </c>
    </row>
    <row r="986" spans="1:7" x14ac:dyDescent="0.3">
      <c r="A986" s="42" t="s">
        <v>1102</v>
      </c>
      <c r="B986" s="42" t="s">
        <v>1204</v>
      </c>
      <c r="C986" s="42" t="s">
        <v>6727</v>
      </c>
      <c r="D986" s="43" t="s">
        <v>136</v>
      </c>
      <c r="E986" s="43" t="s">
        <v>92</v>
      </c>
      <c r="F986" s="42" t="s">
        <v>192</v>
      </c>
      <c r="G986" t="s">
        <v>13196</v>
      </c>
    </row>
    <row r="987" spans="1:7" x14ac:dyDescent="0.3">
      <c r="A987" s="42" t="s">
        <v>1102</v>
      </c>
      <c r="B987" s="42" t="s">
        <v>1205</v>
      </c>
      <c r="C987" s="42" t="s">
        <v>6728</v>
      </c>
      <c r="D987" s="43" t="s">
        <v>136</v>
      </c>
      <c r="E987" s="43" t="s">
        <v>92</v>
      </c>
      <c r="F987" s="42" t="s">
        <v>11469</v>
      </c>
      <c r="G987" t="s">
        <v>13197</v>
      </c>
    </row>
    <row r="988" spans="1:7" x14ac:dyDescent="0.3">
      <c r="A988" s="42" t="s">
        <v>1102</v>
      </c>
      <c r="B988" s="42" t="s">
        <v>1206</v>
      </c>
      <c r="C988" s="42" t="s">
        <v>6729</v>
      </c>
      <c r="D988" s="43" t="s">
        <v>136</v>
      </c>
      <c r="E988" s="43" t="s">
        <v>92</v>
      </c>
      <c r="F988" s="42" t="s">
        <v>11469</v>
      </c>
      <c r="G988" t="s">
        <v>13197</v>
      </c>
    </row>
    <row r="989" spans="1:7" x14ac:dyDescent="0.3">
      <c r="A989" s="42" t="s">
        <v>1102</v>
      </c>
      <c r="B989" s="42" t="s">
        <v>1207</v>
      </c>
      <c r="C989" s="42" t="s">
        <v>6730</v>
      </c>
      <c r="D989" s="43" t="s">
        <v>136</v>
      </c>
      <c r="E989" s="43" t="s">
        <v>92</v>
      </c>
      <c r="F989" s="42" t="s">
        <v>11469</v>
      </c>
      <c r="G989" t="s">
        <v>13197</v>
      </c>
    </row>
    <row r="990" spans="1:7" x14ac:dyDescent="0.3">
      <c r="A990" s="42" t="s">
        <v>1102</v>
      </c>
      <c r="B990" s="42" t="s">
        <v>1208</v>
      </c>
      <c r="C990" s="42" t="s">
        <v>6731</v>
      </c>
      <c r="D990" s="43" t="s">
        <v>136</v>
      </c>
      <c r="E990" s="43" t="s">
        <v>92</v>
      </c>
      <c r="F990" s="42" t="s">
        <v>11469</v>
      </c>
      <c r="G990" t="s">
        <v>13197</v>
      </c>
    </row>
    <row r="991" spans="1:7" x14ac:dyDescent="0.3">
      <c r="A991" s="42" t="s">
        <v>1102</v>
      </c>
      <c r="B991" s="42" t="s">
        <v>1209</v>
      </c>
      <c r="C991" s="42" t="s">
        <v>6732</v>
      </c>
      <c r="D991" s="43" t="s">
        <v>136</v>
      </c>
      <c r="E991" s="43" t="s">
        <v>92</v>
      </c>
      <c r="F991" s="42" t="s">
        <v>11469</v>
      </c>
      <c r="G991" t="s">
        <v>13198</v>
      </c>
    </row>
    <row r="992" spans="1:7" x14ac:dyDescent="0.3">
      <c r="A992" s="42" t="s">
        <v>1102</v>
      </c>
      <c r="B992" s="42" t="s">
        <v>1210</v>
      </c>
      <c r="C992" s="42" t="s">
        <v>6733</v>
      </c>
      <c r="D992" s="43" t="s">
        <v>136</v>
      </c>
      <c r="E992" s="43" t="s">
        <v>92</v>
      </c>
      <c r="F992" s="42" t="s">
        <v>11469</v>
      </c>
      <c r="G992" t="s">
        <v>13197</v>
      </c>
    </row>
    <row r="993" spans="1:7" x14ac:dyDescent="0.3">
      <c r="A993" s="42" t="s">
        <v>1102</v>
      </c>
      <c r="B993" s="42" t="s">
        <v>1211</v>
      </c>
      <c r="C993" s="42" t="s">
        <v>6734</v>
      </c>
      <c r="D993" s="43" t="s">
        <v>136</v>
      </c>
      <c r="E993" s="43" t="s">
        <v>92</v>
      </c>
      <c r="F993" s="42" t="s">
        <v>11469</v>
      </c>
      <c r="G993" t="s">
        <v>13197</v>
      </c>
    </row>
    <row r="994" spans="1:7" x14ac:dyDescent="0.3">
      <c r="A994" s="42" t="s">
        <v>1102</v>
      </c>
      <c r="B994" s="42" t="s">
        <v>1212</v>
      </c>
      <c r="C994" s="42" t="s">
        <v>6735</v>
      </c>
      <c r="D994" s="43" t="s">
        <v>136</v>
      </c>
      <c r="E994" s="43" t="s">
        <v>92</v>
      </c>
      <c r="F994" s="42" t="s">
        <v>11469</v>
      </c>
      <c r="G994" t="s">
        <v>13197</v>
      </c>
    </row>
    <row r="995" spans="1:7" x14ac:dyDescent="0.3">
      <c r="A995" s="42" t="s">
        <v>1102</v>
      </c>
      <c r="B995" s="42" t="s">
        <v>1213</v>
      </c>
      <c r="C995" s="42" t="s">
        <v>6736</v>
      </c>
      <c r="D995" s="43" t="s">
        <v>136</v>
      </c>
      <c r="E995" s="43" t="s">
        <v>92</v>
      </c>
      <c r="F995" s="42" t="s">
        <v>11469</v>
      </c>
      <c r="G995" t="s">
        <v>13197</v>
      </c>
    </row>
    <row r="996" spans="1:7" x14ac:dyDescent="0.3">
      <c r="A996" s="42" t="s">
        <v>1102</v>
      </c>
      <c r="B996" s="42" t="s">
        <v>1214</v>
      </c>
      <c r="C996" s="42" t="s">
        <v>6737</v>
      </c>
      <c r="D996" s="43" t="s">
        <v>136</v>
      </c>
      <c r="E996" s="43" t="s">
        <v>92</v>
      </c>
      <c r="F996" s="42" t="s">
        <v>11469</v>
      </c>
      <c r="G996" t="s">
        <v>13197</v>
      </c>
    </row>
    <row r="997" spans="1:7" x14ac:dyDescent="0.3">
      <c r="A997" s="42" t="s">
        <v>1102</v>
      </c>
      <c r="B997" s="42" t="s">
        <v>1215</v>
      </c>
      <c r="C997" s="42" t="s">
        <v>6738</v>
      </c>
      <c r="D997" s="43" t="s">
        <v>136</v>
      </c>
      <c r="E997" s="43" t="s">
        <v>92</v>
      </c>
      <c r="F997" s="42" t="s">
        <v>11469</v>
      </c>
      <c r="G997" t="s">
        <v>13197</v>
      </c>
    </row>
    <row r="998" spans="1:7" x14ac:dyDescent="0.3">
      <c r="A998" s="42" t="s">
        <v>1102</v>
      </c>
      <c r="B998" s="42" t="s">
        <v>1216</v>
      </c>
      <c r="C998" s="42" t="s">
        <v>6739</v>
      </c>
      <c r="D998" s="43" t="s">
        <v>136</v>
      </c>
      <c r="E998" s="43" t="s">
        <v>92</v>
      </c>
      <c r="F998" s="42" t="s">
        <v>11469</v>
      </c>
      <c r="G998" t="s">
        <v>13197</v>
      </c>
    </row>
    <row r="999" spans="1:7" x14ac:dyDescent="0.3">
      <c r="A999" s="42" t="s">
        <v>1102</v>
      </c>
      <c r="B999" s="42" t="s">
        <v>1217</v>
      </c>
      <c r="C999" s="42" t="s">
        <v>6740</v>
      </c>
      <c r="D999" s="43" t="s">
        <v>136</v>
      </c>
      <c r="E999" s="43" t="s">
        <v>92</v>
      </c>
      <c r="F999" s="42" t="s">
        <v>192</v>
      </c>
      <c r="G999" t="s">
        <v>13196</v>
      </c>
    </row>
    <row r="1000" spans="1:7" x14ac:dyDescent="0.3">
      <c r="A1000" s="42" t="s">
        <v>1102</v>
      </c>
      <c r="B1000" s="42" t="s">
        <v>1218</v>
      </c>
      <c r="C1000" s="42" t="s">
        <v>6741</v>
      </c>
      <c r="D1000" s="43" t="s">
        <v>136</v>
      </c>
      <c r="E1000" s="43" t="s">
        <v>92</v>
      </c>
      <c r="F1000" s="42" t="s">
        <v>11469</v>
      </c>
      <c r="G1000" t="s">
        <v>13197</v>
      </c>
    </row>
    <row r="1001" spans="1:7" x14ac:dyDescent="0.3">
      <c r="A1001" s="42" t="s">
        <v>1102</v>
      </c>
      <c r="B1001" s="42" t="s">
        <v>1219</v>
      </c>
      <c r="C1001" s="42" t="s">
        <v>6742</v>
      </c>
      <c r="D1001" s="43" t="s">
        <v>136</v>
      </c>
      <c r="E1001" s="43" t="s">
        <v>92</v>
      </c>
      <c r="F1001" s="42" t="s">
        <v>11469</v>
      </c>
      <c r="G1001" t="s">
        <v>13197</v>
      </c>
    </row>
    <row r="1002" spans="1:7" x14ac:dyDescent="0.3">
      <c r="A1002" s="42" t="s">
        <v>1102</v>
      </c>
      <c r="B1002" s="42" t="s">
        <v>1220</v>
      </c>
      <c r="C1002" s="42" t="s">
        <v>6743</v>
      </c>
      <c r="D1002" s="43" t="s">
        <v>136</v>
      </c>
      <c r="E1002" s="43" t="s">
        <v>92</v>
      </c>
      <c r="F1002" s="42" t="s">
        <v>11469</v>
      </c>
      <c r="G1002" t="s">
        <v>13197</v>
      </c>
    </row>
    <row r="1003" spans="1:7" x14ac:dyDescent="0.3">
      <c r="A1003" s="42" t="s">
        <v>1102</v>
      </c>
      <c r="B1003" s="42" t="s">
        <v>1221</v>
      </c>
      <c r="C1003" s="42" t="s">
        <v>6744</v>
      </c>
      <c r="D1003" s="43" t="s">
        <v>136</v>
      </c>
      <c r="E1003" s="43" t="s">
        <v>92</v>
      </c>
      <c r="F1003" s="42" t="s">
        <v>11469</v>
      </c>
      <c r="G1003" t="s">
        <v>13197</v>
      </c>
    </row>
    <row r="1004" spans="1:7" x14ac:dyDescent="0.3">
      <c r="A1004" s="42" t="s">
        <v>1102</v>
      </c>
      <c r="B1004" s="42" t="s">
        <v>1222</v>
      </c>
      <c r="C1004" s="42" t="s">
        <v>6745</v>
      </c>
      <c r="D1004" s="43" t="s">
        <v>136</v>
      </c>
      <c r="E1004" s="43" t="s">
        <v>92</v>
      </c>
      <c r="F1004" s="42" t="s">
        <v>11469</v>
      </c>
      <c r="G1004" t="s">
        <v>13197</v>
      </c>
    </row>
    <row r="1005" spans="1:7" x14ac:dyDescent="0.3">
      <c r="A1005" s="42" t="s">
        <v>1102</v>
      </c>
      <c r="B1005" s="42" t="s">
        <v>1223</v>
      </c>
      <c r="C1005" s="42" t="s">
        <v>6746</v>
      </c>
      <c r="D1005" s="43" t="s">
        <v>136</v>
      </c>
      <c r="E1005" s="43" t="s">
        <v>92</v>
      </c>
      <c r="F1005" s="42" t="s">
        <v>11469</v>
      </c>
      <c r="G1005" t="s">
        <v>13197</v>
      </c>
    </row>
    <row r="1006" spans="1:7" x14ac:dyDescent="0.3">
      <c r="A1006" s="42" t="s">
        <v>1102</v>
      </c>
      <c r="B1006" s="42" t="s">
        <v>1224</v>
      </c>
      <c r="C1006" s="42" t="s">
        <v>6747</v>
      </c>
      <c r="D1006" s="43" t="s">
        <v>136</v>
      </c>
      <c r="E1006" s="43" t="s">
        <v>92</v>
      </c>
      <c r="F1006" s="42" t="s">
        <v>192</v>
      </c>
      <c r="G1006" t="s">
        <v>13196</v>
      </c>
    </row>
    <row r="1007" spans="1:7" x14ac:dyDescent="0.3">
      <c r="A1007" s="42" t="s">
        <v>1102</v>
      </c>
      <c r="B1007" s="42" t="s">
        <v>1225</v>
      </c>
      <c r="C1007" s="42" t="s">
        <v>6748</v>
      </c>
      <c r="D1007" s="43" t="s">
        <v>136</v>
      </c>
      <c r="E1007" s="43" t="s">
        <v>92</v>
      </c>
      <c r="F1007" s="42" t="s">
        <v>11469</v>
      </c>
      <c r="G1007" t="s">
        <v>13197</v>
      </c>
    </row>
    <row r="1008" spans="1:7" x14ac:dyDescent="0.3">
      <c r="A1008" s="42" t="s">
        <v>1102</v>
      </c>
      <c r="B1008" s="42" t="s">
        <v>1226</v>
      </c>
      <c r="C1008" s="42" t="s">
        <v>6749</v>
      </c>
      <c r="D1008" s="43" t="s">
        <v>136</v>
      </c>
      <c r="E1008" s="43" t="s">
        <v>92</v>
      </c>
      <c r="F1008" s="42" t="s">
        <v>11469</v>
      </c>
      <c r="G1008" t="s">
        <v>13197</v>
      </c>
    </row>
    <row r="1009" spans="1:7" x14ac:dyDescent="0.3">
      <c r="A1009" s="42" t="s">
        <v>1102</v>
      </c>
      <c r="B1009" s="42" t="s">
        <v>1227</v>
      </c>
      <c r="C1009" s="42" t="s">
        <v>6750</v>
      </c>
      <c r="D1009" s="43" t="s">
        <v>136</v>
      </c>
      <c r="E1009" s="43" t="s">
        <v>92</v>
      </c>
      <c r="F1009" s="42" t="s">
        <v>11469</v>
      </c>
      <c r="G1009" t="s">
        <v>13197</v>
      </c>
    </row>
    <row r="1010" spans="1:7" x14ac:dyDescent="0.3">
      <c r="A1010" s="42" t="s">
        <v>1102</v>
      </c>
      <c r="B1010" s="42" t="s">
        <v>1228</v>
      </c>
      <c r="C1010" s="42" t="s">
        <v>6751</v>
      </c>
      <c r="D1010" s="43" t="s">
        <v>136</v>
      </c>
      <c r="E1010" s="43" t="s">
        <v>92</v>
      </c>
      <c r="F1010" s="42" t="s">
        <v>11469</v>
      </c>
      <c r="G1010" t="s">
        <v>13197</v>
      </c>
    </row>
    <row r="1011" spans="1:7" x14ac:dyDescent="0.3">
      <c r="A1011" s="42" t="s">
        <v>1102</v>
      </c>
      <c r="B1011" s="42" t="s">
        <v>1229</v>
      </c>
      <c r="C1011" s="42" t="s">
        <v>6752</v>
      </c>
      <c r="D1011" s="43" t="s">
        <v>136</v>
      </c>
      <c r="E1011" s="43" t="s">
        <v>92</v>
      </c>
      <c r="F1011" s="42" t="s">
        <v>11469</v>
      </c>
      <c r="G1011" t="s">
        <v>13197</v>
      </c>
    </row>
    <row r="1012" spans="1:7" x14ac:dyDescent="0.3">
      <c r="A1012" s="42" t="s">
        <v>1102</v>
      </c>
      <c r="B1012" s="42" t="s">
        <v>1230</v>
      </c>
      <c r="C1012" s="42" t="s">
        <v>6753</v>
      </c>
      <c r="D1012" s="43" t="s">
        <v>136</v>
      </c>
      <c r="E1012" s="43" t="s">
        <v>92</v>
      </c>
      <c r="F1012" s="42" t="s">
        <v>11469</v>
      </c>
      <c r="G1012" t="s">
        <v>13197</v>
      </c>
    </row>
    <row r="1013" spans="1:7" x14ac:dyDescent="0.3">
      <c r="A1013" s="42" t="s">
        <v>1102</v>
      </c>
      <c r="B1013" s="42" t="s">
        <v>1231</v>
      </c>
      <c r="C1013" s="42" t="s">
        <v>6754</v>
      </c>
      <c r="D1013" s="43" t="s">
        <v>136</v>
      </c>
      <c r="E1013" s="43" t="s">
        <v>92</v>
      </c>
      <c r="F1013" s="42" t="s">
        <v>11469</v>
      </c>
      <c r="G1013" t="s">
        <v>13197</v>
      </c>
    </row>
    <row r="1014" spans="1:7" x14ac:dyDescent="0.3">
      <c r="A1014" s="42" t="s">
        <v>1102</v>
      </c>
      <c r="B1014" s="42" t="s">
        <v>1232</v>
      </c>
      <c r="C1014" s="42" t="s">
        <v>6755</v>
      </c>
      <c r="D1014" s="43" t="s">
        <v>136</v>
      </c>
      <c r="E1014" s="43" t="s">
        <v>92</v>
      </c>
      <c r="F1014" s="42" t="s">
        <v>11469</v>
      </c>
      <c r="G1014" t="s">
        <v>13197</v>
      </c>
    </row>
    <row r="1015" spans="1:7" x14ac:dyDescent="0.3">
      <c r="A1015" s="42" t="s">
        <v>1102</v>
      </c>
      <c r="B1015" s="42" t="s">
        <v>1233</v>
      </c>
      <c r="C1015" s="42" t="s">
        <v>6756</v>
      </c>
      <c r="D1015" s="43" t="s">
        <v>136</v>
      </c>
      <c r="E1015" s="43" t="s">
        <v>92</v>
      </c>
      <c r="F1015" s="42" t="s">
        <v>11469</v>
      </c>
      <c r="G1015" t="s">
        <v>13197</v>
      </c>
    </row>
    <row r="1016" spans="1:7" x14ac:dyDescent="0.3">
      <c r="A1016" s="42" t="s">
        <v>1102</v>
      </c>
      <c r="B1016" s="42" t="s">
        <v>1234</v>
      </c>
      <c r="C1016" s="42" t="s">
        <v>6757</v>
      </c>
      <c r="D1016" s="43" t="s">
        <v>136</v>
      </c>
      <c r="E1016" s="43" t="s">
        <v>92</v>
      </c>
      <c r="F1016" s="42" t="s">
        <v>11469</v>
      </c>
      <c r="G1016" t="s">
        <v>13197</v>
      </c>
    </row>
    <row r="1017" spans="1:7" x14ac:dyDescent="0.3">
      <c r="A1017" s="42" t="s">
        <v>1102</v>
      </c>
      <c r="B1017" s="42" t="s">
        <v>1235</v>
      </c>
      <c r="C1017" s="42" t="s">
        <v>6758</v>
      </c>
      <c r="D1017" s="43" t="s">
        <v>136</v>
      </c>
      <c r="E1017" s="43" t="s">
        <v>92</v>
      </c>
      <c r="F1017" s="42" t="s">
        <v>192</v>
      </c>
      <c r="G1017" t="s">
        <v>13196</v>
      </c>
    </row>
    <row r="1018" spans="1:7" x14ac:dyDescent="0.3">
      <c r="A1018" s="42" t="s">
        <v>1102</v>
      </c>
      <c r="B1018" s="42" t="s">
        <v>1236</v>
      </c>
      <c r="C1018" s="42" t="s">
        <v>6759</v>
      </c>
      <c r="D1018" s="43" t="s">
        <v>136</v>
      </c>
      <c r="E1018" s="43" t="s">
        <v>92</v>
      </c>
      <c r="F1018" s="42" t="s">
        <v>192</v>
      </c>
      <c r="G1018" t="s">
        <v>13196</v>
      </c>
    </row>
    <row r="1019" spans="1:7" x14ac:dyDescent="0.3">
      <c r="A1019" s="42" t="s">
        <v>1102</v>
      </c>
      <c r="B1019" s="42" t="s">
        <v>1237</v>
      </c>
      <c r="C1019" s="42" t="s">
        <v>6760</v>
      </c>
      <c r="D1019" s="43" t="s">
        <v>136</v>
      </c>
      <c r="E1019" s="43" t="s">
        <v>92</v>
      </c>
      <c r="F1019" s="42" t="s">
        <v>11469</v>
      </c>
      <c r="G1019" t="s">
        <v>13197</v>
      </c>
    </row>
    <row r="1020" spans="1:7" x14ac:dyDescent="0.3">
      <c r="A1020" s="42" t="s">
        <v>1102</v>
      </c>
      <c r="B1020" s="42" t="s">
        <v>1238</v>
      </c>
      <c r="C1020" s="42" t="s">
        <v>6761</v>
      </c>
      <c r="D1020" s="43" t="s">
        <v>136</v>
      </c>
      <c r="E1020" s="43" t="s">
        <v>92</v>
      </c>
      <c r="F1020" s="42" t="s">
        <v>11469</v>
      </c>
      <c r="G1020" t="s">
        <v>13197</v>
      </c>
    </row>
    <row r="1021" spans="1:7" x14ac:dyDescent="0.3">
      <c r="A1021" s="42" t="s">
        <v>1102</v>
      </c>
      <c r="B1021" s="42" t="s">
        <v>1239</v>
      </c>
      <c r="C1021" s="42" t="s">
        <v>6762</v>
      </c>
      <c r="D1021" s="43" t="s">
        <v>136</v>
      </c>
      <c r="E1021" s="43" t="s">
        <v>92</v>
      </c>
      <c r="F1021" s="42" t="s">
        <v>192</v>
      </c>
      <c r="G1021" t="s">
        <v>13196</v>
      </c>
    </row>
    <row r="1022" spans="1:7" x14ac:dyDescent="0.3">
      <c r="A1022" s="42" t="s">
        <v>1102</v>
      </c>
      <c r="B1022" s="42" t="s">
        <v>1240</v>
      </c>
      <c r="C1022" s="42" t="s">
        <v>6763</v>
      </c>
      <c r="D1022" s="43" t="s">
        <v>136</v>
      </c>
      <c r="E1022" s="43" t="s">
        <v>92</v>
      </c>
      <c r="F1022" s="42" t="s">
        <v>11469</v>
      </c>
      <c r="G1022" t="s">
        <v>13197</v>
      </c>
    </row>
    <row r="1023" spans="1:7" x14ac:dyDescent="0.3">
      <c r="A1023" s="42" t="s">
        <v>1102</v>
      </c>
      <c r="B1023" s="42" t="s">
        <v>1241</v>
      </c>
      <c r="C1023" s="42" t="s">
        <v>6764</v>
      </c>
      <c r="D1023" s="43" t="s">
        <v>136</v>
      </c>
      <c r="E1023" s="43" t="s">
        <v>92</v>
      </c>
      <c r="F1023" s="42" t="s">
        <v>11469</v>
      </c>
      <c r="G1023" t="s">
        <v>13197</v>
      </c>
    </row>
    <row r="1024" spans="1:7" x14ac:dyDescent="0.3">
      <c r="A1024" s="42" t="s">
        <v>1102</v>
      </c>
      <c r="B1024" s="42" t="s">
        <v>1242</v>
      </c>
      <c r="C1024" s="42" t="s">
        <v>6765</v>
      </c>
      <c r="D1024" s="43" t="s">
        <v>136</v>
      </c>
      <c r="E1024" s="43" t="s">
        <v>92</v>
      </c>
      <c r="F1024" s="42" t="s">
        <v>192</v>
      </c>
      <c r="G1024" t="s">
        <v>13196</v>
      </c>
    </row>
    <row r="1025" spans="1:7" x14ac:dyDescent="0.3">
      <c r="A1025" s="42" t="s">
        <v>1102</v>
      </c>
      <c r="B1025" s="42" t="s">
        <v>1243</v>
      </c>
      <c r="C1025" s="42" t="s">
        <v>6766</v>
      </c>
      <c r="D1025" s="43" t="s">
        <v>136</v>
      </c>
      <c r="E1025" s="43" t="s">
        <v>92</v>
      </c>
      <c r="F1025" s="42" t="s">
        <v>11469</v>
      </c>
      <c r="G1025" t="s">
        <v>13197</v>
      </c>
    </row>
    <row r="1026" spans="1:7" x14ac:dyDescent="0.3">
      <c r="A1026" s="42" t="s">
        <v>1102</v>
      </c>
      <c r="B1026" s="42" t="s">
        <v>1244</v>
      </c>
      <c r="C1026" s="42" t="s">
        <v>6767</v>
      </c>
      <c r="D1026" s="43" t="s">
        <v>136</v>
      </c>
      <c r="E1026" s="43" t="s">
        <v>92</v>
      </c>
      <c r="F1026" s="42" t="s">
        <v>192</v>
      </c>
      <c r="G1026" t="s">
        <v>13196</v>
      </c>
    </row>
    <row r="1027" spans="1:7" x14ac:dyDescent="0.3">
      <c r="A1027" s="42" t="s">
        <v>1102</v>
      </c>
      <c r="B1027" s="42" t="s">
        <v>1245</v>
      </c>
      <c r="C1027" s="42" t="s">
        <v>6768</v>
      </c>
      <c r="D1027" s="43" t="s">
        <v>136</v>
      </c>
      <c r="E1027" s="43" t="s">
        <v>92</v>
      </c>
      <c r="F1027" s="42" t="s">
        <v>11469</v>
      </c>
      <c r="G1027" t="s">
        <v>13197</v>
      </c>
    </row>
    <row r="1028" spans="1:7" x14ac:dyDescent="0.3">
      <c r="A1028" s="42" t="s">
        <v>1102</v>
      </c>
      <c r="B1028" s="42" t="s">
        <v>1246</v>
      </c>
      <c r="C1028" s="42" t="s">
        <v>6769</v>
      </c>
      <c r="D1028" s="43" t="s">
        <v>136</v>
      </c>
      <c r="E1028" s="43" t="s">
        <v>92</v>
      </c>
      <c r="F1028" s="42" t="s">
        <v>11469</v>
      </c>
      <c r="G1028" t="s">
        <v>13197</v>
      </c>
    </row>
    <row r="1029" spans="1:7" x14ac:dyDescent="0.3">
      <c r="A1029" s="42" t="s">
        <v>1102</v>
      </c>
      <c r="B1029" s="42" t="s">
        <v>1247</v>
      </c>
      <c r="C1029" s="42" t="s">
        <v>6770</v>
      </c>
      <c r="D1029" s="43" t="s">
        <v>136</v>
      </c>
      <c r="E1029" s="43" t="s">
        <v>92</v>
      </c>
      <c r="F1029" s="42" t="s">
        <v>11469</v>
      </c>
      <c r="G1029" t="s">
        <v>13197</v>
      </c>
    </row>
    <row r="1030" spans="1:7" x14ac:dyDescent="0.3">
      <c r="A1030" s="42" t="s">
        <v>1102</v>
      </c>
      <c r="B1030" s="42" t="s">
        <v>1248</v>
      </c>
      <c r="C1030" s="42" t="s">
        <v>6771</v>
      </c>
      <c r="D1030" s="43" t="s">
        <v>136</v>
      </c>
      <c r="E1030" s="43" t="s">
        <v>92</v>
      </c>
      <c r="F1030" s="42" t="s">
        <v>192</v>
      </c>
      <c r="G1030" t="s">
        <v>13196</v>
      </c>
    </row>
    <row r="1031" spans="1:7" x14ac:dyDescent="0.3">
      <c r="A1031" s="42" t="s">
        <v>1102</v>
      </c>
      <c r="B1031" s="42" t="s">
        <v>1249</v>
      </c>
      <c r="C1031" s="42" t="s">
        <v>6772</v>
      </c>
      <c r="D1031" s="43" t="s">
        <v>136</v>
      </c>
      <c r="E1031" s="43" t="s">
        <v>92</v>
      </c>
      <c r="F1031" s="42" t="s">
        <v>11469</v>
      </c>
      <c r="G1031" t="s">
        <v>13197</v>
      </c>
    </row>
    <row r="1032" spans="1:7" x14ac:dyDescent="0.3">
      <c r="A1032" s="42" t="s">
        <v>1102</v>
      </c>
      <c r="B1032" s="42" t="s">
        <v>1250</v>
      </c>
      <c r="C1032" s="42" t="s">
        <v>6773</v>
      </c>
      <c r="D1032" s="43" t="s">
        <v>136</v>
      </c>
      <c r="E1032" s="43" t="s">
        <v>92</v>
      </c>
      <c r="F1032" s="42" t="s">
        <v>11469</v>
      </c>
      <c r="G1032" t="s">
        <v>13197</v>
      </c>
    </row>
    <row r="1033" spans="1:7" x14ac:dyDescent="0.3">
      <c r="A1033" s="42" t="s">
        <v>1102</v>
      </c>
      <c r="B1033" s="42" t="s">
        <v>1251</v>
      </c>
      <c r="C1033" s="42" t="s">
        <v>6774</v>
      </c>
      <c r="D1033" s="43" t="s">
        <v>136</v>
      </c>
      <c r="E1033" s="43" t="s">
        <v>92</v>
      </c>
      <c r="F1033" s="42" t="s">
        <v>11469</v>
      </c>
      <c r="G1033" t="s">
        <v>13197</v>
      </c>
    </row>
    <row r="1034" spans="1:7" x14ac:dyDescent="0.3">
      <c r="A1034" s="42" t="s">
        <v>1102</v>
      </c>
      <c r="B1034" s="42" t="s">
        <v>1252</v>
      </c>
      <c r="C1034" s="42" t="s">
        <v>6775</v>
      </c>
      <c r="D1034" s="43" t="s">
        <v>136</v>
      </c>
      <c r="E1034" s="43" t="s">
        <v>92</v>
      </c>
      <c r="F1034" s="42" t="s">
        <v>11469</v>
      </c>
      <c r="G1034" t="s">
        <v>13197</v>
      </c>
    </row>
    <row r="1035" spans="1:7" x14ac:dyDescent="0.3">
      <c r="A1035" s="42" t="s">
        <v>1102</v>
      </c>
      <c r="B1035" s="42" t="s">
        <v>1253</v>
      </c>
      <c r="C1035" s="42" t="s">
        <v>6776</v>
      </c>
      <c r="D1035" s="43" t="s">
        <v>136</v>
      </c>
      <c r="E1035" s="43" t="s">
        <v>92</v>
      </c>
      <c r="F1035" s="42" t="s">
        <v>11469</v>
      </c>
      <c r="G1035" t="s">
        <v>13197</v>
      </c>
    </row>
    <row r="1036" spans="1:7" x14ac:dyDescent="0.3">
      <c r="A1036" s="42" t="s">
        <v>1102</v>
      </c>
      <c r="B1036" s="42" t="s">
        <v>1254</v>
      </c>
      <c r="C1036" s="42" t="s">
        <v>6777</v>
      </c>
      <c r="D1036" s="43" t="s">
        <v>136</v>
      </c>
      <c r="E1036" s="43" t="s">
        <v>92</v>
      </c>
      <c r="F1036" s="42" t="s">
        <v>11469</v>
      </c>
      <c r="G1036" t="s">
        <v>13197</v>
      </c>
    </row>
    <row r="1037" spans="1:7" x14ac:dyDescent="0.3">
      <c r="A1037" s="42" t="s">
        <v>1102</v>
      </c>
      <c r="B1037" s="42" t="s">
        <v>1255</v>
      </c>
      <c r="C1037" s="42" t="s">
        <v>6778</v>
      </c>
      <c r="D1037" s="43" t="s">
        <v>136</v>
      </c>
      <c r="E1037" s="43" t="s">
        <v>92</v>
      </c>
      <c r="F1037" s="42" t="s">
        <v>192</v>
      </c>
      <c r="G1037" t="s">
        <v>13196</v>
      </c>
    </row>
    <row r="1038" spans="1:7" x14ac:dyDescent="0.3">
      <c r="A1038" s="42" t="s">
        <v>1102</v>
      </c>
      <c r="B1038" s="42" t="s">
        <v>1256</v>
      </c>
      <c r="C1038" s="42" t="s">
        <v>6779</v>
      </c>
      <c r="D1038" s="43" t="s">
        <v>136</v>
      </c>
      <c r="E1038" s="43" t="s">
        <v>92</v>
      </c>
      <c r="F1038" s="42" t="s">
        <v>11469</v>
      </c>
      <c r="G1038" t="s">
        <v>13197</v>
      </c>
    </row>
    <row r="1039" spans="1:7" x14ac:dyDescent="0.3">
      <c r="A1039" s="42" t="s">
        <v>1102</v>
      </c>
      <c r="B1039" s="42" t="s">
        <v>1257</v>
      </c>
      <c r="C1039" s="42" t="s">
        <v>6780</v>
      </c>
      <c r="D1039" s="43" t="s">
        <v>136</v>
      </c>
      <c r="E1039" s="43" t="s">
        <v>92</v>
      </c>
      <c r="F1039" s="42" t="s">
        <v>11469</v>
      </c>
      <c r="G1039" t="s">
        <v>13197</v>
      </c>
    </row>
    <row r="1040" spans="1:7" x14ac:dyDescent="0.3">
      <c r="A1040" s="42" t="s">
        <v>1102</v>
      </c>
      <c r="B1040" s="42" t="s">
        <v>1258</v>
      </c>
      <c r="C1040" s="42" t="s">
        <v>6781</v>
      </c>
      <c r="D1040" s="43" t="s">
        <v>136</v>
      </c>
      <c r="E1040" s="43" t="s">
        <v>92</v>
      </c>
      <c r="F1040" s="42" t="s">
        <v>11469</v>
      </c>
      <c r="G1040" t="s">
        <v>13197</v>
      </c>
    </row>
    <row r="1041" spans="1:7" x14ac:dyDescent="0.3">
      <c r="A1041" s="42" t="s">
        <v>1102</v>
      </c>
      <c r="B1041" s="42" t="s">
        <v>1259</v>
      </c>
      <c r="C1041" s="42" t="s">
        <v>6782</v>
      </c>
      <c r="D1041" s="43" t="s">
        <v>136</v>
      </c>
      <c r="E1041" s="43" t="s">
        <v>92</v>
      </c>
      <c r="F1041" s="42" t="s">
        <v>11469</v>
      </c>
      <c r="G1041" t="s">
        <v>13197</v>
      </c>
    </row>
    <row r="1042" spans="1:7" x14ac:dyDescent="0.3">
      <c r="A1042" s="42" t="s">
        <v>1102</v>
      </c>
      <c r="B1042" s="42" t="s">
        <v>1260</v>
      </c>
      <c r="C1042" s="42" t="s">
        <v>6783</v>
      </c>
      <c r="D1042" s="43" t="s">
        <v>136</v>
      </c>
      <c r="E1042" s="43" t="s">
        <v>92</v>
      </c>
      <c r="F1042" s="42" t="s">
        <v>11469</v>
      </c>
      <c r="G1042" t="s">
        <v>13197</v>
      </c>
    </row>
    <row r="1043" spans="1:7" x14ac:dyDescent="0.3">
      <c r="A1043" s="42" t="s">
        <v>1102</v>
      </c>
      <c r="B1043" s="42" t="s">
        <v>1261</v>
      </c>
      <c r="C1043" s="42" t="s">
        <v>6784</v>
      </c>
      <c r="D1043" s="43" t="s">
        <v>136</v>
      </c>
      <c r="E1043" s="43" t="s">
        <v>92</v>
      </c>
      <c r="F1043" s="42" t="s">
        <v>192</v>
      </c>
      <c r="G1043" t="s">
        <v>13196</v>
      </c>
    </row>
    <row r="1044" spans="1:7" x14ac:dyDescent="0.3">
      <c r="A1044" s="42" t="s">
        <v>1102</v>
      </c>
      <c r="B1044" s="42" t="s">
        <v>1262</v>
      </c>
      <c r="C1044" s="42" t="s">
        <v>6785</v>
      </c>
      <c r="D1044" s="43" t="s">
        <v>136</v>
      </c>
      <c r="E1044" s="43" t="s">
        <v>92</v>
      </c>
      <c r="F1044" s="42" t="s">
        <v>11469</v>
      </c>
      <c r="G1044" t="s">
        <v>13197</v>
      </c>
    </row>
    <row r="1045" spans="1:7" x14ac:dyDescent="0.3">
      <c r="A1045" s="42" t="s">
        <v>1102</v>
      </c>
      <c r="B1045" s="42" t="s">
        <v>1263</v>
      </c>
      <c r="C1045" s="42" t="s">
        <v>6786</v>
      </c>
      <c r="D1045" s="43" t="s">
        <v>136</v>
      </c>
      <c r="E1045" s="43" t="s">
        <v>92</v>
      </c>
      <c r="F1045" s="42" t="s">
        <v>11469</v>
      </c>
      <c r="G1045" t="s">
        <v>13197</v>
      </c>
    </row>
    <row r="1046" spans="1:7" x14ac:dyDescent="0.3">
      <c r="A1046" s="42" t="s">
        <v>1102</v>
      </c>
      <c r="B1046" s="42" t="s">
        <v>1264</v>
      </c>
      <c r="C1046" s="42" t="s">
        <v>6787</v>
      </c>
      <c r="D1046" s="43" t="s">
        <v>136</v>
      </c>
      <c r="E1046" s="43" t="s">
        <v>92</v>
      </c>
      <c r="F1046" s="42" t="s">
        <v>11469</v>
      </c>
      <c r="G1046" t="s">
        <v>13197</v>
      </c>
    </row>
    <row r="1047" spans="1:7" x14ac:dyDescent="0.3">
      <c r="A1047" s="42" t="s">
        <v>1102</v>
      </c>
      <c r="B1047" s="42" t="s">
        <v>1265</v>
      </c>
      <c r="C1047" s="42" t="s">
        <v>6788</v>
      </c>
      <c r="D1047" s="43" t="s">
        <v>136</v>
      </c>
      <c r="E1047" s="43" t="s">
        <v>92</v>
      </c>
      <c r="F1047" s="42" t="s">
        <v>11469</v>
      </c>
      <c r="G1047" t="s">
        <v>13197</v>
      </c>
    </row>
    <row r="1048" spans="1:7" x14ac:dyDescent="0.3">
      <c r="A1048" s="42" t="s">
        <v>1102</v>
      </c>
      <c r="B1048" s="42" t="s">
        <v>1266</v>
      </c>
      <c r="C1048" s="42" t="s">
        <v>6789</v>
      </c>
      <c r="D1048" s="43" t="s">
        <v>136</v>
      </c>
      <c r="E1048" s="43" t="s">
        <v>92</v>
      </c>
      <c r="F1048" s="42" t="s">
        <v>192</v>
      </c>
      <c r="G1048" t="s">
        <v>13196</v>
      </c>
    </row>
    <row r="1049" spans="1:7" x14ac:dyDescent="0.3">
      <c r="A1049" s="42" t="s">
        <v>1102</v>
      </c>
      <c r="B1049" s="42" t="s">
        <v>1267</v>
      </c>
      <c r="C1049" s="42" t="s">
        <v>6790</v>
      </c>
      <c r="D1049" s="43" t="s">
        <v>136</v>
      </c>
      <c r="E1049" s="43" t="s">
        <v>92</v>
      </c>
      <c r="F1049" s="42" t="s">
        <v>11469</v>
      </c>
      <c r="G1049" t="s">
        <v>13197</v>
      </c>
    </row>
    <row r="1050" spans="1:7" x14ac:dyDescent="0.3">
      <c r="A1050" s="42" t="s">
        <v>1102</v>
      </c>
      <c r="B1050" s="42" t="s">
        <v>1268</v>
      </c>
      <c r="C1050" s="42" t="s">
        <v>6791</v>
      </c>
      <c r="D1050" s="43" t="s">
        <v>136</v>
      </c>
      <c r="E1050" s="43" t="s">
        <v>92</v>
      </c>
      <c r="F1050" s="42" t="s">
        <v>11469</v>
      </c>
      <c r="G1050" t="s">
        <v>13197</v>
      </c>
    </row>
    <row r="1051" spans="1:7" x14ac:dyDescent="0.3">
      <c r="A1051" s="42" t="s">
        <v>1102</v>
      </c>
      <c r="B1051" s="42" t="s">
        <v>1269</v>
      </c>
      <c r="C1051" s="42" t="s">
        <v>6792</v>
      </c>
      <c r="D1051" s="43" t="s">
        <v>136</v>
      </c>
      <c r="E1051" s="43" t="s">
        <v>92</v>
      </c>
      <c r="F1051" s="42" t="s">
        <v>11469</v>
      </c>
      <c r="G1051" t="s">
        <v>13197</v>
      </c>
    </row>
    <row r="1052" spans="1:7" x14ac:dyDescent="0.3">
      <c r="A1052" s="42" t="s">
        <v>1102</v>
      </c>
      <c r="B1052" s="42" t="s">
        <v>1270</v>
      </c>
      <c r="C1052" s="42" t="s">
        <v>6793</v>
      </c>
      <c r="D1052" s="43" t="s">
        <v>136</v>
      </c>
      <c r="E1052" s="43" t="s">
        <v>92</v>
      </c>
      <c r="F1052" s="42" t="s">
        <v>11469</v>
      </c>
      <c r="G1052" t="s">
        <v>13197</v>
      </c>
    </row>
    <row r="1053" spans="1:7" x14ac:dyDescent="0.3">
      <c r="A1053" s="42" t="s">
        <v>1102</v>
      </c>
      <c r="B1053" s="42" t="s">
        <v>1271</v>
      </c>
      <c r="C1053" s="42" t="s">
        <v>6794</v>
      </c>
      <c r="D1053" s="43" t="s">
        <v>136</v>
      </c>
      <c r="E1053" s="43" t="s">
        <v>92</v>
      </c>
      <c r="F1053" s="42" t="s">
        <v>11469</v>
      </c>
      <c r="G1053" t="s">
        <v>13197</v>
      </c>
    </row>
    <row r="1054" spans="1:7" x14ac:dyDescent="0.3">
      <c r="A1054" s="42" t="s">
        <v>1102</v>
      </c>
      <c r="B1054" s="42" t="s">
        <v>1272</v>
      </c>
      <c r="C1054" s="42" t="s">
        <v>6795</v>
      </c>
      <c r="D1054" s="43" t="s">
        <v>136</v>
      </c>
      <c r="E1054" s="43" t="s">
        <v>92</v>
      </c>
      <c r="F1054" s="42" t="s">
        <v>11469</v>
      </c>
      <c r="G1054" t="s">
        <v>13197</v>
      </c>
    </row>
    <row r="1055" spans="1:7" x14ac:dyDescent="0.3">
      <c r="A1055" s="42" t="s">
        <v>1102</v>
      </c>
      <c r="B1055" s="42" t="s">
        <v>1273</v>
      </c>
      <c r="C1055" s="42" t="s">
        <v>6796</v>
      </c>
      <c r="D1055" s="43" t="s">
        <v>136</v>
      </c>
      <c r="E1055" s="43" t="s">
        <v>92</v>
      </c>
      <c r="F1055" s="42" t="s">
        <v>11469</v>
      </c>
      <c r="G1055" t="s">
        <v>13197</v>
      </c>
    </row>
    <row r="1056" spans="1:7" x14ac:dyDescent="0.3">
      <c r="A1056" s="42" t="s">
        <v>1102</v>
      </c>
      <c r="B1056" s="42" t="s">
        <v>1274</v>
      </c>
      <c r="C1056" s="42" t="s">
        <v>6797</v>
      </c>
      <c r="D1056" s="43" t="s">
        <v>136</v>
      </c>
      <c r="E1056" s="43" t="s">
        <v>92</v>
      </c>
      <c r="F1056" s="42" t="s">
        <v>11469</v>
      </c>
      <c r="G1056" t="s">
        <v>13197</v>
      </c>
    </row>
    <row r="1057" spans="1:7" x14ac:dyDescent="0.3">
      <c r="A1057" s="42" t="s">
        <v>1102</v>
      </c>
      <c r="B1057" s="42" t="s">
        <v>1275</v>
      </c>
      <c r="C1057" s="42" t="s">
        <v>6798</v>
      </c>
      <c r="D1057" s="43" t="s">
        <v>136</v>
      </c>
      <c r="E1057" s="43" t="s">
        <v>92</v>
      </c>
      <c r="F1057" s="42" t="s">
        <v>11469</v>
      </c>
      <c r="G1057" t="s">
        <v>13197</v>
      </c>
    </row>
    <row r="1058" spans="1:7" x14ac:dyDescent="0.3">
      <c r="A1058" s="42" t="s">
        <v>1102</v>
      </c>
      <c r="B1058" s="42" t="s">
        <v>1276</v>
      </c>
      <c r="C1058" s="42" t="s">
        <v>6799</v>
      </c>
      <c r="D1058" s="43" t="s">
        <v>136</v>
      </c>
      <c r="E1058" s="43" t="s">
        <v>92</v>
      </c>
      <c r="F1058" s="42" t="s">
        <v>11469</v>
      </c>
      <c r="G1058" t="s">
        <v>13197</v>
      </c>
    </row>
    <row r="1059" spans="1:7" x14ac:dyDescent="0.3">
      <c r="A1059" s="42" t="s">
        <v>1102</v>
      </c>
      <c r="B1059" s="42" t="s">
        <v>1277</v>
      </c>
      <c r="C1059" s="42" t="s">
        <v>6800</v>
      </c>
      <c r="D1059" s="43" t="s">
        <v>136</v>
      </c>
      <c r="E1059" s="43" t="s">
        <v>92</v>
      </c>
      <c r="F1059" s="42" t="s">
        <v>192</v>
      </c>
      <c r="G1059" t="s">
        <v>13196</v>
      </c>
    </row>
    <row r="1060" spans="1:7" x14ac:dyDescent="0.3">
      <c r="A1060" s="42" t="s">
        <v>1102</v>
      </c>
      <c r="B1060" s="42" t="s">
        <v>1278</v>
      </c>
      <c r="C1060" s="42" t="s">
        <v>6801</v>
      </c>
      <c r="D1060" s="43" t="s">
        <v>136</v>
      </c>
      <c r="E1060" s="43" t="s">
        <v>92</v>
      </c>
      <c r="F1060" s="42" t="s">
        <v>11469</v>
      </c>
      <c r="G1060" t="s">
        <v>13197</v>
      </c>
    </row>
    <row r="1061" spans="1:7" x14ac:dyDescent="0.3">
      <c r="A1061" s="42" t="s">
        <v>1102</v>
      </c>
      <c r="B1061" s="42" t="s">
        <v>1279</v>
      </c>
      <c r="C1061" s="42" t="s">
        <v>6802</v>
      </c>
      <c r="D1061" s="43" t="s">
        <v>136</v>
      </c>
      <c r="E1061" s="43" t="s">
        <v>92</v>
      </c>
      <c r="F1061" s="42" t="s">
        <v>11469</v>
      </c>
      <c r="G1061" t="s">
        <v>13197</v>
      </c>
    </row>
    <row r="1062" spans="1:7" x14ac:dyDescent="0.3">
      <c r="A1062" s="42" t="s">
        <v>1102</v>
      </c>
      <c r="B1062" s="42" t="s">
        <v>1280</v>
      </c>
      <c r="C1062" s="42" t="s">
        <v>6803</v>
      </c>
      <c r="D1062" s="43" t="s">
        <v>136</v>
      </c>
      <c r="E1062" s="43" t="s">
        <v>92</v>
      </c>
      <c r="F1062" s="42" t="s">
        <v>11469</v>
      </c>
      <c r="G1062" t="s">
        <v>13197</v>
      </c>
    </row>
    <row r="1063" spans="1:7" x14ac:dyDescent="0.3">
      <c r="A1063" s="42" t="s">
        <v>1102</v>
      </c>
      <c r="B1063" s="42" t="s">
        <v>1281</v>
      </c>
      <c r="C1063" s="42" t="s">
        <v>6804</v>
      </c>
      <c r="D1063" s="43" t="s">
        <v>136</v>
      </c>
      <c r="E1063" s="43" t="s">
        <v>92</v>
      </c>
      <c r="F1063" s="42" t="s">
        <v>11469</v>
      </c>
      <c r="G1063" t="s">
        <v>13197</v>
      </c>
    </row>
    <row r="1064" spans="1:7" x14ac:dyDescent="0.3">
      <c r="A1064" s="42" t="s">
        <v>1102</v>
      </c>
      <c r="B1064" s="42" t="s">
        <v>1282</v>
      </c>
      <c r="C1064" s="42" t="s">
        <v>6805</v>
      </c>
      <c r="D1064" s="43" t="s">
        <v>136</v>
      </c>
      <c r="E1064" s="43" t="s">
        <v>92</v>
      </c>
      <c r="F1064" s="42" t="s">
        <v>192</v>
      </c>
      <c r="G1064" t="s">
        <v>13196</v>
      </c>
    </row>
    <row r="1065" spans="1:7" x14ac:dyDescent="0.3">
      <c r="A1065" s="42" t="s">
        <v>1102</v>
      </c>
      <c r="B1065" s="42" t="s">
        <v>1283</v>
      </c>
      <c r="C1065" s="42" t="s">
        <v>6806</v>
      </c>
      <c r="D1065" s="43" t="s">
        <v>136</v>
      </c>
      <c r="E1065" s="43" t="s">
        <v>92</v>
      </c>
      <c r="F1065" s="42" t="s">
        <v>11469</v>
      </c>
      <c r="G1065" t="s">
        <v>13197</v>
      </c>
    </row>
    <row r="1066" spans="1:7" x14ac:dyDescent="0.3">
      <c r="A1066" s="42" t="s">
        <v>1102</v>
      </c>
      <c r="B1066" s="42" t="s">
        <v>1284</v>
      </c>
      <c r="C1066" s="42" t="s">
        <v>6807</v>
      </c>
      <c r="D1066" s="43" t="s">
        <v>136</v>
      </c>
      <c r="E1066" s="43" t="s">
        <v>92</v>
      </c>
      <c r="F1066" s="42" t="s">
        <v>11469</v>
      </c>
      <c r="G1066" t="s">
        <v>13197</v>
      </c>
    </row>
    <row r="1067" spans="1:7" x14ac:dyDescent="0.3">
      <c r="A1067" s="42" t="s">
        <v>1102</v>
      </c>
      <c r="B1067" s="42" t="s">
        <v>1285</v>
      </c>
      <c r="C1067" s="42" t="s">
        <v>6808</v>
      </c>
      <c r="D1067" s="43" t="s">
        <v>136</v>
      </c>
      <c r="E1067" s="43" t="s">
        <v>92</v>
      </c>
      <c r="F1067" s="42" t="s">
        <v>11469</v>
      </c>
      <c r="G1067" t="s">
        <v>13197</v>
      </c>
    </row>
    <row r="1068" spans="1:7" x14ac:dyDescent="0.3">
      <c r="A1068" s="42" t="s">
        <v>1102</v>
      </c>
      <c r="B1068" s="42" t="s">
        <v>1286</v>
      </c>
      <c r="C1068" s="42" t="s">
        <v>6809</v>
      </c>
      <c r="D1068" s="43" t="s">
        <v>136</v>
      </c>
      <c r="E1068" s="43" t="s">
        <v>92</v>
      </c>
      <c r="F1068" s="42" t="s">
        <v>11469</v>
      </c>
      <c r="G1068" t="s">
        <v>13197</v>
      </c>
    </row>
    <row r="1069" spans="1:7" x14ac:dyDescent="0.3">
      <c r="A1069" s="42" t="s">
        <v>1102</v>
      </c>
      <c r="B1069" s="42" t="s">
        <v>1287</v>
      </c>
      <c r="C1069" s="42" t="s">
        <v>6810</v>
      </c>
      <c r="D1069" s="43" t="s">
        <v>136</v>
      </c>
      <c r="E1069" s="43" t="s">
        <v>92</v>
      </c>
      <c r="F1069" s="42" t="s">
        <v>11469</v>
      </c>
      <c r="G1069" t="s">
        <v>13197</v>
      </c>
    </row>
    <row r="1070" spans="1:7" x14ac:dyDescent="0.3">
      <c r="A1070" s="42" t="s">
        <v>1102</v>
      </c>
      <c r="B1070" s="42" t="s">
        <v>1288</v>
      </c>
      <c r="C1070" s="42" t="s">
        <v>6811</v>
      </c>
      <c r="D1070" s="43" t="s">
        <v>136</v>
      </c>
      <c r="E1070" s="43" t="s">
        <v>92</v>
      </c>
      <c r="F1070" s="42" t="s">
        <v>11469</v>
      </c>
      <c r="G1070" t="s">
        <v>13197</v>
      </c>
    </row>
    <row r="1071" spans="1:7" x14ac:dyDescent="0.3">
      <c r="A1071" s="42" t="s">
        <v>1102</v>
      </c>
      <c r="B1071" s="42" t="s">
        <v>1289</v>
      </c>
      <c r="C1071" s="42" t="s">
        <v>6812</v>
      </c>
      <c r="D1071" s="43" t="s">
        <v>136</v>
      </c>
      <c r="E1071" s="43" t="s">
        <v>92</v>
      </c>
      <c r="F1071" s="42" t="s">
        <v>11469</v>
      </c>
      <c r="G1071" t="s">
        <v>13197</v>
      </c>
    </row>
    <row r="1072" spans="1:7" x14ac:dyDescent="0.3">
      <c r="A1072" s="42" t="s">
        <v>1102</v>
      </c>
      <c r="B1072" s="42" t="s">
        <v>1290</v>
      </c>
      <c r="C1072" s="42" t="s">
        <v>6813</v>
      </c>
      <c r="D1072" s="43" t="s">
        <v>136</v>
      </c>
      <c r="E1072" s="43" t="s">
        <v>92</v>
      </c>
      <c r="F1072" s="42" t="s">
        <v>11469</v>
      </c>
      <c r="G1072" t="s">
        <v>13197</v>
      </c>
    </row>
    <row r="1073" spans="1:7" x14ac:dyDescent="0.3">
      <c r="A1073" s="42" t="s">
        <v>1102</v>
      </c>
      <c r="B1073" s="42" t="s">
        <v>1291</v>
      </c>
      <c r="C1073" s="42" t="s">
        <v>6814</v>
      </c>
      <c r="D1073" s="43" t="s">
        <v>136</v>
      </c>
      <c r="E1073" s="43" t="s">
        <v>92</v>
      </c>
      <c r="F1073" s="42" t="s">
        <v>11469</v>
      </c>
      <c r="G1073" t="s">
        <v>13197</v>
      </c>
    </row>
    <row r="1074" spans="1:7" x14ac:dyDescent="0.3">
      <c r="A1074" s="42" t="s">
        <v>1102</v>
      </c>
      <c r="B1074" s="42" t="s">
        <v>1292</v>
      </c>
      <c r="C1074" s="42" t="s">
        <v>6815</v>
      </c>
      <c r="D1074" s="43" t="s">
        <v>136</v>
      </c>
      <c r="E1074" s="43" t="s">
        <v>92</v>
      </c>
      <c r="F1074" s="42" t="s">
        <v>11469</v>
      </c>
      <c r="G1074" t="s">
        <v>13197</v>
      </c>
    </row>
    <row r="1075" spans="1:7" x14ac:dyDescent="0.3">
      <c r="A1075" s="42" t="s">
        <v>1102</v>
      </c>
      <c r="B1075" s="42" t="s">
        <v>1293</v>
      </c>
      <c r="C1075" s="42" t="s">
        <v>6816</v>
      </c>
      <c r="D1075" s="43" t="s">
        <v>136</v>
      </c>
      <c r="E1075" s="43" t="s">
        <v>92</v>
      </c>
      <c r="F1075" s="42" t="s">
        <v>11469</v>
      </c>
      <c r="G1075" t="s">
        <v>13197</v>
      </c>
    </row>
    <row r="1076" spans="1:7" x14ac:dyDescent="0.3">
      <c r="A1076" s="42" t="s">
        <v>1102</v>
      </c>
      <c r="B1076" s="42" t="s">
        <v>1294</v>
      </c>
      <c r="C1076" s="42" t="s">
        <v>6817</v>
      </c>
      <c r="D1076" s="43" t="s">
        <v>136</v>
      </c>
      <c r="E1076" s="43" t="s">
        <v>92</v>
      </c>
      <c r="F1076" s="42" t="s">
        <v>11469</v>
      </c>
      <c r="G1076" t="s">
        <v>13197</v>
      </c>
    </row>
    <row r="1077" spans="1:7" x14ac:dyDescent="0.3">
      <c r="A1077" s="42" t="s">
        <v>1102</v>
      </c>
      <c r="B1077" s="42" t="s">
        <v>1295</v>
      </c>
      <c r="C1077" s="42" t="s">
        <v>6818</v>
      </c>
      <c r="D1077" s="43" t="s">
        <v>136</v>
      </c>
      <c r="E1077" s="43" t="s">
        <v>92</v>
      </c>
      <c r="F1077" s="42" t="s">
        <v>11469</v>
      </c>
      <c r="G1077" t="s">
        <v>13197</v>
      </c>
    </row>
    <row r="1078" spans="1:7" x14ac:dyDescent="0.3">
      <c r="A1078" s="42" t="s">
        <v>1102</v>
      </c>
      <c r="B1078" s="42" t="s">
        <v>1296</v>
      </c>
      <c r="C1078" s="42" t="s">
        <v>6819</v>
      </c>
      <c r="D1078" s="43" t="s">
        <v>136</v>
      </c>
      <c r="E1078" s="43" t="s">
        <v>92</v>
      </c>
      <c r="F1078" s="42" t="s">
        <v>192</v>
      </c>
      <c r="G1078" t="s">
        <v>13196</v>
      </c>
    </row>
    <row r="1079" spans="1:7" x14ac:dyDescent="0.3">
      <c r="A1079" s="42" t="s">
        <v>1102</v>
      </c>
      <c r="B1079" s="42" t="s">
        <v>1297</v>
      </c>
      <c r="C1079" s="42" t="s">
        <v>6820</v>
      </c>
      <c r="D1079" s="43" t="s">
        <v>136</v>
      </c>
      <c r="E1079" s="43" t="s">
        <v>92</v>
      </c>
      <c r="F1079" s="42" t="s">
        <v>11469</v>
      </c>
      <c r="G1079" t="s">
        <v>13197</v>
      </c>
    </row>
    <row r="1080" spans="1:7" x14ac:dyDescent="0.3">
      <c r="A1080" s="42" t="s">
        <v>1102</v>
      </c>
      <c r="B1080" s="42" t="s">
        <v>1298</v>
      </c>
      <c r="C1080" s="42" t="s">
        <v>6821</v>
      </c>
      <c r="D1080" s="43" t="s">
        <v>136</v>
      </c>
      <c r="E1080" s="43" t="s">
        <v>92</v>
      </c>
      <c r="F1080" s="42" t="s">
        <v>192</v>
      </c>
      <c r="G1080" t="s">
        <v>13196</v>
      </c>
    </row>
    <row r="1081" spans="1:7" x14ac:dyDescent="0.3">
      <c r="A1081" s="42" t="s">
        <v>1102</v>
      </c>
      <c r="B1081" s="42" t="s">
        <v>1299</v>
      </c>
      <c r="C1081" s="42" t="s">
        <v>6822</v>
      </c>
      <c r="D1081" s="43" t="s">
        <v>136</v>
      </c>
      <c r="E1081" s="43" t="s">
        <v>92</v>
      </c>
      <c r="F1081" s="42" t="s">
        <v>11469</v>
      </c>
      <c r="G1081" t="s">
        <v>13197</v>
      </c>
    </row>
    <row r="1082" spans="1:7" x14ac:dyDescent="0.3">
      <c r="A1082" s="42" t="s">
        <v>1102</v>
      </c>
      <c r="B1082" s="42" t="s">
        <v>1300</v>
      </c>
      <c r="C1082" s="42" t="s">
        <v>6823</v>
      </c>
      <c r="D1082" s="43" t="s">
        <v>136</v>
      </c>
      <c r="E1082" s="43" t="s">
        <v>92</v>
      </c>
      <c r="F1082" s="42" t="s">
        <v>11469</v>
      </c>
      <c r="G1082" t="s">
        <v>13197</v>
      </c>
    </row>
    <row r="1083" spans="1:7" x14ac:dyDescent="0.3">
      <c r="A1083" s="42" t="s">
        <v>1102</v>
      </c>
      <c r="B1083" s="42" t="s">
        <v>1301</v>
      </c>
      <c r="C1083" s="42" t="s">
        <v>6824</v>
      </c>
      <c r="D1083" s="43" t="s">
        <v>136</v>
      </c>
      <c r="E1083" s="43" t="s">
        <v>92</v>
      </c>
      <c r="F1083" s="42" t="s">
        <v>11469</v>
      </c>
      <c r="G1083" t="s">
        <v>13197</v>
      </c>
    </row>
    <row r="1084" spans="1:7" x14ac:dyDescent="0.3">
      <c r="A1084" s="42" t="s">
        <v>1102</v>
      </c>
      <c r="B1084" s="42" t="s">
        <v>1302</v>
      </c>
      <c r="C1084" s="42" t="s">
        <v>6825</v>
      </c>
      <c r="D1084" s="43" t="s">
        <v>136</v>
      </c>
      <c r="E1084" s="43" t="s">
        <v>92</v>
      </c>
      <c r="F1084" s="42" t="s">
        <v>11469</v>
      </c>
      <c r="G1084" t="s">
        <v>13200</v>
      </c>
    </row>
    <row r="1085" spans="1:7" x14ac:dyDescent="0.3">
      <c r="A1085" s="42" t="s">
        <v>1102</v>
      </c>
      <c r="B1085" s="42" t="s">
        <v>1303</v>
      </c>
      <c r="C1085" s="42" t="s">
        <v>6826</v>
      </c>
      <c r="D1085" s="43" t="s">
        <v>136</v>
      </c>
      <c r="E1085" s="43" t="s">
        <v>92</v>
      </c>
      <c r="F1085" s="42" t="s">
        <v>11469</v>
      </c>
      <c r="G1085" t="s">
        <v>13197</v>
      </c>
    </row>
    <row r="1086" spans="1:7" x14ac:dyDescent="0.3">
      <c r="A1086" s="42" t="s">
        <v>1102</v>
      </c>
      <c r="B1086" s="42" t="s">
        <v>1304</v>
      </c>
      <c r="C1086" s="42" t="s">
        <v>6827</v>
      </c>
      <c r="D1086" s="43" t="s">
        <v>136</v>
      </c>
      <c r="E1086" s="43" t="s">
        <v>92</v>
      </c>
      <c r="F1086" s="42" t="s">
        <v>11469</v>
      </c>
      <c r="G1086" t="s">
        <v>13197</v>
      </c>
    </row>
    <row r="1087" spans="1:7" x14ac:dyDescent="0.3">
      <c r="A1087" s="42" t="s">
        <v>1102</v>
      </c>
      <c r="B1087" s="42" t="s">
        <v>1305</v>
      </c>
      <c r="C1087" s="42" t="s">
        <v>6828</v>
      </c>
      <c r="D1087" s="43" t="s">
        <v>136</v>
      </c>
      <c r="E1087" s="43" t="s">
        <v>92</v>
      </c>
      <c r="F1087" s="42" t="s">
        <v>11469</v>
      </c>
      <c r="G1087" t="s">
        <v>13197</v>
      </c>
    </row>
    <row r="1088" spans="1:7" x14ac:dyDescent="0.3">
      <c r="A1088" s="42" t="s">
        <v>1102</v>
      </c>
      <c r="B1088" s="42" t="s">
        <v>1306</v>
      </c>
      <c r="C1088" s="42" t="s">
        <v>6829</v>
      </c>
      <c r="D1088" s="43" t="s">
        <v>136</v>
      </c>
      <c r="E1088" s="43" t="s">
        <v>92</v>
      </c>
      <c r="F1088" s="42" t="s">
        <v>192</v>
      </c>
      <c r="G1088" t="s">
        <v>13196</v>
      </c>
    </row>
    <row r="1089" spans="1:7" x14ac:dyDescent="0.3">
      <c r="A1089" s="42" t="s">
        <v>1102</v>
      </c>
      <c r="B1089" s="42" t="s">
        <v>1307</v>
      </c>
      <c r="C1089" s="42" t="s">
        <v>6830</v>
      </c>
      <c r="D1089" s="43" t="s">
        <v>136</v>
      </c>
      <c r="E1089" s="43" t="s">
        <v>92</v>
      </c>
      <c r="F1089" s="42" t="s">
        <v>11469</v>
      </c>
      <c r="G1089" t="s">
        <v>13197</v>
      </c>
    </row>
    <row r="1090" spans="1:7" x14ac:dyDescent="0.3">
      <c r="A1090" s="42" t="s">
        <v>1102</v>
      </c>
      <c r="B1090" s="42" t="s">
        <v>1046</v>
      </c>
      <c r="C1090" s="42" t="s">
        <v>6831</v>
      </c>
      <c r="D1090" s="43" t="s">
        <v>136</v>
      </c>
      <c r="E1090" s="43" t="s">
        <v>92</v>
      </c>
      <c r="F1090" s="42" t="s">
        <v>11469</v>
      </c>
      <c r="G1090" t="s">
        <v>13197</v>
      </c>
    </row>
    <row r="1091" spans="1:7" x14ac:dyDescent="0.3">
      <c r="A1091" s="42" t="s">
        <v>1102</v>
      </c>
      <c r="B1091" s="42" t="s">
        <v>1308</v>
      </c>
      <c r="C1091" s="42" t="s">
        <v>6832</v>
      </c>
      <c r="D1091" s="43" t="s">
        <v>136</v>
      </c>
      <c r="E1091" s="43" t="s">
        <v>92</v>
      </c>
      <c r="F1091" s="42" t="s">
        <v>11469</v>
      </c>
      <c r="G1091" t="s">
        <v>13197</v>
      </c>
    </row>
    <row r="1092" spans="1:7" x14ac:dyDescent="0.3">
      <c r="A1092" s="42" t="s">
        <v>1102</v>
      </c>
      <c r="B1092" s="42" t="s">
        <v>1309</v>
      </c>
      <c r="C1092" s="42" t="s">
        <v>6833</v>
      </c>
      <c r="D1092" s="43" t="s">
        <v>136</v>
      </c>
      <c r="E1092" s="43" t="s">
        <v>92</v>
      </c>
      <c r="F1092" s="42" t="s">
        <v>11469</v>
      </c>
      <c r="G1092" t="s">
        <v>13197</v>
      </c>
    </row>
    <row r="1093" spans="1:7" x14ac:dyDescent="0.3">
      <c r="A1093" s="42" t="s">
        <v>1102</v>
      </c>
      <c r="B1093" s="42" t="s">
        <v>1310</v>
      </c>
      <c r="C1093" s="42" t="s">
        <v>6834</v>
      </c>
      <c r="D1093" s="43" t="s">
        <v>136</v>
      </c>
      <c r="E1093" s="43" t="s">
        <v>92</v>
      </c>
      <c r="F1093" s="42" t="s">
        <v>11469</v>
      </c>
      <c r="G1093" t="s">
        <v>13197</v>
      </c>
    </row>
    <row r="1094" spans="1:7" x14ac:dyDescent="0.3">
      <c r="A1094" s="42" t="s">
        <v>1102</v>
      </c>
      <c r="B1094" s="42" t="s">
        <v>1311</v>
      </c>
      <c r="C1094" s="42" t="s">
        <v>6835</v>
      </c>
      <c r="D1094" s="43" t="s">
        <v>136</v>
      </c>
      <c r="E1094" s="43" t="s">
        <v>92</v>
      </c>
      <c r="F1094" s="42" t="s">
        <v>11469</v>
      </c>
      <c r="G1094" t="s">
        <v>13197</v>
      </c>
    </row>
    <row r="1095" spans="1:7" x14ac:dyDescent="0.3">
      <c r="A1095" s="42" t="s">
        <v>1102</v>
      </c>
      <c r="B1095" s="42" t="s">
        <v>1312</v>
      </c>
      <c r="C1095" s="42" t="s">
        <v>6836</v>
      </c>
      <c r="D1095" s="43" t="s">
        <v>136</v>
      </c>
      <c r="E1095" s="43" t="s">
        <v>92</v>
      </c>
      <c r="F1095" s="42" t="s">
        <v>192</v>
      </c>
      <c r="G1095" t="s">
        <v>13196</v>
      </c>
    </row>
    <row r="1096" spans="1:7" x14ac:dyDescent="0.3">
      <c r="A1096" s="42" t="s">
        <v>1102</v>
      </c>
      <c r="B1096" s="42" t="s">
        <v>1313</v>
      </c>
      <c r="C1096" s="42" t="s">
        <v>6837</v>
      </c>
      <c r="D1096" s="43" t="s">
        <v>136</v>
      </c>
      <c r="E1096" s="43" t="s">
        <v>92</v>
      </c>
      <c r="F1096" s="42" t="s">
        <v>11469</v>
      </c>
      <c r="G1096" t="s">
        <v>13197</v>
      </c>
    </row>
    <row r="1097" spans="1:7" x14ac:dyDescent="0.3">
      <c r="A1097" s="42" t="s">
        <v>1102</v>
      </c>
      <c r="B1097" s="42" t="s">
        <v>1314</v>
      </c>
      <c r="C1097" s="42" t="s">
        <v>6838</v>
      </c>
      <c r="D1097" s="43" t="s">
        <v>136</v>
      </c>
      <c r="E1097" s="43" t="s">
        <v>92</v>
      </c>
      <c r="F1097" s="42" t="s">
        <v>11469</v>
      </c>
      <c r="G1097" t="s">
        <v>13197</v>
      </c>
    </row>
    <row r="1098" spans="1:7" x14ac:dyDescent="0.3">
      <c r="A1098" s="42" t="s">
        <v>1102</v>
      </c>
      <c r="B1098" s="42" t="s">
        <v>1315</v>
      </c>
      <c r="C1098" s="42" t="s">
        <v>6839</v>
      </c>
      <c r="D1098" s="43" t="s">
        <v>136</v>
      </c>
      <c r="E1098" s="43" t="s">
        <v>92</v>
      </c>
      <c r="F1098" s="42" t="s">
        <v>11469</v>
      </c>
      <c r="G1098" t="s">
        <v>13197</v>
      </c>
    </row>
    <row r="1099" spans="1:7" x14ac:dyDescent="0.3">
      <c r="A1099" s="42" t="s">
        <v>1102</v>
      </c>
      <c r="B1099" s="42" t="s">
        <v>1316</v>
      </c>
      <c r="C1099" s="42" t="s">
        <v>6840</v>
      </c>
      <c r="D1099" s="43" t="s">
        <v>136</v>
      </c>
      <c r="E1099" s="43" t="s">
        <v>92</v>
      </c>
      <c r="F1099" s="42" t="s">
        <v>11469</v>
      </c>
      <c r="G1099" t="s">
        <v>13197</v>
      </c>
    </row>
    <row r="1100" spans="1:7" x14ac:dyDescent="0.3">
      <c r="A1100" s="42" t="s">
        <v>1102</v>
      </c>
      <c r="B1100" s="42" t="s">
        <v>1317</v>
      </c>
      <c r="C1100" s="42" t="s">
        <v>6841</v>
      </c>
      <c r="D1100" s="43" t="s">
        <v>136</v>
      </c>
      <c r="E1100" s="43" t="s">
        <v>92</v>
      </c>
      <c r="F1100" s="42" t="s">
        <v>11469</v>
      </c>
      <c r="G1100" t="s">
        <v>13197</v>
      </c>
    </row>
    <row r="1101" spans="1:7" x14ac:dyDescent="0.3">
      <c r="A1101" s="42" t="s">
        <v>1102</v>
      </c>
      <c r="B1101" s="42" t="s">
        <v>1318</v>
      </c>
      <c r="C1101" s="42" t="s">
        <v>6842</v>
      </c>
      <c r="D1101" s="43" t="s">
        <v>136</v>
      </c>
      <c r="E1101" s="43" t="s">
        <v>92</v>
      </c>
      <c r="F1101" s="42" t="s">
        <v>11469</v>
      </c>
      <c r="G1101" t="s">
        <v>13197</v>
      </c>
    </row>
    <row r="1102" spans="1:7" x14ac:dyDescent="0.3">
      <c r="A1102" s="42" t="s">
        <v>1102</v>
      </c>
      <c r="B1102" s="42" t="s">
        <v>1319</v>
      </c>
      <c r="C1102" s="42" t="s">
        <v>6843</v>
      </c>
      <c r="D1102" s="43" t="s">
        <v>136</v>
      </c>
      <c r="E1102" s="43" t="s">
        <v>92</v>
      </c>
      <c r="F1102" s="42" t="s">
        <v>11469</v>
      </c>
      <c r="G1102" t="s">
        <v>13197</v>
      </c>
    </row>
    <row r="1103" spans="1:7" x14ac:dyDescent="0.3">
      <c r="A1103" s="42" t="s">
        <v>1102</v>
      </c>
      <c r="B1103" s="42" t="s">
        <v>1320</v>
      </c>
      <c r="C1103" s="42" t="s">
        <v>6844</v>
      </c>
      <c r="D1103" s="43" t="s">
        <v>136</v>
      </c>
      <c r="E1103" s="43" t="s">
        <v>92</v>
      </c>
      <c r="F1103" s="42" t="s">
        <v>11469</v>
      </c>
      <c r="G1103" t="s">
        <v>13197</v>
      </c>
    </row>
    <row r="1104" spans="1:7" x14ac:dyDescent="0.3">
      <c r="A1104" s="42" t="s">
        <v>1102</v>
      </c>
      <c r="B1104" s="42" t="s">
        <v>1321</v>
      </c>
      <c r="C1104" s="42" t="s">
        <v>6845</v>
      </c>
      <c r="D1104" s="43" t="s">
        <v>136</v>
      </c>
      <c r="E1104" s="43" t="s">
        <v>92</v>
      </c>
      <c r="F1104" s="42" t="s">
        <v>11469</v>
      </c>
      <c r="G1104" t="s">
        <v>13197</v>
      </c>
    </row>
    <row r="1105" spans="1:7" x14ac:dyDescent="0.3">
      <c r="A1105" s="42" t="s">
        <v>1102</v>
      </c>
      <c r="B1105" s="42" t="s">
        <v>1322</v>
      </c>
      <c r="C1105" s="42" t="s">
        <v>6846</v>
      </c>
      <c r="D1105" s="43" t="s">
        <v>136</v>
      </c>
      <c r="E1105" s="43" t="s">
        <v>92</v>
      </c>
      <c r="F1105" s="42" t="s">
        <v>11469</v>
      </c>
      <c r="G1105" t="s">
        <v>13197</v>
      </c>
    </row>
    <row r="1106" spans="1:7" x14ac:dyDescent="0.3">
      <c r="A1106" s="42" t="s">
        <v>1102</v>
      </c>
      <c r="B1106" s="42" t="s">
        <v>1323</v>
      </c>
      <c r="C1106" s="42" t="s">
        <v>6847</v>
      </c>
      <c r="D1106" s="43" t="s">
        <v>136</v>
      </c>
      <c r="E1106" s="43" t="s">
        <v>92</v>
      </c>
      <c r="F1106" s="42" t="s">
        <v>11469</v>
      </c>
      <c r="G1106" t="s">
        <v>13197</v>
      </c>
    </row>
    <row r="1107" spans="1:7" x14ac:dyDescent="0.3">
      <c r="A1107" s="42" t="s">
        <v>1102</v>
      </c>
      <c r="B1107" s="42" t="s">
        <v>1324</v>
      </c>
      <c r="C1107" s="42" t="s">
        <v>6848</v>
      </c>
      <c r="D1107" s="43" t="s">
        <v>136</v>
      </c>
      <c r="E1107" s="43" t="s">
        <v>92</v>
      </c>
      <c r="F1107" s="42" t="s">
        <v>11469</v>
      </c>
      <c r="G1107" t="s">
        <v>13197</v>
      </c>
    </row>
    <row r="1108" spans="1:7" x14ac:dyDescent="0.3">
      <c r="A1108" s="42" t="s">
        <v>1102</v>
      </c>
      <c r="B1108" s="42" t="s">
        <v>1325</v>
      </c>
      <c r="C1108" s="42" t="s">
        <v>6849</v>
      </c>
      <c r="D1108" s="43" t="s">
        <v>136</v>
      </c>
      <c r="E1108" s="43" t="s">
        <v>92</v>
      </c>
      <c r="F1108" s="42" t="s">
        <v>11469</v>
      </c>
      <c r="G1108" t="s">
        <v>13197</v>
      </c>
    </row>
    <row r="1109" spans="1:7" x14ac:dyDescent="0.3">
      <c r="A1109" s="42" t="s">
        <v>1102</v>
      </c>
      <c r="B1109" s="42" t="s">
        <v>1326</v>
      </c>
      <c r="C1109" s="42" t="s">
        <v>6850</v>
      </c>
      <c r="D1109" s="43" t="s">
        <v>136</v>
      </c>
      <c r="E1109" s="43" t="s">
        <v>92</v>
      </c>
      <c r="F1109" s="42" t="s">
        <v>11469</v>
      </c>
      <c r="G1109" t="s">
        <v>13197</v>
      </c>
    </row>
    <row r="1110" spans="1:7" x14ac:dyDescent="0.3">
      <c r="A1110" s="42" t="s">
        <v>1102</v>
      </c>
      <c r="B1110" s="42" t="s">
        <v>1327</v>
      </c>
      <c r="C1110" s="42" t="s">
        <v>6851</v>
      </c>
      <c r="D1110" s="43" t="s">
        <v>136</v>
      </c>
      <c r="E1110" s="43" t="s">
        <v>92</v>
      </c>
      <c r="F1110" s="42" t="s">
        <v>11469</v>
      </c>
      <c r="G1110" t="s">
        <v>13197</v>
      </c>
    </row>
    <row r="1111" spans="1:7" x14ac:dyDescent="0.3">
      <c r="A1111" s="42" t="s">
        <v>1102</v>
      </c>
      <c r="B1111" s="42" t="s">
        <v>1328</v>
      </c>
      <c r="C1111" s="42" t="s">
        <v>6852</v>
      </c>
      <c r="D1111" s="43" t="s">
        <v>136</v>
      </c>
      <c r="E1111" s="43" t="s">
        <v>92</v>
      </c>
      <c r="F1111" s="42" t="s">
        <v>11469</v>
      </c>
      <c r="G1111" t="s">
        <v>13197</v>
      </c>
    </row>
    <row r="1112" spans="1:7" x14ac:dyDescent="0.3">
      <c r="A1112" s="42" t="s">
        <v>1102</v>
      </c>
      <c r="B1112" s="42" t="s">
        <v>1329</v>
      </c>
      <c r="C1112" s="42" t="s">
        <v>6853</v>
      </c>
      <c r="D1112" s="43" t="s">
        <v>136</v>
      </c>
      <c r="E1112" s="43" t="s">
        <v>92</v>
      </c>
      <c r="F1112" s="42" t="s">
        <v>11469</v>
      </c>
      <c r="G1112" t="s">
        <v>13197</v>
      </c>
    </row>
    <row r="1113" spans="1:7" x14ac:dyDescent="0.3">
      <c r="A1113" s="42" t="s">
        <v>1102</v>
      </c>
      <c r="B1113" s="42" t="s">
        <v>1330</v>
      </c>
      <c r="C1113" s="42" t="s">
        <v>6854</v>
      </c>
      <c r="D1113" s="43" t="s">
        <v>136</v>
      </c>
      <c r="E1113" s="43" t="s">
        <v>92</v>
      </c>
      <c r="F1113" s="42" t="s">
        <v>11469</v>
      </c>
      <c r="G1113" t="s">
        <v>13197</v>
      </c>
    </row>
    <row r="1114" spans="1:7" x14ac:dyDescent="0.3">
      <c r="A1114" s="42" t="s">
        <v>1102</v>
      </c>
      <c r="B1114" s="42" t="s">
        <v>1331</v>
      </c>
      <c r="C1114" s="42" t="s">
        <v>6855</v>
      </c>
      <c r="D1114" s="43" t="s">
        <v>136</v>
      </c>
      <c r="E1114" s="43" t="s">
        <v>92</v>
      </c>
      <c r="F1114" s="42" t="s">
        <v>11469</v>
      </c>
      <c r="G1114" t="s">
        <v>13197</v>
      </c>
    </row>
    <row r="1115" spans="1:7" x14ac:dyDescent="0.3">
      <c r="A1115" s="42" t="s">
        <v>1102</v>
      </c>
      <c r="B1115" s="42" t="s">
        <v>1332</v>
      </c>
      <c r="C1115" s="42" t="s">
        <v>6856</v>
      </c>
      <c r="D1115" s="43" t="s">
        <v>136</v>
      </c>
      <c r="E1115" s="43" t="s">
        <v>92</v>
      </c>
      <c r="F1115" s="42" t="s">
        <v>11469</v>
      </c>
      <c r="G1115" t="s">
        <v>13197</v>
      </c>
    </row>
    <row r="1116" spans="1:7" x14ac:dyDescent="0.3">
      <c r="A1116" s="42" t="s">
        <v>1102</v>
      </c>
      <c r="B1116" s="42" t="s">
        <v>1333</v>
      </c>
      <c r="C1116" s="42" t="s">
        <v>6857</v>
      </c>
      <c r="D1116" s="43" t="s">
        <v>136</v>
      </c>
      <c r="E1116" s="43" t="s">
        <v>92</v>
      </c>
      <c r="F1116" s="42" t="s">
        <v>11469</v>
      </c>
      <c r="G1116" t="s">
        <v>13200</v>
      </c>
    </row>
    <row r="1117" spans="1:7" x14ac:dyDescent="0.3">
      <c r="A1117" s="42" t="s">
        <v>1102</v>
      </c>
      <c r="B1117" s="42" t="s">
        <v>1334</v>
      </c>
      <c r="C1117" s="42" t="s">
        <v>6858</v>
      </c>
      <c r="D1117" s="43" t="s">
        <v>136</v>
      </c>
      <c r="E1117" s="43" t="s">
        <v>92</v>
      </c>
      <c r="F1117" s="42" t="s">
        <v>11469</v>
      </c>
      <c r="G1117" t="s">
        <v>13197</v>
      </c>
    </row>
    <row r="1118" spans="1:7" x14ac:dyDescent="0.3">
      <c r="A1118" s="42" t="s">
        <v>1102</v>
      </c>
      <c r="B1118" s="42" t="s">
        <v>1335</v>
      </c>
      <c r="C1118" s="42" t="s">
        <v>6859</v>
      </c>
      <c r="D1118" s="43" t="s">
        <v>136</v>
      </c>
      <c r="E1118" s="43" t="s">
        <v>92</v>
      </c>
      <c r="F1118" s="42" t="s">
        <v>11469</v>
      </c>
      <c r="G1118" t="s">
        <v>13197</v>
      </c>
    </row>
    <row r="1119" spans="1:7" x14ac:dyDescent="0.3">
      <c r="A1119" s="42" t="s">
        <v>1102</v>
      </c>
      <c r="B1119" s="42" t="s">
        <v>1336</v>
      </c>
      <c r="C1119" s="42" t="s">
        <v>6860</v>
      </c>
      <c r="D1119" s="43" t="s">
        <v>136</v>
      </c>
      <c r="E1119" s="43" t="s">
        <v>92</v>
      </c>
      <c r="F1119" s="42" t="s">
        <v>11469</v>
      </c>
      <c r="G1119" t="s">
        <v>13197</v>
      </c>
    </row>
    <row r="1120" spans="1:7" x14ac:dyDescent="0.3">
      <c r="A1120" s="42" t="s">
        <v>1102</v>
      </c>
      <c r="B1120" s="42" t="s">
        <v>1337</v>
      </c>
      <c r="C1120" s="42" t="s">
        <v>6861</v>
      </c>
      <c r="D1120" s="43" t="s">
        <v>136</v>
      </c>
      <c r="E1120" s="43" t="s">
        <v>92</v>
      </c>
      <c r="F1120" s="42" t="s">
        <v>11469</v>
      </c>
      <c r="G1120" t="s">
        <v>13197</v>
      </c>
    </row>
    <row r="1121" spans="1:7" x14ac:dyDescent="0.3">
      <c r="A1121" s="42" t="s">
        <v>1102</v>
      </c>
      <c r="B1121" s="42" t="s">
        <v>1338</v>
      </c>
      <c r="C1121" s="42" t="s">
        <v>6862</v>
      </c>
      <c r="D1121" s="43" t="s">
        <v>136</v>
      </c>
      <c r="E1121" s="43" t="s">
        <v>92</v>
      </c>
      <c r="F1121" s="42" t="s">
        <v>11469</v>
      </c>
      <c r="G1121" t="s">
        <v>13197</v>
      </c>
    </row>
    <row r="1122" spans="1:7" x14ac:dyDescent="0.3">
      <c r="A1122" s="42" t="s">
        <v>1102</v>
      </c>
      <c r="B1122" s="42" t="s">
        <v>1339</v>
      </c>
      <c r="C1122" s="42" t="s">
        <v>6863</v>
      </c>
      <c r="D1122" s="43" t="s">
        <v>136</v>
      </c>
      <c r="E1122" s="43" t="s">
        <v>92</v>
      </c>
      <c r="F1122" s="42" t="s">
        <v>11469</v>
      </c>
      <c r="G1122" t="s">
        <v>13197</v>
      </c>
    </row>
    <row r="1123" spans="1:7" x14ac:dyDescent="0.3">
      <c r="A1123" s="42" t="s">
        <v>1102</v>
      </c>
      <c r="B1123" s="42" t="s">
        <v>1340</v>
      </c>
      <c r="C1123" s="42" t="s">
        <v>6864</v>
      </c>
      <c r="D1123" s="43" t="s">
        <v>136</v>
      </c>
      <c r="E1123" s="43" t="s">
        <v>92</v>
      </c>
      <c r="F1123" s="42" t="s">
        <v>11469</v>
      </c>
      <c r="G1123" t="s">
        <v>13197</v>
      </c>
    </row>
    <row r="1124" spans="1:7" x14ac:dyDescent="0.3">
      <c r="A1124" s="42" t="s">
        <v>1102</v>
      </c>
      <c r="B1124" s="42" t="s">
        <v>1341</v>
      </c>
      <c r="C1124" s="42" t="s">
        <v>6865</v>
      </c>
      <c r="D1124" s="43" t="s">
        <v>136</v>
      </c>
      <c r="E1124" s="43" t="s">
        <v>92</v>
      </c>
      <c r="F1124" s="42" t="s">
        <v>11469</v>
      </c>
      <c r="G1124" t="s">
        <v>13197</v>
      </c>
    </row>
    <row r="1125" spans="1:7" x14ac:dyDescent="0.3">
      <c r="A1125" s="42" t="s">
        <v>1102</v>
      </c>
      <c r="B1125" s="42" t="s">
        <v>1342</v>
      </c>
      <c r="C1125" s="42" t="s">
        <v>6866</v>
      </c>
      <c r="D1125" s="43" t="s">
        <v>136</v>
      </c>
      <c r="E1125" s="43" t="s">
        <v>92</v>
      </c>
      <c r="F1125" s="42" t="s">
        <v>11469</v>
      </c>
      <c r="G1125" t="s">
        <v>13197</v>
      </c>
    </row>
    <row r="1126" spans="1:7" x14ac:dyDescent="0.3">
      <c r="A1126" s="42" t="s">
        <v>1102</v>
      </c>
      <c r="B1126" s="42" t="s">
        <v>1343</v>
      </c>
      <c r="C1126" s="42" t="s">
        <v>6867</v>
      </c>
      <c r="D1126" s="43" t="s">
        <v>136</v>
      </c>
      <c r="E1126" s="43" t="s">
        <v>92</v>
      </c>
      <c r="F1126" s="42" t="s">
        <v>11469</v>
      </c>
      <c r="G1126" t="s">
        <v>13197</v>
      </c>
    </row>
    <row r="1127" spans="1:7" x14ac:dyDescent="0.3">
      <c r="A1127" s="42" t="s">
        <v>1102</v>
      </c>
      <c r="B1127" s="42" t="s">
        <v>1344</v>
      </c>
      <c r="C1127" s="42" t="s">
        <v>6868</v>
      </c>
      <c r="D1127" s="43" t="s">
        <v>136</v>
      </c>
      <c r="E1127" s="43" t="s">
        <v>92</v>
      </c>
      <c r="F1127" s="42" t="s">
        <v>11469</v>
      </c>
      <c r="G1127" t="s">
        <v>13197</v>
      </c>
    </row>
    <row r="1128" spans="1:7" x14ac:dyDescent="0.3">
      <c r="A1128" s="42" t="s">
        <v>1102</v>
      </c>
      <c r="B1128" s="42" t="s">
        <v>1345</v>
      </c>
      <c r="C1128" s="42" t="s">
        <v>6869</v>
      </c>
      <c r="D1128" s="43" t="s">
        <v>136</v>
      </c>
      <c r="E1128" s="43" t="s">
        <v>92</v>
      </c>
      <c r="F1128" s="42" t="s">
        <v>11469</v>
      </c>
      <c r="G1128" t="s">
        <v>13197</v>
      </c>
    </row>
    <row r="1129" spans="1:7" x14ac:dyDescent="0.3">
      <c r="A1129" s="42" t="s">
        <v>1102</v>
      </c>
      <c r="B1129" s="42" t="s">
        <v>1346</v>
      </c>
      <c r="C1129" s="42" t="s">
        <v>6870</v>
      </c>
      <c r="D1129" s="43" t="s">
        <v>136</v>
      </c>
      <c r="E1129" s="43" t="s">
        <v>92</v>
      </c>
      <c r="F1129" s="42" t="s">
        <v>11469</v>
      </c>
      <c r="G1129" t="s">
        <v>13197</v>
      </c>
    </row>
    <row r="1130" spans="1:7" x14ac:dyDescent="0.3">
      <c r="A1130" s="42" t="s">
        <v>1102</v>
      </c>
      <c r="B1130" s="42" t="s">
        <v>1347</v>
      </c>
      <c r="C1130" s="42" t="s">
        <v>6871</v>
      </c>
      <c r="D1130" s="43" t="s">
        <v>136</v>
      </c>
      <c r="E1130" s="43" t="s">
        <v>92</v>
      </c>
      <c r="F1130" s="42" t="s">
        <v>11469</v>
      </c>
      <c r="G1130" t="s">
        <v>13197</v>
      </c>
    </row>
    <row r="1131" spans="1:7" x14ac:dyDescent="0.3">
      <c r="A1131" s="42" t="s">
        <v>1102</v>
      </c>
      <c r="B1131" s="42" t="s">
        <v>1348</v>
      </c>
      <c r="C1131" s="42" t="s">
        <v>6872</v>
      </c>
      <c r="D1131" s="43" t="s">
        <v>136</v>
      </c>
      <c r="E1131" s="43" t="s">
        <v>92</v>
      </c>
      <c r="F1131" s="42" t="s">
        <v>11469</v>
      </c>
      <c r="G1131" t="s">
        <v>13197</v>
      </c>
    </row>
    <row r="1132" spans="1:7" x14ac:dyDescent="0.3">
      <c r="A1132" s="42" t="s">
        <v>1102</v>
      </c>
      <c r="B1132" s="42" t="s">
        <v>1349</v>
      </c>
      <c r="C1132" s="42" t="s">
        <v>6873</v>
      </c>
      <c r="D1132" s="43" t="s">
        <v>136</v>
      </c>
      <c r="E1132" s="43" t="s">
        <v>92</v>
      </c>
      <c r="F1132" s="42" t="s">
        <v>11469</v>
      </c>
      <c r="G1132" t="s">
        <v>13197</v>
      </c>
    </row>
    <row r="1133" spans="1:7" x14ac:dyDescent="0.3">
      <c r="A1133" s="42" t="s">
        <v>1102</v>
      </c>
      <c r="B1133" s="42" t="s">
        <v>1350</v>
      </c>
      <c r="C1133" s="42" t="s">
        <v>6874</v>
      </c>
      <c r="D1133" s="43" t="s">
        <v>136</v>
      </c>
      <c r="E1133" s="43" t="s">
        <v>92</v>
      </c>
      <c r="F1133" s="42" t="s">
        <v>11469</v>
      </c>
      <c r="G1133" t="s">
        <v>13197</v>
      </c>
    </row>
    <row r="1134" spans="1:7" x14ac:dyDescent="0.3">
      <c r="A1134" s="42" t="s">
        <v>1102</v>
      </c>
      <c r="B1134" s="42" t="s">
        <v>1351</v>
      </c>
      <c r="C1134" s="42" t="s">
        <v>6875</v>
      </c>
      <c r="D1134" s="43" t="s">
        <v>136</v>
      </c>
      <c r="E1134" s="43" t="s">
        <v>92</v>
      </c>
      <c r="F1134" s="42" t="s">
        <v>11469</v>
      </c>
      <c r="G1134" t="s">
        <v>13197</v>
      </c>
    </row>
    <row r="1135" spans="1:7" x14ac:dyDescent="0.3">
      <c r="A1135" s="42" t="s">
        <v>1102</v>
      </c>
      <c r="B1135" s="42" t="s">
        <v>1352</v>
      </c>
      <c r="C1135" s="42" t="s">
        <v>6876</v>
      </c>
      <c r="D1135" s="43" t="s">
        <v>136</v>
      </c>
      <c r="E1135" s="43" t="s">
        <v>92</v>
      </c>
      <c r="F1135" s="42" t="s">
        <v>192</v>
      </c>
      <c r="G1135" t="s">
        <v>13196</v>
      </c>
    </row>
    <row r="1136" spans="1:7" x14ac:dyDescent="0.3">
      <c r="A1136" s="42" t="s">
        <v>1102</v>
      </c>
      <c r="B1136" s="42" t="s">
        <v>1353</v>
      </c>
      <c r="C1136" s="42" t="s">
        <v>6877</v>
      </c>
      <c r="D1136" s="43" t="s">
        <v>136</v>
      </c>
      <c r="E1136" s="43" t="s">
        <v>92</v>
      </c>
      <c r="F1136" s="42" t="s">
        <v>11469</v>
      </c>
      <c r="G1136" t="s">
        <v>13197</v>
      </c>
    </row>
    <row r="1137" spans="1:7" x14ac:dyDescent="0.3">
      <c r="A1137" s="42" t="s">
        <v>1102</v>
      </c>
      <c r="B1137" s="42" t="s">
        <v>1354</v>
      </c>
      <c r="C1137" s="42" t="s">
        <v>6878</v>
      </c>
      <c r="D1137" s="43" t="s">
        <v>136</v>
      </c>
      <c r="E1137" s="43" t="s">
        <v>92</v>
      </c>
      <c r="F1137" s="42" t="s">
        <v>192</v>
      </c>
      <c r="G1137" t="s">
        <v>13196</v>
      </c>
    </row>
    <row r="1138" spans="1:7" x14ac:dyDescent="0.3">
      <c r="A1138" s="42" t="s">
        <v>1102</v>
      </c>
      <c r="B1138" s="42" t="s">
        <v>1355</v>
      </c>
      <c r="C1138" s="42" t="s">
        <v>6879</v>
      </c>
      <c r="D1138" s="43" t="s">
        <v>136</v>
      </c>
      <c r="E1138" s="43" t="s">
        <v>92</v>
      </c>
      <c r="F1138" s="42" t="s">
        <v>11469</v>
      </c>
      <c r="G1138" t="s">
        <v>13197</v>
      </c>
    </row>
    <row r="1139" spans="1:7" x14ac:dyDescent="0.3">
      <c r="A1139" s="42" t="s">
        <v>1102</v>
      </c>
      <c r="B1139" s="42" t="s">
        <v>1356</v>
      </c>
      <c r="C1139" s="42" t="s">
        <v>6880</v>
      </c>
      <c r="D1139" s="43" t="s">
        <v>136</v>
      </c>
      <c r="E1139" s="43" t="s">
        <v>92</v>
      </c>
      <c r="F1139" s="42" t="s">
        <v>11469</v>
      </c>
      <c r="G1139" t="s">
        <v>13197</v>
      </c>
    </row>
    <row r="1140" spans="1:7" x14ac:dyDescent="0.3">
      <c r="A1140" s="42" t="s">
        <v>1102</v>
      </c>
      <c r="B1140" s="42" t="s">
        <v>1357</v>
      </c>
      <c r="C1140" s="42" t="s">
        <v>6881</v>
      </c>
      <c r="D1140" s="43" t="s">
        <v>136</v>
      </c>
      <c r="E1140" s="43" t="s">
        <v>92</v>
      </c>
      <c r="F1140" s="42" t="s">
        <v>11469</v>
      </c>
      <c r="G1140" t="s">
        <v>13197</v>
      </c>
    </row>
    <row r="1141" spans="1:7" x14ac:dyDescent="0.3">
      <c r="A1141" s="42" t="s">
        <v>1102</v>
      </c>
      <c r="B1141" s="42" t="s">
        <v>1358</v>
      </c>
      <c r="C1141" s="42" t="s">
        <v>6882</v>
      </c>
      <c r="D1141" s="43" t="s">
        <v>136</v>
      </c>
      <c r="E1141" s="43" t="s">
        <v>92</v>
      </c>
      <c r="F1141" s="42" t="s">
        <v>11469</v>
      </c>
      <c r="G1141" t="s">
        <v>13197</v>
      </c>
    </row>
    <row r="1142" spans="1:7" x14ac:dyDescent="0.3">
      <c r="A1142" s="42" t="s">
        <v>1102</v>
      </c>
      <c r="B1142" s="42" t="s">
        <v>1359</v>
      </c>
      <c r="C1142" s="42" t="s">
        <v>6883</v>
      </c>
      <c r="D1142" s="43" t="s">
        <v>136</v>
      </c>
      <c r="E1142" s="43" t="s">
        <v>92</v>
      </c>
      <c r="F1142" s="42" t="s">
        <v>192</v>
      </c>
      <c r="G1142" t="s">
        <v>13196</v>
      </c>
    </row>
    <row r="1143" spans="1:7" x14ac:dyDescent="0.3">
      <c r="A1143" s="42" t="s">
        <v>1102</v>
      </c>
      <c r="B1143" s="42" t="s">
        <v>1360</v>
      </c>
      <c r="C1143" s="42" t="s">
        <v>6884</v>
      </c>
      <c r="D1143" s="43" t="s">
        <v>136</v>
      </c>
      <c r="E1143" s="43" t="s">
        <v>92</v>
      </c>
      <c r="F1143" s="42" t="s">
        <v>11469</v>
      </c>
      <c r="G1143" t="s">
        <v>13197</v>
      </c>
    </row>
    <row r="1144" spans="1:7" x14ac:dyDescent="0.3">
      <c r="A1144" s="42" t="s">
        <v>1102</v>
      </c>
      <c r="B1144" s="42" t="s">
        <v>1361</v>
      </c>
      <c r="C1144" s="42" t="s">
        <v>6885</v>
      </c>
      <c r="D1144" s="43" t="s">
        <v>136</v>
      </c>
      <c r="E1144" s="43" t="s">
        <v>92</v>
      </c>
      <c r="F1144" s="42" t="s">
        <v>192</v>
      </c>
      <c r="G1144" t="s">
        <v>13196</v>
      </c>
    </row>
    <row r="1145" spans="1:7" x14ac:dyDescent="0.3">
      <c r="A1145" s="42" t="s">
        <v>1102</v>
      </c>
      <c r="B1145" s="42" t="s">
        <v>1362</v>
      </c>
      <c r="C1145" s="42" t="s">
        <v>6886</v>
      </c>
      <c r="D1145" s="43" t="s">
        <v>136</v>
      </c>
      <c r="E1145" s="43" t="s">
        <v>92</v>
      </c>
      <c r="F1145" s="42" t="s">
        <v>11469</v>
      </c>
      <c r="G1145" t="s">
        <v>13197</v>
      </c>
    </row>
    <row r="1146" spans="1:7" x14ac:dyDescent="0.3">
      <c r="A1146" s="42" t="s">
        <v>1102</v>
      </c>
      <c r="B1146" s="42" t="s">
        <v>1363</v>
      </c>
      <c r="C1146" s="42" t="s">
        <v>6887</v>
      </c>
      <c r="D1146" s="43" t="s">
        <v>136</v>
      </c>
      <c r="E1146" s="43" t="s">
        <v>92</v>
      </c>
      <c r="F1146" s="42" t="s">
        <v>11469</v>
      </c>
      <c r="G1146" t="s">
        <v>13197</v>
      </c>
    </row>
    <row r="1147" spans="1:7" x14ac:dyDescent="0.3">
      <c r="A1147" s="42" t="s">
        <v>1102</v>
      </c>
      <c r="B1147" s="42" t="s">
        <v>1364</v>
      </c>
      <c r="C1147" s="42" t="s">
        <v>6888</v>
      </c>
      <c r="D1147" s="43" t="s">
        <v>136</v>
      </c>
      <c r="E1147" s="43" t="s">
        <v>92</v>
      </c>
      <c r="F1147" s="42" t="s">
        <v>11469</v>
      </c>
      <c r="G1147" t="s">
        <v>13197</v>
      </c>
    </row>
    <row r="1148" spans="1:7" x14ac:dyDescent="0.3">
      <c r="A1148" s="42" t="s">
        <v>1102</v>
      </c>
      <c r="B1148" s="42" t="s">
        <v>1365</v>
      </c>
      <c r="C1148" s="42" t="s">
        <v>6889</v>
      </c>
      <c r="D1148" s="43" t="s">
        <v>136</v>
      </c>
      <c r="E1148" s="43" t="s">
        <v>92</v>
      </c>
      <c r="F1148" s="42" t="s">
        <v>11469</v>
      </c>
      <c r="G1148" t="s">
        <v>13197</v>
      </c>
    </row>
    <row r="1149" spans="1:7" x14ac:dyDescent="0.3">
      <c r="A1149" s="42" t="s">
        <v>1102</v>
      </c>
      <c r="B1149" s="42" t="s">
        <v>1366</v>
      </c>
      <c r="C1149" s="42" t="s">
        <v>6890</v>
      </c>
      <c r="D1149" s="43" t="s">
        <v>136</v>
      </c>
      <c r="E1149" s="43" t="s">
        <v>92</v>
      </c>
      <c r="F1149" s="42" t="s">
        <v>11469</v>
      </c>
      <c r="G1149" t="s">
        <v>13197</v>
      </c>
    </row>
    <row r="1150" spans="1:7" x14ac:dyDescent="0.3">
      <c r="A1150" s="42" t="s">
        <v>1102</v>
      </c>
      <c r="B1150" s="42" t="s">
        <v>1367</v>
      </c>
      <c r="C1150" s="42" t="s">
        <v>6891</v>
      </c>
      <c r="D1150" s="43" t="s">
        <v>136</v>
      </c>
      <c r="E1150" s="43" t="s">
        <v>92</v>
      </c>
      <c r="F1150" s="42" t="s">
        <v>11469</v>
      </c>
      <c r="G1150" t="s">
        <v>13197</v>
      </c>
    </row>
    <row r="1151" spans="1:7" x14ac:dyDescent="0.3">
      <c r="A1151" s="42" t="s">
        <v>1102</v>
      </c>
      <c r="B1151" s="42" t="s">
        <v>1368</v>
      </c>
      <c r="C1151" s="42" t="s">
        <v>6892</v>
      </c>
      <c r="D1151" s="43" t="s">
        <v>136</v>
      </c>
      <c r="E1151" s="43" t="s">
        <v>92</v>
      </c>
      <c r="F1151" s="42" t="s">
        <v>11469</v>
      </c>
      <c r="G1151" t="s">
        <v>13197</v>
      </c>
    </row>
    <row r="1152" spans="1:7" x14ac:dyDescent="0.3">
      <c r="A1152" s="42" t="s">
        <v>1102</v>
      </c>
      <c r="B1152" s="42" t="s">
        <v>1369</v>
      </c>
      <c r="C1152" s="42" t="s">
        <v>6893</v>
      </c>
      <c r="D1152" s="43" t="s">
        <v>136</v>
      </c>
      <c r="E1152" s="43" t="s">
        <v>92</v>
      </c>
      <c r="F1152" s="42" t="s">
        <v>11469</v>
      </c>
      <c r="G1152" t="s">
        <v>13197</v>
      </c>
    </row>
    <row r="1153" spans="1:7" x14ac:dyDescent="0.3">
      <c r="A1153" s="42" t="s">
        <v>1102</v>
      </c>
      <c r="B1153" s="42" t="s">
        <v>1370</v>
      </c>
      <c r="C1153" s="42" t="s">
        <v>6894</v>
      </c>
      <c r="D1153" s="43" t="s">
        <v>136</v>
      </c>
      <c r="E1153" s="43" t="s">
        <v>92</v>
      </c>
      <c r="F1153" s="42" t="s">
        <v>11469</v>
      </c>
      <c r="G1153" t="s">
        <v>13197</v>
      </c>
    </row>
    <row r="1154" spans="1:7" x14ac:dyDescent="0.3">
      <c r="A1154" s="42" t="s">
        <v>1102</v>
      </c>
      <c r="B1154" s="42" t="s">
        <v>1371</v>
      </c>
      <c r="C1154" s="42" t="s">
        <v>6895</v>
      </c>
      <c r="D1154" s="43" t="s">
        <v>136</v>
      </c>
      <c r="E1154" s="43" t="s">
        <v>92</v>
      </c>
      <c r="F1154" s="42" t="s">
        <v>11469</v>
      </c>
      <c r="G1154" t="s">
        <v>13197</v>
      </c>
    </row>
    <row r="1155" spans="1:7" x14ac:dyDescent="0.3">
      <c r="A1155" s="42" t="s">
        <v>1102</v>
      </c>
      <c r="B1155" s="42" t="s">
        <v>1372</v>
      </c>
      <c r="C1155" s="42" t="s">
        <v>6896</v>
      </c>
      <c r="D1155" s="43" t="s">
        <v>136</v>
      </c>
      <c r="E1155" s="43" t="s">
        <v>92</v>
      </c>
      <c r="F1155" s="42" t="s">
        <v>11469</v>
      </c>
      <c r="G1155" t="s">
        <v>13197</v>
      </c>
    </row>
    <row r="1156" spans="1:7" x14ac:dyDescent="0.3">
      <c r="A1156" s="42" t="s">
        <v>1102</v>
      </c>
      <c r="B1156" s="42" t="s">
        <v>1373</v>
      </c>
      <c r="C1156" s="42" t="s">
        <v>6897</v>
      </c>
      <c r="D1156" s="43" t="s">
        <v>136</v>
      </c>
      <c r="E1156" s="43" t="s">
        <v>92</v>
      </c>
      <c r="F1156" s="42" t="s">
        <v>11469</v>
      </c>
      <c r="G1156" t="s">
        <v>13197</v>
      </c>
    </row>
    <row r="1157" spans="1:7" x14ac:dyDescent="0.3">
      <c r="A1157" s="42" t="s">
        <v>1102</v>
      </c>
      <c r="B1157" s="42" t="s">
        <v>1374</v>
      </c>
      <c r="C1157" s="42" t="s">
        <v>6898</v>
      </c>
      <c r="D1157" s="43" t="s">
        <v>136</v>
      </c>
      <c r="E1157" s="43" t="s">
        <v>92</v>
      </c>
      <c r="F1157" s="42" t="s">
        <v>192</v>
      </c>
      <c r="G1157" t="s">
        <v>13196</v>
      </c>
    </row>
    <row r="1158" spans="1:7" x14ac:dyDescent="0.3">
      <c r="A1158" s="42" t="s">
        <v>1102</v>
      </c>
      <c r="B1158" s="42" t="s">
        <v>1375</v>
      </c>
      <c r="C1158" s="42" t="s">
        <v>6899</v>
      </c>
      <c r="D1158" s="43" t="s">
        <v>136</v>
      </c>
      <c r="E1158" s="43" t="s">
        <v>92</v>
      </c>
      <c r="F1158" s="42" t="s">
        <v>192</v>
      </c>
      <c r="G1158" t="s">
        <v>13196</v>
      </c>
    </row>
    <row r="1159" spans="1:7" x14ac:dyDescent="0.3">
      <c r="A1159" s="42" t="s">
        <v>1102</v>
      </c>
      <c r="B1159" s="42" t="s">
        <v>1376</v>
      </c>
      <c r="C1159" s="42" t="s">
        <v>6900</v>
      </c>
      <c r="D1159" s="43" t="s">
        <v>136</v>
      </c>
      <c r="E1159" s="43" t="s">
        <v>92</v>
      </c>
      <c r="F1159" s="42" t="s">
        <v>11469</v>
      </c>
      <c r="G1159" t="s">
        <v>13197</v>
      </c>
    </row>
    <row r="1160" spans="1:7" x14ac:dyDescent="0.3">
      <c r="A1160" s="42" t="s">
        <v>1102</v>
      </c>
      <c r="B1160" s="42" t="s">
        <v>1377</v>
      </c>
      <c r="C1160" s="42" t="s">
        <v>6901</v>
      </c>
      <c r="D1160" s="43" t="s">
        <v>136</v>
      </c>
      <c r="E1160" s="43" t="s">
        <v>92</v>
      </c>
      <c r="F1160" s="42" t="s">
        <v>11469</v>
      </c>
      <c r="G1160" t="s">
        <v>13197</v>
      </c>
    </row>
    <row r="1161" spans="1:7" x14ac:dyDescent="0.3">
      <c r="A1161" s="42" t="s">
        <v>1102</v>
      </c>
      <c r="B1161" s="42" t="s">
        <v>1378</v>
      </c>
      <c r="C1161" s="42" t="s">
        <v>6902</v>
      </c>
      <c r="D1161" s="43" t="s">
        <v>136</v>
      </c>
      <c r="E1161" s="43" t="s">
        <v>92</v>
      </c>
      <c r="F1161" s="42" t="s">
        <v>11469</v>
      </c>
      <c r="G1161" t="s">
        <v>13197</v>
      </c>
    </row>
    <row r="1162" spans="1:7" x14ac:dyDescent="0.3">
      <c r="A1162" s="42" t="s">
        <v>1102</v>
      </c>
      <c r="B1162" s="42" t="s">
        <v>1379</v>
      </c>
      <c r="C1162" s="42" t="s">
        <v>6903</v>
      </c>
      <c r="D1162" s="43" t="s">
        <v>136</v>
      </c>
      <c r="E1162" s="43" t="s">
        <v>92</v>
      </c>
      <c r="F1162" s="42" t="s">
        <v>11469</v>
      </c>
      <c r="G1162" t="s">
        <v>13197</v>
      </c>
    </row>
    <row r="1163" spans="1:7" x14ac:dyDescent="0.3">
      <c r="A1163" s="42" t="s">
        <v>1102</v>
      </c>
      <c r="B1163" s="42" t="s">
        <v>1380</v>
      </c>
      <c r="C1163" s="42" t="s">
        <v>6904</v>
      </c>
      <c r="D1163" s="43" t="s">
        <v>136</v>
      </c>
      <c r="E1163" s="43" t="s">
        <v>92</v>
      </c>
      <c r="F1163" s="42" t="s">
        <v>11469</v>
      </c>
      <c r="G1163" t="s">
        <v>13197</v>
      </c>
    </row>
    <row r="1164" spans="1:7" x14ac:dyDescent="0.3">
      <c r="A1164" s="42" t="s">
        <v>1102</v>
      </c>
      <c r="B1164" s="42" t="s">
        <v>1381</v>
      </c>
      <c r="C1164" s="42" t="s">
        <v>6905</v>
      </c>
      <c r="D1164" s="43" t="s">
        <v>136</v>
      </c>
      <c r="E1164" s="43" t="s">
        <v>92</v>
      </c>
      <c r="F1164" s="42" t="s">
        <v>11469</v>
      </c>
      <c r="G1164" t="s">
        <v>13197</v>
      </c>
    </row>
    <row r="1165" spans="1:7" x14ac:dyDescent="0.3">
      <c r="A1165" s="42" t="s">
        <v>1102</v>
      </c>
      <c r="B1165" s="42" t="s">
        <v>1382</v>
      </c>
      <c r="C1165" s="42" t="s">
        <v>6906</v>
      </c>
      <c r="D1165" s="43" t="s">
        <v>136</v>
      </c>
      <c r="E1165" s="43" t="s">
        <v>92</v>
      </c>
      <c r="F1165" s="42" t="s">
        <v>11469</v>
      </c>
      <c r="G1165" t="s">
        <v>13197</v>
      </c>
    </row>
    <row r="1166" spans="1:7" x14ac:dyDescent="0.3">
      <c r="A1166" s="42" t="s">
        <v>1102</v>
      </c>
      <c r="B1166" s="42" t="s">
        <v>1383</v>
      </c>
      <c r="C1166" s="42" t="s">
        <v>6907</v>
      </c>
      <c r="D1166" s="43" t="s">
        <v>136</v>
      </c>
      <c r="E1166" s="43" t="s">
        <v>92</v>
      </c>
      <c r="F1166" s="42" t="s">
        <v>192</v>
      </c>
      <c r="G1166" t="s">
        <v>13196</v>
      </c>
    </row>
    <row r="1167" spans="1:7" x14ac:dyDescent="0.3">
      <c r="A1167" s="42" t="s">
        <v>1102</v>
      </c>
      <c r="B1167" s="42" t="s">
        <v>1384</v>
      </c>
      <c r="C1167" s="42" t="s">
        <v>6908</v>
      </c>
      <c r="D1167" s="43" t="s">
        <v>136</v>
      </c>
      <c r="E1167" s="43" t="s">
        <v>92</v>
      </c>
      <c r="F1167" s="42" t="s">
        <v>11469</v>
      </c>
      <c r="G1167" t="s">
        <v>13197</v>
      </c>
    </row>
    <row r="1168" spans="1:7" x14ac:dyDescent="0.3">
      <c r="A1168" s="42" t="s">
        <v>1102</v>
      </c>
      <c r="B1168" s="42" t="s">
        <v>1385</v>
      </c>
      <c r="C1168" s="42" t="s">
        <v>6909</v>
      </c>
      <c r="D1168" s="43" t="s">
        <v>136</v>
      </c>
      <c r="E1168" s="43" t="s">
        <v>92</v>
      </c>
      <c r="F1168" s="42" t="s">
        <v>11469</v>
      </c>
      <c r="G1168" t="s">
        <v>13197</v>
      </c>
    </row>
    <row r="1169" spans="1:7" x14ac:dyDescent="0.3">
      <c r="A1169" s="42" t="s">
        <v>1102</v>
      </c>
      <c r="B1169" s="42" t="s">
        <v>1386</v>
      </c>
      <c r="C1169" s="42" t="s">
        <v>6910</v>
      </c>
      <c r="D1169" s="43" t="s">
        <v>136</v>
      </c>
      <c r="E1169" s="43" t="s">
        <v>92</v>
      </c>
      <c r="F1169" s="42" t="s">
        <v>11469</v>
      </c>
      <c r="G1169" t="s">
        <v>13197</v>
      </c>
    </row>
    <row r="1170" spans="1:7" x14ac:dyDescent="0.3">
      <c r="A1170" s="42" t="s">
        <v>1102</v>
      </c>
      <c r="B1170" s="42" t="s">
        <v>1387</v>
      </c>
      <c r="C1170" s="42" t="s">
        <v>6911</v>
      </c>
      <c r="D1170" s="43" t="s">
        <v>136</v>
      </c>
      <c r="E1170" s="43" t="s">
        <v>92</v>
      </c>
      <c r="F1170" s="42" t="s">
        <v>11469</v>
      </c>
      <c r="G1170" t="s">
        <v>13197</v>
      </c>
    </row>
    <row r="1171" spans="1:7" x14ac:dyDescent="0.3">
      <c r="A1171" s="42" t="s">
        <v>1102</v>
      </c>
      <c r="B1171" s="42" t="s">
        <v>1388</v>
      </c>
      <c r="C1171" s="42" t="s">
        <v>6912</v>
      </c>
      <c r="D1171" s="43" t="s">
        <v>136</v>
      </c>
      <c r="E1171" s="43" t="s">
        <v>92</v>
      </c>
      <c r="F1171" s="42" t="s">
        <v>11469</v>
      </c>
      <c r="G1171" t="s">
        <v>13197</v>
      </c>
    </row>
    <row r="1172" spans="1:7" x14ac:dyDescent="0.3">
      <c r="A1172" s="42" t="s">
        <v>1102</v>
      </c>
      <c r="B1172" s="42" t="s">
        <v>1389</v>
      </c>
      <c r="C1172" s="42" t="s">
        <v>6913</v>
      </c>
      <c r="D1172" s="43" t="s">
        <v>136</v>
      </c>
      <c r="E1172" s="43" t="s">
        <v>92</v>
      </c>
      <c r="F1172" s="42" t="s">
        <v>11469</v>
      </c>
      <c r="G1172" t="s">
        <v>13197</v>
      </c>
    </row>
    <row r="1173" spans="1:7" x14ac:dyDescent="0.3">
      <c r="A1173" s="42" t="s">
        <v>1102</v>
      </c>
      <c r="B1173" s="42" t="s">
        <v>1390</v>
      </c>
      <c r="C1173" s="42" t="s">
        <v>6914</v>
      </c>
      <c r="D1173" s="43" t="s">
        <v>136</v>
      </c>
      <c r="E1173" s="43" t="s">
        <v>92</v>
      </c>
      <c r="F1173" s="42" t="s">
        <v>11469</v>
      </c>
      <c r="G1173" t="s">
        <v>13197</v>
      </c>
    </row>
    <row r="1174" spans="1:7" x14ac:dyDescent="0.3">
      <c r="A1174" s="42" t="s">
        <v>1102</v>
      </c>
      <c r="B1174" s="42" t="s">
        <v>1391</v>
      </c>
      <c r="C1174" s="42" t="s">
        <v>6915</v>
      </c>
      <c r="D1174" s="43" t="s">
        <v>136</v>
      </c>
      <c r="E1174" s="43" t="s">
        <v>92</v>
      </c>
      <c r="F1174" s="42" t="s">
        <v>192</v>
      </c>
      <c r="G1174" t="s">
        <v>13196</v>
      </c>
    </row>
    <row r="1175" spans="1:7" x14ac:dyDescent="0.3">
      <c r="A1175" s="42" t="s">
        <v>1102</v>
      </c>
      <c r="B1175" s="42" t="s">
        <v>1392</v>
      </c>
      <c r="C1175" s="42" t="s">
        <v>6916</v>
      </c>
      <c r="D1175" s="43" t="s">
        <v>136</v>
      </c>
      <c r="E1175" s="43" t="s">
        <v>92</v>
      </c>
      <c r="F1175" s="42" t="s">
        <v>192</v>
      </c>
      <c r="G1175" t="s">
        <v>13197</v>
      </c>
    </row>
    <row r="1176" spans="1:7" x14ac:dyDescent="0.3">
      <c r="A1176" s="42" t="s">
        <v>1102</v>
      </c>
      <c r="B1176" s="42" t="s">
        <v>1393</v>
      </c>
      <c r="C1176" s="42" t="s">
        <v>6917</v>
      </c>
      <c r="D1176" s="43" t="s">
        <v>136</v>
      </c>
      <c r="E1176" s="43" t="s">
        <v>92</v>
      </c>
      <c r="F1176" s="42" t="s">
        <v>11469</v>
      </c>
      <c r="G1176" t="s">
        <v>13197</v>
      </c>
    </row>
    <row r="1177" spans="1:7" x14ac:dyDescent="0.3">
      <c r="A1177" s="42" t="s">
        <v>1102</v>
      </c>
      <c r="B1177" s="42" t="s">
        <v>1394</v>
      </c>
      <c r="C1177" s="42" t="s">
        <v>6918</v>
      </c>
      <c r="D1177" s="43" t="s">
        <v>136</v>
      </c>
      <c r="E1177" s="43" t="s">
        <v>92</v>
      </c>
      <c r="F1177" s="42" t="s">
        <v>11469</v>
      </c>
      <c r="G1177" t="s">
        <v>13197</v>
      </c>
    </row>
    <row r="1178" spans="1:7" x14ac:dyDescent="0.3">
      <c r="A1178" s="42" t="s">
        <v>1102</v>
      </c>
      <c r="B1178" s="42" t="s">
        <v>1395</v>
      </c>
      <c r="C1178" s="42" t="s">
        <v>6919</v>
      </c>
      <c r="D1178" s="43" t="s">
        <v>136</v>
      </c>
      <c r="E1178" s="43" t="s">
        <v>92</v>
      </c>
      <c r="F1178" s="42" t="s">
        <v>11469</v>
      </c>
      <c r="G1178" t="s">
        <v>13197</v>
      </c>
    </row>
    <row r="1179" spans="1:7" x14ac:dyDescent="0.3">
      <c r="A1179" s="42" t="s">
        <v>1102</v>
      </c>
      <c r="B1179" s="42" t="s">
        <v>1396</v>
      </c>
      <c r="C1179" s="42" t="s">
        <v>6920</v>
      </c>
      <c r="D1179" s="43" t="s">
        <v>136</v>
      </c>
      <c r="E1179" s="43" t="s">
        <v>92</v>
      </c>
      <c r="F1179" s="42" t="s">
        <v>11469</v>
      </c>
      <c r="G1179" t="s">
        <v>13197</v>
      </c>
    </row>
    <row r="1180" spans="1:7" x14ac:dyDescent="0.3">
      <c r="A1180" s="42" t="s">
        <v>1102</v>
      </c>
      <c r="B1180" s="42" t="s">
        <v>1397</v>
      </c>
      <c r="C1180" s="42" t="s">
        <v>6921</v>
      </c>
      <c r="D1180" s="43" t="s">
        <v>136</v>
      </c>
      <c r="E1180" s="43" t="s">
        <v>92</v>
      </c>
      <c r="F1180" s="42" t="s">
        <v>11469</v>
      </c>
      <c r="G1180" t="s">
        <v>13197</v>
      </c>
    </row>
    <row r="1181" spans="1:7" x14ac:dyDescent="0.3">
      <c r="A1181" s="42" t="s">
        <v>1102</v>
      </c>
      <c r="B1181" s="42" t="s">
        <v>1398</v>
      </c>
      <c r="C1181" s="42" t="s">
        <v>6922</v>
      </c>
      <c r="D1181" s="43" t="s">
        <v>136</v>
      </c>
      <c r="E1181" s="43" t="s">
        <v>92</v>
      </c>
      <c r="F1181" s="42" t="s">
        <v>11469</v>
      </c>
      <c r="G1181" t="s">
        <v>13197</v>
      </c>
    </row>
    <row r="1182" spans="1:7" x14ac:dyDescent="0.3">
      <c r="A1182" s="42" t="s">
        <v>1102</v>
      </c>
      <c r="B1182" s="42" t="s">
        <v>1399</v>
      </c>
      <c r="C1182" s="42" t="s">
        <v>6923</v>
      </c>
      <c r="D1182" s="43" t="s">
        <v>136</v>
      </c>
      <c r="E1182" s="43" t="s">
        <v>92</v>
      </c>
      <c r="F1182" s="42" t="s">
        <v>11469</v>
      </c>
      <c r="G1182" t="s">
        <v>13197</v>
      </c>
    </row>
    <row r="1183" spans="1:7" x14ac:dyDescent="0.3">
      <c r="A1183" s="42" t="s">
        <v>1102</v>
      </c>
      <c r="B1183" s="42" t="s">
        <v>1400</v>
      </c>
      <c r="C1183" s="42" t="s">
        <v>6924</v>
      </c>
      <c r="D1183" s="43" t="s">
        <v>136</v>
      </c>
      <c r="E1183" s="43" t="s">
        <v>92</v>
      </c>
      <c r="F1183" s="42" t="s">
        <v>11469</v>
      </c>
      <c r="G1183" t="s">
        <v>13197</v>
      </c>
    </row>
    <row r="1184" spans="1:7" x14ac:dyDescent="0.3">
      <c r="A1184" s="42" t="s">
        <v>1102</v>
      </c>
      <c r="B1184" s="42" t="s">
        <v>1401</v>
      </c>
      <c r="C1184" s="42" t="s">
        <v>6925</v>
      </c>
      <c r="D1184" s="43" t="s">
        <v>136</v>
      </c>
      <c r="E1184" s="43" t="s">
        <v>92</v>
      </c>
      <c r="F1184" s="42" t="s">
        <v>11469</v>
      </c>
      <c r="G1184" t="s">
        <v>13197</v>
      </c>
    </row>
    <row r="1185" spans="1:7" x14ac:dyDescent="0.3">
      <c r="A1185" s="42" t="s">
        <v>1102</v>
      </c>
      <c r="B1185" s="42" t="s">
        <v>1402</v>
      </c>
      <c r="C1185" s="42" t="s">
        <v>6926</v>
      </c>
      <c r="D1185" s="43" t="s">
        <v>136</v>
      </c>
      <c r="E1185" s="43" t="s">
        <v>92</v>
      </c>
      <c r="F1185" s="42" t="s">
        <v>192</v>
      </c>
      <c r="G1185" t="s">
        <v>13196</v>
      </c>
    </row>
    <row r="1186" spans="1:7" x14ac:dyDescent="0.3">
      <c r="A1186" s="42" t="s">
        <v>1102</v>
      </c>
      <c r="B1186" s="42" t="s">
        <v>1403</v>
      </c>
      <c r="C1186" s="42" t="s">
        <v>6927</v>
      </c>
      <c r="D1186" s="43" t="s">
        <v>136</v>
      </c>
      <c r="E1186" s="43" t="s">
        <v>92</v>
      </c>
      <c r="F1186" s="42" t="s">
        <v>11469</v>
      </c>
      <c r="G1186" t="s">
        <v>13197</v>
      </c>
    </row>
    <row r="1187" spans="1:7" x14ac:dyDescent="0.3">
      <c r="A1187" s="42" t="s">
        <v>1102</v>
      </c>
      <c r="B1187" s="42" t="s">
        <v>1404</v>
      </c>
      <c r="C1187" s="42" t="s">
        <v>6928</v>
      </c>
      <c r="D1187" s="43" t="s">
        <v>136</v>
      </c>
      <c r="E1187" s="43" t="s">
        <v>92</v>
      </c>
      <c r="F1187" s="42" t="s">
        <v>11469</v>
      </c>
      <c r="G1187" t="s">
        <v>13197</v>
      </c>
    </row>
    <row r="1188" spans="1:7" x14ac:dyDescent="0.3">
      <c r="A1188" s="42" t="s">
        <v>1102</v>
      </c>
      <c r="B1188" s="42" t="s">
        <v>1405</v>
      </c>
      <c r="C1188" s="42" t="s">
        <v>6929</v>
      </c>
      <c r="D1188" s="43" t="s">
        <v>136</v>
      </c>
      <c r="E1188" s="43" t="s">
        <v>92</v>
      </c>
      <c r="F1188" s="42" t="s">
        <v>192</v>
      </c>
      <c r="G1188" t="s">
        <v>13197</v>
      </c>
    </row>
    <row r="1189" spans="1:7" x14ac:dyDescent="0.3">
      <c r="A1189" s="42" t="s">
        <v>1102</v>
      </c>
      <c r="B1189" s="42" t="s">
        <v>1406</v>
      </c>
      <c r="C1189" s="42" t="s">
        <v>6930</v>
      </c>
      <c r="D1189" s="43" t="s">
        <v>136</v>
      </c>
      <c r="E1189" s="43" t="s">
        <v>92</v>
      </c>
      <c r="F1189" s="42" t="s">
        <v>11469</v>
      </c>
      <c r="G1189" t="s">
        <v>13197</v>
      </c>
    </row>
    <row r="1190" spans="1:7" x14ac:dyDescent="0.3">
      <c r="A1190" s="42" t="s">
        <v>1102</v>
      </c>
      <c r="B1190" s="42" t="s">
        <v>1407</v>
      </c>
      <c r="C1190" s="42" t="s">
        <v>6931</v>
      </c>
      <c r="D1190" s="43" t="s">
        <v>136</v>
      </c>
      <c r="E1190" s="43" t="s">
        <v>92</v>
      </c>
      <c r="F1190" s="42" t="s">
        <v>11469</v>
      </c>
      <c r="G1190" t="s">
        <v>13197</v>
      </c>
    </row>
    <row r="1191" spans="1:7" x14ac:dyDescent="0.3">
      <c r="A1191" s="42" t="s">
        <v>1102</v>
      </c>
      <c r="B1191" s="42" t="s">
        <v>1408</v>
      </c>
      <c r="C1191" s="42" t="s">
        <v>6932</v>
      </c>
      <c r="D1191" s="43" t="s">
        <v>136</v>
      </c>
      <c r="E1191" s="43" t="s">
        <v>92</v>
      </c>
      <c r="F1191" s="42" t="s">
        <v>11469</v>
      </c>
      <c r="G1191" t="s">
        <v>13197</v>
      </c>
    </row>
    <row r="1192" spans="1:7" x14ac:dyDescent="0.3">
      <c r="A1192" s="42" t="s">
        <v>1102</v>
      </c>
      <c r="B1192" s="42" t="s">
        <v>1409</v>
      </c>
      <c r="C1192" s="42" t="s">
        <v>6933</v>
      </c>
      <c r="D1192" s="43" t="s">
        <v>136</v>
      </c>
      <c r="E1192" s="43" t="s">
        <v>92</v>
      </c>
      <c r="F1192" s="42" t="s">
        <v>192</v>
      </c>
      <c r="G1192" t="s">
        <v>13196</v>
      </c>
    </row>
    <row r="1193" spans="1:7" x14ac:dyDescent="0.3">
      <c r="A1193" s="42" t="s">
        <v>1102</v>
      </c>
      <c r="B1193" s="42" t="s">
        <v>1410</v>
      </c>
      <c r="C1193" s="42" t="s">
        <v>6934</v>
      </c>
      <c r="D1193" s="43" t="s">
        <v>136</v>
      </c>
      <c r="E1193" s="43" t="s">
        <v>92</v>
      </c>
      <c r="F1193" s="42" t="s">
        <v>11469</v>
      </c>
      <c r="G1193" t="s">
        <v>13197</v>
      </c>
    </row>
    <row r="1194" spans="1:7" x14ac:dyDescent="0.3">
      <c r="A1194" s="42" t="s">
        <v>1102</v>
      </c>
      <c r="B1194" s="42" t="s">
        <v>1411</v>
      </c>
      <c r="C1194" s="42" t="s">
        <v>6935</v>
      </c>
      <c r="D1194" s="43" t="s">
        <v>136</v>
      </c>
      <c r="E1194" s="43" t="s">
        <v>92</v>
      </c>
      <c r="F1194" s="42" t="s">
        <v>11469</v>
      </c>
      <c r="G1194" t="s">
        <v>13197</v>
      </c>
    </row>
    <row r="1195" spans="1:7" x14ac:dyDescent="0.3">
      <c r="A1195" s="42" t="s">
        <v>1102</v>
      </c>
      <c r="B1195" s="42" t="s">
        <v>1412</v>
      </c>
      <c r="C1195" s="42" t="s">
        <v>6936</v>
      </c>
      <c r="D1195" s="43" t="s">
        <v>136</v>
      </c>
      <c r="E1195" s="43" t="s">
        <v>92</v>
      </c>
      <c r="F1195" s="42" t="s">
        <v>11469</v>
      </c>
      <c r="G1195" t="s">
        <v>13197</v>
      </c>
    </row>
    <row r="1196" spans="1:7" x14ac:dyDescent="0.3">
      <c r="A1196" s="42" t="s">
        <v>1102</v>
      </c>
      <c r="B1196" s="42" t="s">
        <v>1413</v>
      </c>
      <c r="C1196" s="42" t="s">
        <v>6937</v>
      </c>
      <c r="D1196" s="43" t="s">
        <v>136</v>
      </c>
      <c r="E1196" s="43" t="s">
        <v>92</v>
      </c>
      <c r="F1196" s="42" t="s">
        <v>11469</v>
      </c>
      <c r="G1196" t="s">
        <v>13197</v>
      </c>
    </row>
    <row r="1197" spans="1:7" x14ac:dyDescent="0.3">
      <c r="A1197" s="42" t="s">
        <v>1102</v>
      </c>
      <c r="B1197" s="42" t="s">
        <v>1414</v>
      </c>
      <c r="C1197" s="42" t="s">
        <v>6938</v>
      </c>
      <c r="D1197" s="43" t="s">
        <v>136</v>
      </c>
      <c r="E1197" s="43" t="s">
        <v>92</v>
      </c>
      <c r="F1197" s="42" t="s">
        <v>11469</v>
      </c>
      <c r="G1197" t="s">
        <v>13197</v>
      </c>
    </row>
    <row r="1198" spans="1:7" x14ac:dyDescent="0.3">
      <c r="A1198" s="42" t="s">
        <v>1102</v>
      </c>
      <c r="B1198" s="42" t="s">
        <v>1415</v>
      </c>
      <c r="C1198" s="42" t="s">
        <v>6939</v>
      </c>
      <c r="D1198" s="43" t="s">
        <v>136</v>
      </c>
      <c r="E1198" s="43" t="s">
        <v>92</v>
      </c>
      <c r="F1198" s="42" t="s">
        <v>11469</v>
      </c>
      <c r="G1198" t="s">
        <v>13197</v>
      </c>
    </row>
    <row r="1199" spans="1:7" x14ac:dyDescent="0.3">
      <c r="A1199" s="42" t="s">
        <v>1102</v>
      </c>
      <c r="B1199" s="42" t="s">
        <v>1416</v>
      </c>
      <c r="C1199" s="42" t="s">
        <v>6940</v>
      </c>
      <c r="D1199" s="43" t="s">
        <v>136</v>
      </c>
      <c r="E1199" s="43" t="s">
        <v>92</v>
      </c>
      <c r="F1199" s="42" t="s">
        <v>11469</v>
      </c>
      <c r="G1199" t="s">
        <v>13197</v>
      </c>
    </row>
    <row r="1200" spans="1:7" x14ac:dyDescent="0.3">
      <c r="A1200" s="42" t="s">
        <v>1102</v>
      </c>
      <c r="B1200" s="42" t="s">
        <v>1417</v>
      </c>
      <c r="C1200" s="42" t="s">
        <v>6941</v>
      </c>
      <c r="D1200" s="43" t="s">
        <v>136</v>
      </c>
      <c r="E1200" s="43" t="s">
        <v>92</v>
      </c>
      <c r="F1200" s="42" t="s">
        <v>11469</v>
      </c>
      <c r="G1200" t="s">
        <v>13197</v>
      </c>
    </row>
    <row r="1201" spans="1:7" x14ac:dyDescent="0.3">
      <c r="A1201" s="42" t="s">
        <v>1102</v>
      </c>
      <c r="B1201" s="42" t="s">
        <v>1418</v>
      </c>
      <c r="C1201" s="42" t="s">
        <v>6942</v>
      </c>
      <c r="D1201" s="43" t="s">
        <v>136</v>
      </c>
      <c r="E1201" s="43" t="s">
        <v>92</v>
      </c>
      <c r="F1201" s="42" t="s">
        <v>11469</v>
      </c>
      <c r="G1201" t="s">
        <v>13197</v>
      </c>
    </row>
    <row r="1202" spans="1:7" x14ac:dyDescent="0.3">
      <c r="A1202" s="42" t="s">
        <v>1102</v>
      </c>
      <c r="B1202" s="42" t="s">
        <v>1419</v>
      </c>
      <c r="C1202" s="42" t="s">
        <v>6943</v>
      </c>
      <c r="D1202" s="43" t="s">
        <v>136</v>
      </c>
      <c r="E1202" s="43" t="s">
        <v>92</v>
      </c>
      <c r="F1202" s="42" t="s">
        <v>11469</v>
      </c>
      <c r="G1202" t="s">
        <v>13197</v>
      </c>
    </row>
    <row r="1203" spans="1:7" x14ac:dyDescent="0.3">
      <c r="A1203" s="42" t="s">
        <v>1102</v>
      </c>
      <c r="B1203" s="42" t="s">
        <v>1420</v>
      </c>
      <c r="C1203" s="42" t="s">
        <v>6944</v>
      </c>
      <c r="D1203" s="43" t="s">
        <v>136</v>
      </c>
      <c r="E1203" s="43" t="s">
        <v>92</v>
      </c>
      <c r="F1203" s="42" t="s">
        <v>11469</v>
      </c>
      <c r="G1203" t="s">
        <v>13197</v>
      </c>
    </row>
    <row r="1204" spans="1:7" x14ac:dyDescent="0.3">
      <c r="A1204" s="42" t="s">
        <v>1102</v>
      </c>
      <c r="B1204" s="42" t="s">
        <v>1421</v>
      </c>
      <c r="C1204" s="42" t="s">
        <v>6945</v>
      </c>
      <c r="D1204" s="43" t="s">
        <v>136</v>
      </c>
      <c r="E1204" s="43" t="s">
        <v>92</v>
      </c>
      <c r="F1204" s="42" t="s">
        <v>11469</v>
      </c>
      <c r="G1204" t="s">
        <v>13197</v>
      </c>
    </row>
    <row r="1205" spans="1:7" x14ac:dyDescent="0.3">
      <c r="A1205" s="42" t="s">
        <v>1102</v>
      </c>
      <c r="B1205" s="42" t="s">
        <v>1422</v>
      </c>
      <c r="C1205" s="42" t="s">
        <v>6946</v>
      </c>
      <c r="D1205" s="43" t="s">
        <v>136</v>
      </c>
      <c r="E1205" s="43" t="s">
        <v>92</v>
      </c>
      <c r="F1205" s="42" t="s">
        <v>11469</v>
      </c>
      <c r="G1205" t="s">
        <v>13197</v>
      </c>
    </row>
    <row r="1206" spans="1:7" x14ac:dyDescent="0.3">
      <c r="A1206" s="42" t="s">
        <v>1102</v>
      </c>
      <c r="B1206" s="42" t="s">
        <v>1423</v>
      </c>
      <c r="C1206" s="42" t="s">
        <v>6947</v>
      </c>
      <c r="D1206" s="43" t="s">
        <v>136</v>
      </c>
      <c r="E1206" s="43" t="s">
        <v>92</v>
      </c>
      <c r="F1206" s="42" t="s">
        <v>11469</v>
      </c>
      <c r="G1206" t="s">
        <v>13197</v>
      </c>
    </row>
    <row r="1207" spans="1:7" x14ac:dyDescent="0.3">
      <c r="A1207" s="42" t="s">
        <v>1102</v>
      </c>
      <c r="B1207" s="42" t="s">
        <v>1424</v>
      </c>
      <c r="C1207" s="42" t="s">
        <v>6948</v>
      </c>
      <c r="D1207" s="43" t="s">
        <v>136</v>
      </c>
      <c r="E1207" s="43" t="s">
        <v>92</v>
      </c>
      <c r="F1207" s="42" t="s">
        <v>11469</v>
      </c>
      <c r="G1207" t="s">
        <v>13197</v>
      </c>
    </row>
    <row r="1208" spans="1:7" x14ac:dyDescent="0.3">
      <c r="A1208" s="42" t="s">
        <v>1102</v>
      </c>
      <c r="B1208" s="42" t="s">
        <v>1425</v>
      </c>
      <c r="C1208" s="42" t="s">
        <v>6949</v>
      </c>
      <c r="D1208" s="43" t="s">
        <v>136</v>
      </c>
      <c r="E1208" s="43" t="s">
        <v>92</v>
      </c>
      <c r="F1208" s="42" t="s">
        <v>11469</v>
      </c>
      <c r="G1208" t="s">
        <v>13197</v>
      </c>
    </row>
    <row r="1209" spans="1:7" x14ac:dyDescent="0.3">
      <c r="A1209" s="42" t="s">
        <v>1102</v>
      </c>
      <c r="B1209" s="42" t="s">
        <v>1426</v>
      </c>
      <c r="C1209" s="42" t="s">
        <v>6950</v>
      </c>
      <c r="D1209" s="43" t="s">
        <v>136</v>
      </c>
      <c r="E1209" s="43" t="s">
        <v>92</v>
      </c>
      <c r="F1209" s="42" t="s">
        <v>11469</v>
      </c>
      <c r="G1209" t="s">
        <v>13197</v>
      </c>
    </row>
    <row r="1210" spans="1:7" x14ac:dyDescent="0.3">
      <c r="A1210" s="42" t="s">
        <v>1102</v>
      </c>
      <c r="B1210" s="42" t="s">
        <v>1427</v>
      </c>
      <c r="C1210" s="42" t="s">
        <v>6951</v>
      </c>
      <c r="D1210" s="43" t="s">
        <v>136</v>
      </c>
      <c r="E1210" s="43" t="s">
        <v>92</v>
      </c>
      <c r="F1210" s="42" t="s">
        <v>11469</v>
      </c>
      <c r="G1210" t="s">
        <v>13197</v>
      </c>
    </row>
    <row r="1211" spans="1:7" x14ac:dyDescent="0.3">
      <c r="A1211" s="42" t="s">
        <v>1102</v>
      </c>
      <c r="B1211" s="42" t="s">
        <v>1428</v>
      </c>
      <c r="C1211" s="42" t="s">
        <v>6952</v>
      </c>
      <c r="D1211" s="43" t="s">
        <v>136</v>
      </c>
      <c r="E1211" s="43" t="s">
        <v>92</v>
      </c>
      <c r="F1211" s="42" t="s">
        <v>11469</v>
      </c>
      <c r="G1211" t="s">
        <v>13197</v>
      </c>
    </row>
    <row r="1212" spans="1:7" x14ac:dyDescent="0.3">
      <c r="A1212" s="42" t="s">
        <v>1429</v>
      </c>
      <c r="B1212" s="42" t="s">
        <v>1429</v>
      </c>
      <c r="C1212" s="42" t="s">
        <v>6953</v>
      </c>
      <c r="D1212" s="43" t="s">
        <v>228</v>
      </c>
      <c r="E1212" s="43" t="s">
        <v>1430</v>
      </c>
      <c r="F1212" s="42" t="s">
        <v>11469</v>
      </c>
      <c r="G1212" t="s">
        <v>13200</v>
      </c>
    </row>
    <row r="1213" spans="1:7" x14ac:dyDescent="0.3">
      <c r="A1213" s="42" t="s">
        <v>1429</v>
      </c>
      <c r="B1213" s="42" t="s">
        <v>1431</v>
      </c>
      <c r="C1213" s="42" t="s">
        <v>6954</v>
      </c>
      <c r="D1213" s="43" t="s">
        <v>228</v>
      </c>
      <c r="E1213" s="43" t="s">
        <v>1430</v>
      </c>
      <c r="F1213" s="42" t="s">
        <v>11469</v>
      </c>
      <c r="G1213" t="s">
        <v>13198</v>
      </c>
    </row>
    <row r="1214" spans="1:7" x14ac:dyDescent="0.3">
      <c r="A1214" s="42" t="s">
        <v>1432</v>
      </c>
      <c r="B1214" s="42" t="s">
        <v>1433</v>
      </c>
      <c r="C1214" s="42" t="s">
        <v>6955</v>
      </c>
      <c r="D1214" s="43" t="s">
        <v>136</v>
      </c>
      <c r="E1214" s="43" t="s">
        <v>92</v>
      </c>
      <c r="F1214" s="42" t="s">
        <v>192</v>
      </c>
      <c r="G1214" t="s">
        <v>13196</v>
      </c>
    </row>
    <row r="1215" spans="1:7" x14ac:dyDescent="0.3">
      <c r="A1215" s="42" t="s">
        <v>1432</v>
      </c>
      <c r="B1215" s="42" t="s">
        <v>1434</v>
      </c>
      <c r="C1215" s="42" t="s">
        <v>6956</v>
      </c>
      <c r="D1215" s="43" t="s">
        <v>136</v>
      </c>
      <c r="E1215" s="43" t="s">
        <v>92</v>
      </c>
      <c r="F1215" s="42" t="s">
        <v>11469</v>
      </c>
      <c r="G1215" t="s">
        <v>13197</v>
      </c>
    </row>
    <row r="1216" spans="1:7" x14ac:dyDescent="0.3">
      <c r="A1216" s="42" t="s">
        <v>1432</v>
      </c>
      <c r="B1216" s="42" t="s">
        <v>1435</v>
      </c>
      <c r="C1216" s="42" t="s">
        <v>6957</v>
      </c>
      <c r="D1216" s="43" t="s">
        <v>136</v>
      </c>
      <c r="E1216" s="43" t="s">
        <v>92</v>
      </c>
      <c r="F1216" s="42" t="s">
        <v>11469</v>
      </c>
      <c r="G1216" t="s">
        <v>13197</v>
      </c>
    </row>
    <row r="1217" spans="1:7" x14ac:dyDescent="0.3">
      <c r="A1217" s="42" t="s">
        <v>1432</v>
      </c>
      <c r="B1217" s="42" t="s">
        <v>1436</v>
      </c>
      <c r="C1217" s="42" t="s">
        <v>6958</v>
      </c>
      <c r="D1217" s="43" t="s">
        <v>136</v>
      </c>
      <c r="E1217" s="43" t="s">
        <v>92</v>
      </c>
      <c r="F1217" s="42" t="s">
        <v>192</v>
      </c>
      <c r="G1217" t="s">
        <v>13196</v>
      </c>
    </row>
    <row r="1218" spans="1:7" x14ac:dyDescent="0.3">
      <c r="A1218" s="42" t="s">
        <v>1432</v>
      </c>
      <c r="B1218" s="42" t="s">
        <v>1437</v>
      </c>
      <c r="C1218" s="42" t="s">
        <v>6959</v>
      </c>
      <c r="D1218" s="43" t="s">
        <v>136</v>
      </c>
      <c r="E1218" s="43" t="s">
        <v>92</v>
      </c>
      <c r="F1218" s="42" t="s">
        <v>11469</v>
      </c>
      <c r="G1218" t="s">
        <v>13197</v>
      </c>
    </row>
    <row r="1219" spans="1:7" x14ac:dyDescent="0.3">
      <c r="A1219" s="42" t="s">
        <v>1432</v>
      </c>
      <c r="B1219" s="42" t="s">
        <v>1438</v>
      </c>
      <c r="C1219" s="42" t="s">
        <v>6960</v>
      </c>
      <c r="D1219" s="43" t="s">
        <v>136</v>
      </c>
      <c r="E1219" s="43" t="s">
        <v>92</v>
      </c>
      <c r="F1219" s="42" t="s">
        <v>11469</v>
      </c>
      <c r="G1219" t="s">
        <v>13197</v>
      </c>
    </row>
    <row r="1220" spans="1:7" x14ac:dyDescent="0.3">
      <c r="A1220" s="42" t="s">
        <v>1432</v>
      </c>
      <c r="B1220" s="42" t="s">
        <v>1439</v>
      </c>
      <c r="C1220" s="42" t="s">
        <v>6961</v>
      </c>
      <c r="D1220" s="43" t="s">
        <v>136</v>
      </c>
      <c r="E1220" s="43" t="s">
        <v>92</v>
      </c>
      <c r="F1220" s="42" t="s">
        <v>11469</v>
      </c>
      <c r="G1220" t="s">
        <v>13197</v>
      </c>
    </row>
    <row r="1221" spans="1:7" x14ac:dyDescent="0.3">
      <c r="A1221" s="42" t="s">
        <v>1432</v>
      </c>
      <c r="B1221" s="42" t="s">
        <v>1440</v>
      </c>
      <c r="C1221" s="42" t="s">
        <v>6962</v>
      </c>
      <c r="D1221" s="43" t="s">
        <v>136</v>
      </c>
      <c r="E1221" s="43" t="s">
        <v>92</v>
      </c>
      <c r="F1221" s="42" t="s">
        <v>11469</v>
      </c>
      <c r="G1221" t="s">
        <v>13197</v>
      </c>
    </row>
    <row r="1222" spans="1:7" x14ac:dyDescent="0.3">
      <c r="A1222" s="42" t="s">
        <v>1432</v>
      </c>
      <c r="B1222" s="42" t="s">
        <v>1441</v>
      </c>
      <c r="C1222" s="42" t="s">
        <v>6963</v>
      </c>
      <c r="D1222" s="43" t="s">
        <v>136</v>
      </c>
      <c r="E1222" s="43" t="s">
        <v>92</v>
      </c>
      <c r="F1222" s="42" t="s">
        <v>11469</v>
      </c>
      <c r="G1222" t="s">
        <v>13197</v>
      </c>
    </row>
    <row r="1223" spans="1:7" x14ac:dyDescent="0.3">
      <c r="A1223" s="42" t="s">
        <v>1432</v>
      </c>
      <c r="B1223" s="42" t="s">
        <v>1442</v>
      </c>
      <c r="C1223" s="42" t="s">
        <v>6964</v>
      </c>
      <c r="D1223" s="43" t="s">
        <v>136</v>
      </c>
      <c r="E1223" s="43" t="s">
        <v>92</v>
      </c>
      <c r="F1223" s="42" t="s">
        <v>11469</v>
      </c>
      <c r="G1223" t="s">
        <v>13197</v>
      </c>
    </row>
    <row r="1224" spans="1:7" x14ac:dyDescent="0.3">
      <c r="A1224" s="42" t="s">
        <v>1432</v>
      </c>
      <c r="B1224" s="42" t="s">
        <v>1443</v>
      </c>
      <c r="C1224" s="42" t="s">
        <v>6965</v>
      </c>
      <c r="D1224" s="43" t="s">
        <v>136</v>
      </c>
      <c r="E1224" s="43" t="s">
        <v>92</v>
      </c>
      <c r="F1224" s="42" t="s">
        <v>11469</v>
      </c>
      <c r="G1224" t="s">
        <v>13197</v>
      </c>
    </row>
    <row r="1225" spans="1:7" x14ac:dyDescent="0.3">
      <c r="A1225" s="42" t="s">
        <v>1432</v>
      </c>
      <c r="B1225" s="42" t="s">
        <v>1444</v>
      </c>
      <c r="C1225" s="42" t="s">
        <v>6966</v>
      </c>
      <c r="D1225" s="43" t="s">
        <v>136</v>
      </c>
      <c r="E1225" s="43" t="s">
        <v>92</v>
      </c>
      <c r="F1225" s="42" t="s">
        <v>11469</v>
      </c>
      <c r="G1225" t="s">
        <v>13197</v>
      </c>
    </row>
    <row r="1226" spans="1:7" x14ac:dyDescent="0.3">
      <c r="A1226" s="42" t="s">
        <v>1432</v>
      </c>
      <c r="B1226" s="42" t="s">
        <v>1445</v>
      </c>
      <c r="C1226" s="42" t="s">
        <v>6967</v>
      </c>
      <c r="D1226" s="43" t="s">
        <v>136</v>
      </c>
      <c r="E1226" s="43" t="s">
        <v>92</v>
      </c>
      <c r="F1226" s="42" t="s">
        <v>11469</v>
      </c>
      <c r="G1226" t="s">
        <v>13197</v>
      </c>
    </row>
    <row r="1227" spans="1:7" x14ac:dyDescent="0.3">
      <c r="A1227" s="42" t="s">
        <v>1432</v>
      </c>
      <c r="B1227" s="42" t="s">
        <v>1446</v>
      </c>
      <c r="C1227" s="42" t="s">
        <v>6968</v>
      </c>
      <c r="D1227" s="43" t="s">
        <v>136</v>
      </c>
      <c r="E1227" s="43" t="s">
        <v>92</v>
      </c>
      <c r="F1227" s="42" t="s">
        <v>11469</v>
      </c>
      <c r="G1227" t="s">
        <v>13197</v>
      </c>
    </row>
    <row r="1228" spans="1:7" x14ac:dyDescent="0.3">
      <c r="A1228" s="42" t="s">
        <v>1432</v>
      </c>
      <c r="B1228" s="42" t="s">
        <v>1447</v>
      </c>
      <c r="C1228" s="42" t="s">
        <v>6969</v>
      </c>
      <c r="D1228" s="43" t="s">
        <v>136</v>
      </c>
      <c r="E1228" s="43" t="s">
        <v>92</v>
      </c>
      <c r="F1228" s="42" t="s">
        <v>11469</v>
      </c>
      <c r="G1228" t="s">
        <v>13197</v>
      </c>
    </row>
    <row r="1229" spans="1:7" x14ac:dyDescent="0.3">
      <c r="A1229" s="42" t="s">
        <v>1432</v>
      </c>
      <c r="B1229" s="42" t="s">
        <v>1448</v>
      </c>
      <c r="C1229" s="42" t="s">
        <v>6970</v>
      </c>
      <c r="D1229" s="43" t="s">
        <v>136</v>
      </c>
      <c r="E1229" s="43" t="s">
        <v>92</v>
      </c>
      <c r="F1229" s="42" t="s">
        <v>11469</v>
      </c>
      <c r="G1229" t="s">
        <v>13197</v>
      </c>
    </row>
    <row r="1230" spans="1:7" x14ac:dyDescent="0.3">
      <c r="A1230" s="42" t="s">
        <v>1432</v>
      </c>
      <c r="B1230" s="42" t="s">
        <v>1449</v>
      </c>
      <c r="C1230" s="42" t="s">
        <v>6971</v>
      </c>
      <c r="D1230" s="43" t="s">
        <v>136</v>
      </c>
      <c r="E1230" s="43" t="s">
        <v>92</v>
      </c>
      <c r="F1230" s="42" t="s">
        <v>11469</v>
      </c>
      <c r="G1230" t="s">
        <v>13197</v>
      </c>
    </row>
    <row r="1231" spans="1:7" x14ac:dyDescent="0.3">
      <c r="A1231" s="42" t="s">
        <v>1432</v>
      </c>
      <c r="B1231" s="42" t="s">
        <v>1450</v>
      </c>
      <c r="C1231" s="42" t="s">
        <v>6972</v>
      </c>
      <c r="D1231" s="43" t="s">
        <v>136</v>
      </c>
      <c r="E1231" s="43" t="s">
        <v>92</v>
      </c>
      <c r="F1231" s="42" t="s">
        <v>11469</v>
      </c>
      <c r="G1231" t="s">
        <v>13197</v>
      </c>
    </row>
    <row r="1232" spans="1:7" x14ac:dyDescent="0.3">
      <c r="A1232" s="42" t="s">
        <v>1432</v>
      </c>
      <c r="B1232" s="42" t="s">
        <v>1451</v>
      </c>
      <c r="C1232" s="42" t="s">
        <v>6973</v>
      </c>
      <c r="D1232" s="43" t="s">
        <v>136</v>
      </c>
      <c r="E1232" s="43" t="s">
        <v>92</v>
      </c>
      <c r="F1232" s="42" t="s">
        <v>192</v>
      </c>
      <c r="G1232" t="s">
        <v>13196</v>
      </c>
    </row>
    <row r="1233" spans="1:7" x14ac:dyDescent="0.3">
      <c r="A1233" s="42" t="s">
        <v>1432</v>
      </c>
      <c r="B1233" s="42" t="s">
        <v>1452</v>
      </c>
      <c r="C1233" s="42" t="s">
        <v>6974</v>
      </c>
      <c r="D1233" s="43" t="s">
        <v>136</v>
      </c>
      <c r="E1233" s="43" t="s">
        <v>92</v>
      </c>
      <c r="F1233" s="42" t="s">
        <v>11469</v>
      </c>
      <c r="G1233" t="s">
        <v>13197</v>
      </c>
    </row>
    <row r="1234" spans="1:7" x14ac:dyDescent="0.3">
      <c r="A1234" s="42" t="s">
        <v>1432</v>
      </c>
      <c r="B1234" s="42" t="s">
        <v>1453</v>
      </c>
      <c r="C1234" s="42" t="s">
        <v>6975</v>
      </c>
      <c r="D1234" s="43" t="s">
        <v>136</v>
      </c>
      <c r="E1234" s="43" t="s">
        <v>92</v>
      </c>
      <c r="F1234" s="42" t="s">
        <v>11469</v>
      </c>
      <c r="G1234" t="s">
        <v>13200</v>
      </c>
    </row>
    <row r="1235" spans="1:7" x14ac:dyDescent="0.3">
      <c r="A1235" s="42" t="s">
        <v>1432</v>
      </c>
      <c r="B1235" s="42" t="s">
        <v>1454</v>
      </c>
      <c r="C1235" s="42" t="s">
        <v>6976</v>
      </c>
      <c r="D1235" s="43" t="s">
        <v>136</v>
      </c>
      <c r="E1235" s="43" t="s">
        <v>92</v>
      </c>
      <c r="F1235" s="42" t="s">
        <v>11469</v>
      </c>
      <c r="G1235" t="s">
        <v>13197</v>
      </c>
    </row>
    <row r="1236" spans="1:7" x14ac:dyDescent="0.3">
      <c r="A1236" s="42" t="s">
        <v>1432</v>
      </c>
      <c r="B1236" s="42" t="s">
        <v>1455</v>
      </c>
      <c r="C1236" s="42" t="s">
        <v>6977</v>
      </c>
      <c r="D1236" s="43" t="s">
        <v>136</v>
      </c>
      <c r="E1236" s="43" t="s">
        <v>92</v>
      </c>
      <c r="F1236" s="42" t="s">
        <v>11469</v>
      </c>
      <c r="G1236" t="s">
        <v>13197</v>
      </c>
    </row>
    <row r="1237" spans="1:7" x14ac:dyDescent="0.3">
      <c r="A1237" s="42" t="s">
        <v>1432</v>
      </c>
      <c r="B1237" s="42" t="s">
        <v>1456</v>
      </c>
      <c r="C1237" s="42" t="s">
        <v>6978</v>
      </c>
      <c r="D1237" s="43" t="s">
        <v>136</v>
      </c>
      <c r="E1237" s="43" t="s">
        <v>92</v>
      </c>
      <c r="F1237" s="42" t="s">
        <v>11469</v>
      </c>
      <c r="G1237" t="s">
        <v>13197</v>
      </c>
    </row>
    <row r="1238" spans="1:7" x14ac:dyDescent="0.3">
      <c r="A1238" s="42" t="s">
        <v>1432</v>
      </c>
      <c r="B1238" s="42" t="s">
        <v>1457</v>
      </c>
      <c r="C1238" s="42" t="s">
        <v>6979</v>
      </c>
      <c r="D1238" s="43" t="s">
        <v>136</v>
      </c>
      <c r="E1238" s="43" t="s">
        <v>92</v>
      </c>
      <c r="F1238" s="42" t="s">
        <v>11469</v>
      </c>
      <c r="G1238" t="s">
        <v>13197</v>
      </c>
    </row>
    <row r="1239" spans="1:7" x14ac:dyDescent="0.3">
      <c r="A1239" s="42" t="s">
        <v>1432</v>
      </c>
      <c r="B1239" s="42" t="s">
        <v>1458</v>
      </c>
      <c r="C1239" s="42" t="s">
        <v>6980</v>
      </c>
      <c r="D1239" s="43" t="s">
        <v>136</v>
      </c>
      <c r="E1239" s="43" t="s">
        <v>92</v>
      </c>
      <c r="F1239" s="42" t="s">
        <v>11469</v>
      </c>
      <c r="G1239" t="s">
        <v>13197</v>
      </c>
    </row>
    <row r="1240" spans="1:7" x14ac:dyDescent="0.3">
      <c r="A1240" s="42" t="s">
        <v>1432</v>
      </c>
      <c r="B1240" s="42" t="s">
        <v>1459</v>
      </c>
      <c r="C1240" s="42" t="s">
        <v>6981</v>
      </c>
      <c r="D1240" s="43" t="s">
        <v>136</v>
      </c>
      <c r="E1240" s="43" t="s">
        <v>92</v>
      </c>
      <c r="F1240" s="42" t="s">
        <v>11469</v>
      </c>
      <c r="G1240" t="s">
        <v>13197</v>
      </c>
    </row>
    <row r="1241" spans="1:7" x14ac:dyDescent="0.3">
      <c r="A1241" s="42" t="s">
        <v>1432</v>
      </c>
      <c r="B1241" s="42" t="s">
        <v>1460</v>
      </c>
      <c r="C1241" s="42" t="s">
        <v>6982</v>
      </c>
      <c r="D1241" s="43" t="s">
        <v>136</v>
      </c>
      <c r="E1241" s="43" t="s">
        <v>92</v>
      </c>
      <c r="F1241" s="42" t="s">
        <v>11469</v>
      </c>
      <c r="G1241" t="s">
        <v>13197</v>
      </c>
    </row>
    <row r="1242" spans="1:7" x14ac:dyDescent="0.3">
      <c r="A1242" s="42" t="s">
        <v>1432</v>
      </c>
      <c r="B1242" s="42" t="s">
        <v>1461</v>
      </c>
      <c r="C1242" s="42" t="s">
        <v>6983</v>
      </c>
      <c r="D1242" s="43" t="s">
        <v>136</v>
      </c>
      <c r="E1242" s="43" t="s">
        <v>92</v>
      </c>
      <c r="F1242" s="42" t="s">
        <v>11469</v>
      </c>
      <c r="G1242" t="s">
        <v>13197</v>
      </c>
    </row>
    <row r="1243" spans="1:7" x14ac:dyDescent="0.3">
      <c r="A1243" s="42" t="s">
        <v>1432</v>
      </c>
      <c r="B1243" s="42" t="s">
        <v>1462</v>
      </c>
      <c r="C1243" s="42" t="s">
        <v>6984</v>
      </c>
      <c r="D1243" s="43" t="s">
        <v>136</v>
      </c>
      <c r="E1243" s="43" t="s">
        <v>92</v>
      </c>
      <c r="F1243" s="42" t="s">
        <v>11469</v>
      </c>
      <c r="G1243" t="s">
        <v>13197</v>
      </c>
    </row>
    <row r="1244" spans="1:7" x14ac:dyDescent="0.3">
      <c r="A1244" s="42" t="s">
        <v>1432</v>
      </c>
      <c r="B1244" s="42" t="s">
        <v>1463</v>
      </c>
      <c r="C1244" s="42" t="s">
        <v>6985</v>
      </c>
      <c r="D1244" s="43" t="s">
        <v>136</v>
      </c>
      <c r="E1244" s="43" t="s">
        <v>92</v>
      </c>
      <c r="F1244" s="42" t="s">
        <v>11469</v>
      </c>
      <c r="G1244" t="s">
        <v>13197</v>
      </c>
    </row>
    <row r="1245" spans="1:7" x14ac:dyDescent="0.3">
      <c r="A1245" s="42" t="s">
        <v>1432</v>
      </c>
      <c r="B1245" s="42" t="s">
        <v>1464</v>
      </c>
      <c r="C1245" s="42" t="s">
        <v>6986</v>
      </c>
      <c r="D1245" s="43" t="s">
        <v>136</v>
      </c>
      <c r="E1245" s="43" t="s">
        <v>92</v>
      </c>
      <c r="F1245" s="42" t="s">
        <v>11469</v>
      </c>
      <c r="G1245" t="s">
        <v>13197</v>
      </c>
    </row>
    <row r="1246" spans="1:7" x14ac:dyDescent="0.3">
      <c r="A1246" s="42" t="s">
        <v>1432</v>
      </c>
      <c r="B1246" s="42" t="s">
        <v>1465</v>
      </c>
      <c r="C1246" s="42" t="s">
        <v>6987</v>
      </c>
      <c r="D1246" s="43" t="s">
        <v>136</v>
      </c>
      <c r="E1246" s="43" t="s">
        <v>92</v>
      </c>
      <c r="F1246" s="42" t="s">
        <v>11469</v>
      </c>
      <c r="G1246" t="s">
        <v>13197</v>
      </c>
    </row>
    <row r="1247" spans="1:7" x14ac:dyDescent="0.3">
      <c r="A1247" s="42" t="s">
        <v>1432</v>
      </c>
      <c r="B1247" s="42" t="s">
        <v>1466</v>
      </c>
      <c r="C1247" s="42" t="s">
        <v>6988</v>
      </c>
      <c r="D1247" s="43" t="s">
        <v>136</v>
      </c>
      <c r="E1247" s="43" t="s">
        <v>92</v>
      </c>
      <c r="F1247" s="42" t="s">
        <v>11469</v>
      </c>
      <c r="G1247" t="s">
        <v>13198</v>
      </c>
    </row>
    <row r="1248" spans="1:7" x14ac:dyDescent="0.3">
      <c r="A1248" s="42" t="s">
        <v>1432</v>
      </c>
      <c r="B1248" s="42" t="s">
        <v>1467</v>
      </c>
      <c r="C1248" s="42" t="s">
        <v>6989</v>
      </c>
      <c r="D1248" s="43" t="s">
        <v>136</v>
      </c>
      <c r="E1248" s="43" t="s">
        <v>92</v>
      </c>
      <c r="F1248" s="42" t="s">
        <v>11469</v>
      </c>
      <c r="G1248" t="s">
        <v>13197</v>
      </c>
    </row>
    <row r="1249" spans="1:7" x14ac:dyDescent="0.3">
      <c r="A1249" s="42" t="s">
        <v>1432</v>
      </c>
      <c r="B1249" s="42" t="s">
        <v>1468</v>
      </c>
      <c r="C1249" s="42" t="s">
        <v>6990</v>
      </c>
      <c r="D1249" s="43" t="s">
        <v>136</v>
      </c>
      <c r="E1249" s="43" t="s">
        <v>92</v>
      </c>
      <c r="F1249" s="42" t="s">
        <v>11469</v>
      </c>
      <c r="G1249" t="s">
        <v>13197</v>
      </c>
    </row>
    <row r="1250" spans="1:7" x14ac:dyDescent="0.3">
      <c r="A1250" s="42" t="s">
        <v>1432</v>
      </c>
      <c r="B1250" s="42" t="s">
        <v>1469</v>
      </c>
      <c r="C1250" s="42" t="s">
        <v>6991</v>
      </c>
      <c r="D1250" s="43" t="s">
        <v>136</v>
      </c>
      <c r="E1250" s="43" t="s">
        <v>92</v>
      </c>
      <c r="F1250" s="42" t="s">
        <v>11469</v>
      </c>
      <c r="G1250" t="s">
        <v>13197</v>
      </c>
    </row>
    <row r="1251" spans="1:7" x14ac:dyDescent="0.3">
      <c r="A1251" s="42" t="s">
        <v>1432</v>
      </c>
      <c r="B1251" s="42" t="s">
        <v>1470</v>
      </c>
      <c r="C1251" s="42" t="s">
        <v>6992</v>
      </c>
      <c r="D1251" s="43" t="s">
        <v>136</v>
      </c>
      <c r="E1251" s="43" t="s">
        <v>92</v>
      </c>
      <c r="F1251" s="42" t="s">
        <v>11469</v>
      </c>
      <c r="G1251" t="s">
        <v>13197</v>
      </c>
    </row>
    <row r="1252" spans="1:7" x14ac:dyDescent="0.3">
      <c r="A1252" s="42" t="s">
        <v>1432</v>
      </c>
      <c r="B1252" s="42" t="s">
        <v>1471</v>
      </c>
      <c r="C1252" s="42" t="s">
        <v>6993</v>
      </c>
      <c r="D1252" s="43" t="s">
        <v>136</v>
      </c>
      <c r="E1252" s="43" t="s">
        <v>92</v>
      </c>
      <c r="F1252" s="42" t="s">
        <v>11469</v>
      </c>
      <c r="G1252" t="s">
        <v>13197</v>
      </c>
    </row>
    <row r="1253" spans="1:7" x14ac:dyDescent="0.3">
      <c r="A1253" s="42" t="s">
        <v>1432</v>
      </c>
      <c r="B1253" s="42" t="s">
        <v>1472</v>
      </c>
      <c r="C1253" s="42" t="s">
        <v>6994</v>
      </c>
      <c r="D1253" s="43" t="s">
        <v>136</v>
      </c>
      <c r="E1253" s="43" t="s">
        <v>92</v>
      </c>
      <c r="F1253" s="42" t="s">
        <v>11469</v>
      </c>
      <c r="G1253" t="s">
        <v>13197</v>
      </c>
    </row>
    <row r="1254" spans="1:7" x14ac:dyDescent="0.3">
      <c r="A1254" s="42" t="s">
        <v>1432</v>
      </c>
      <c r="B1254" s="42" t="s">
        <v>1473</v>
      </c>
      <c r="C1254" s="42" t="s">
        <v>6995</v>
      </c>
      <c r="D1254" s="43" t="s">
        <v>136</v>
      </c>
      <c r="E1254" s="43" t="s">
        <v>92</v>
      </c>
      <c r="F1254" s="42" t="s">
        <v>192</v>
      </c>
      <c r="G1254" t="s">
        <v>13196</v>
      </c>
    </row>
    <row r="1255" spans="1:7" x14ac:dyDescent="0.3">
      <c r="A1255" s="42" t="s">
        <v>1432</v>
      </c>
      <c r="B1255" s="42" t="s">
        <v>1234</v>
      </c>
      <c r="C1255" s="42" t="s">
        <v>6996</v>
      </c>
      <c r="D1255" s="43" t="s">
        <v>136</v>
      </c>
      <c r="E1255" s="43" t="s">
        <v>92</v>
      </c>
      <c r="F1255" s="42" t="s">
        <v>11469</v>
      </c>
      <c r="G1255" t="s">
        <v>13197</v>
      </c>
    </row>
    <row r="1256" spans="1:7" x14ac:dyDescent="0.3">
      <c r="A1256" s="42" t="s">
        <v>1432</v>
      </c>
      <c r="B1256" s="42" t="s">
        <v>1474</v>
      </c>
      <c r="C1256" s="42" t="s">
        <v>6997</v>
      </c>
      <c r="D1256" s="43" t="s">
        <v>136</v>
      </c>
      <c r="E1256" s="43" t="s">
        <v>92</v>
      </c>
      <c r="F1256" s="42" t="s">
        <v>11469</v>
      </c>
      <c r="G1256" t="s">
        <v>13197</v>
      </c>
    </row>
    <row r="1257" spans="1:7" x14ac:dyDescent="0.3">
      <c r="A1257" s="42" t="s">
        <v>1432</v>
      </c>
      <c r="B1257" s="42" t="s">
        <v>1475</v>
      </c>
      <c r="C1257" s="42" t="s">
        <v>6998</v>
      </c>
      <c r="D1257" s="43" t="s">
        <v>136</v>
      </c>
      <c r="E1257" s="43" t="s">
        <v>92</v>
      </c>
      <c r="F1257" s="42" t="s">
        <v>11469</v>
      </c>
      <c r="G1257" t="s">
        <v>13197</v>
      </c>
    </row>
    <row r="1258" spans="1:7" x14ac:dyDescent="0.3">
      <c r="A1258" s="42" t="s">
        <v>1432</v>
      </c>
      <c r="B1258" s="42" t="s">
        <v>1476</v>
      </c>
      <c r="C1258" s="42" t="s">
        <v>6999</v>
      </c>
      <c r="D1258" s="43" t="s">
        <v>136</v>
      </c>
      <c r="E1258" s="43" t="s">
        <v>92</v>
      </c>
      <c r="F1258" s="42" t="s">
        <v>11469</v>
      </c>
      <c r="G1258" t="s">
        <v>13197</v>
      </c>
    </row>
    <row r="1259" spans="1:7" x14ac:dyDescent="0.3">
      <c r="A1259" s="42" t="s">
        <v>1432</v>
      </c>
      <c r="B1259" s="42" t="s">
        <v>1477</v>
      </c>
      <c r="C1259" s="42" t="s">
        <v>7000</v>
      </c>
      <c r="D1259" s="43" t="s">
        <v>136</v>
      </c>
      <c r="E1259" s="43" t="s">
        <v>92</v>
      </c>
      <c r="F1259" s="42" t="s">
        <v>11469</v>
      </c>
      <c r="G1259" t="s">
        <v>13197</v>
      </c>
    </row>
    <row r="1260" spans="1:7" x14ac:dyDescent="0.3">
      <c r="A1260" s="42" t="s">
        <v>1432</v>
      </c>
      <c r="B1260" s="42" t="s">
        <v>1478</v>
      </c>
      <c r="C1260" s="42" t="s">
        <v>7001</v>
      </c>
      <c r="D1260" s="43" t="s">
        <v>136</v>
      </c>
      <c r="E1260" s="43" t="s">
        <v>92</v>
      </c>
      <c r="F1260" s="42" t="s">
        <v>192</v>
      </c>
      <c r="G1260" t="s">
        <v>13196</v>
      </c>
    </row>
    <row r="1261" spans="1:7" x14ac:dyDescent="0.3">
      <c r="A1261" s="42" t="s">
        <v>1432</v>
      </c>
      <c r="B1261" s="42" t="s">
        <v>1479</v>
      </c>
      <c r="C1261" s="42" t="s">
        <v>7002</v>
      </c>
      <c r="D1261" s="43" t="s">
        <v>136</v>
      </c>
      <c r="E1261" s="43" t="s">
        <v>92</v>
      </c>
      <c r="F1261" s="42" t="s">
        <v>11469</v>
      </c>
      <c r="G1261" t="s">
        <v>13197</v>
      </c>
    </row>
    <row r="1262" spans="1:7" x14ac:dyDescent="0.3">
      <c r="A1262" s="42" t="s">
        <v>1432</v>
      </c>
      <c r="B1262" s="42" t="s">
        <v>1480</v>
      </c>
      <c r="C1262" s="42" t="s">
        <v>7003</v>
      </c>
      <c r="D1262" s="43" t="s">
        <v>136</v>
      </c>
      <c r="E1262" s="43" t="s">
        <v>92</v>
      </c>
      <c r="F1262" s="42" t="s">
        <v>11469</v>
      </c>
      <c r="G1262" t="s">
        <v>13197</v>
      </c>
    </row>
    <row r="1263" spans="1:7" x14ac:dyDescent="0.3">
      <c r="A1263" s="42" t="s">
        <v>1432</v>
      </c>
      <c r="B1263" s="42" t="s">
        <v>1481</v>
      </c>
      <c r="C1263" s="42" t="s">
        <v>7004</v>
      </c>
      <c r="D1263" s="43" t="s">
        <v>136</v>
      </c>
      <c r="E1263" s="43" t="s">
        <v>92</v>
      </c>
      <c r="F1263" s="42" t="s">
        <v>11469</v>
      </c>
      <c r="G1263" t="s">
        <v>13197</v>
      </c>
    </row>
    <row r="1264" spans="1:7" x14ac:dyDescent="0.3">
      <c r="A1264" s="42" t="s">
        <v>1432</v>
      </c>
      <c r="B1264" s="42" t="s">
        <v>1482</v>
      </c>
      <c r="C1264" s="42" t="s">
        <v>7005</v>
      </c>
      <c r="D1264" s="43" t="s">
        <v>136</v>
      </c>
      <c r="E1264" s="43" t="s">
        <v>92</v>
      </c>
      <c r="F1264" s="42" t="s">
        <v>192</v>
      </c>
      <c r="G1264" t="s">
        <v>13196</v>
      </c>
    </row>
    <row r="1265" spans="1:7" x14ac:dyDescent="0.3">
      <c r="A1265" s="42" t="s">
        <v>1432</v>
      </c>
      <c r="B1265" s="42" t="s">
        <v>1483</v>
      </c>
      <c r="C1265" s="42" t="s">
        <v>7006</v>
      </c>
      <c r="D1265" s="43" t="s">
        <v>136</v>
      </c>
      <c r="E1265" s="43" t="s">
        <v>92</v>
      </c>
      <c r="F1265" s="42" t="s">
        <v>11469</v>
      </c>
      <c r="G1265" t="s">
        <v>13197</v>
      </c>
    </row>
    <row r="1266" spans="1:7" x14ac:dyDescent="0.3">
      <c r="A1266" s="42" t="s">
        <v>1432</v>
      </c>
      <c r="B1266" s="42" t="s">
        <v>1484</v>
      </c>
      <c r="C1266" s="42" t="s">
        <v>7007</v>
      </c>
      <c r="D1266" s="43" t="s">
        <v>136</v>
      </c>
      <c r="E1266" s="43" t="s">
        <v>92</v>
      </c>
      <c r="F1266" s="42" t="s">
        <v>11469</v>
      </c>
      <c r="G1266" t="s">
        <v>13197</v>
      </c>
    </row>
    <row r="1267" spans="1:7" x14ac:dyDescent="0.3">
      <c r="A1267" s="42" t="s">
        <v>1432</v>
      </c>
      <c r="B1267" s="42" t="s">
        <v>1485</v>
      </c>
      <c r="C1267" s="42" t="s">
        <v>7008</v>
      </c>
      <c r="D1267" s="43" t="s">
        <v>136</v>
      </c>
      <c r="E1267" s="43" t="s">
        <v>92</v>
      </c>
      <c r="F1267" s="42" t="s">
        <v>11469</v>
      </c>
      <c r="G1267" t="s">
        <v>13197</v>
      </c>
    </row>
    <row r="1268" spans="1:7" x14ac:dyDescent="0.3">
      <c r="A1268" s="42" t="s">
        <v>1432</v>
      </c>
      <c r="B1268" s="42" t="s">
        <v>1486</v>
      </c>
      <c r="C1268" s="42" t="s">
        <v>7009</v>
      </c>
      <c r="D1268" s="43" t="s">
        <v>136</v>
      </c>
      <c r="E1268" s="43" t="s">
        <v>92</v>
      </c>
      <c r="F1268" s="42" t="s">
        <v>11469</v>
      </c>
      <c r="G1268" t="s">
        <v>13197</v>
      </c>
    </row>
    <row r="1269" spans="1:7" x14ac:dyDescent="0.3">
      <c r="A1269" s="42" t="s">
        <v>1432</v>
      </c>
      <c r="B1269" s="42" t="s">
        <v>1487</v>
      </c>
      <c r="C1269" s="42" t="s">
        <v>7010</v>
      </c>
      <c r="D1269" s="43" t="s">
        <v>136</v>
      </c>
      <c r="E1269" s="43" t="s">
        <v>92</v>
      </c>
      <c r="F1269" s="42" t="s">
        <v>11469</v>
      </c>
      <c r="G1269" t="s">
        <v>13197</v>
      </c>
    </row>
    <row r="1270" spans="1:7" x14ac:dyDescent="0.3">
      <c r="A1270" s="42" t="s">
        <v>1432</v>
      </c>
      <c r="B1270" s="42" t="s">
        <v>1488</v>
      </c>
      <c r="C1270" s="42" t="s">
        <v>7011</v>
      </c>
      <c r="D1270" s="43" t="s">
        <v>136</v>
      </c>
      <c r="E1270" s="43" t="s">
        <v>92</v>
      </c>
      <c r="F1270" s="42" t="s">
        <v>11469</v>
      </c>
      <c r="G1270" t="s">
        <v>13197</v>
      </c>
    </row>
    <row r="1271" spans="1:7" x14ac:dyDescent="0.3">
      <c r="A1271" s="42" t="s">
        <v>1432</v>
      </c>
      <c r="B1271" s="42" t="s">
        <v>1489</v>
      </c>
      <c r="C1271" s="42" t="s">
        <v>7012</v>
      </c>
      <c r="D1271" s="43" t="s">
        <v>136</v>
      </c>
      <c r="E1271" s="43" t="s">
        <v>92</v>
      </c>
      <c r="F1271" s="42" t="s">
        <v>11469</v>
      </c>
      <c r="G1271" t="s">
        <v>13197</v>
      </c>
    </row>
    <row r="1272" spans="1:7" x14ac:dyDescent="0.3">
      <c r="A1272" s="42" t="s">
        <v>1432</v>
      </c>
      <c r="B1272" s="42" t="s">
        <v>1490</v>
      </c>
      <c r="C1272" s="42" t="s">
        <v>7013</v>
      </c>
      <c r="D1272" s="43" t="s">
        <v>136</v>
      </c>
      <c r="E1272" s="43" t="s">
        <v>92</v>
      </c>
      <c r="F1272" s="42" t="s">
        <v>11469</v>
      </c>
      <c r="G1272" t="s">
        <v>13197</v>
      </c>
    </row>
    <row r="1273" spans="1:7" x14ac:dyDescent="0.3">
      <c r="A1273" s="42" t="s">
        <v>1432</v>
      </c>
      <c r="B1273" s="42" t="s">
        <v>1491</v>
      </c>
      <c r="C1273" s="42" t="s">
        <v>7014</v>
      </c>
      <c r="D1273" s="43" t="s">
        <v>136</v>
      </c>
      <c r="E1273" s="43" t="s">
        <v>92</v>
      </c>
      <c r="F1273" s="42" t="s">
        <v>11469</v>
      </c>
      <c r="G1273" t="s">
        <v>13197</v>
      </c>
    </row>
    <row r="1274" spans="1:7" x14ac:dyDescent="0.3">
      <c r="A1274" s="42" t="s">
        <v>1432</v>
      </c>
      <c r="B1274" s="42" t="s">
        <v>1492</v>
      </c>
      <c r="C1274" s="42" t="s">
        <v>7015</v>
      </c>
      <c r="D1274" s="43" t="s">
        <v>136</v>
      </c>
      <c r="E1274" s="43" t="s">
        <v>92</v>
      </c>
      <c r="F1274" s="42" t="s">
        <v>11469</v>
      </c>
      <c r="G1274" t="s">
        <v>13197</v>
      </c>
    </row>
    <row r="1275" spans="1:7" x14ac:dyDescent="0.3">
      <c r="A1275" s="42" t="s">
        <v>1432</v>
      </c>
      <c r="B1275" s="42" t="s">
        <v>1493</v>
      </c>
      <c r="C1275" s="42" t="s">
        <v>7016</v>
      </c>
      <c r="D1275" s="43" t="s">
        <v>136</v>
      </c>
      <c r="E1275" s="43" t="s">
        <v>92</v>
      </c>
      <c r="F1275" s="42" t="s">
        <v>11469</v>
      </c>
      <c r="G1275" t="s">
        <v>13197</v>
      </c>
    </row>
    <row r="1276" spans="1:7" x14ac:dyDescent="0.3">
      <c r="A1276" s="42" t="s">
        <v>1432</v>
      </c>
      <c r="B1276" s="42" t="s">
        <v>1494</v>
      </c>
      <c r="C1276" s="42" t="s">
        <v>7017</v>
      </c>
      <c r="D1276" s="43" t="s">
        <v>136</v>
      </c>
      <c r="E1276" s="43" t="s">
        <v>92</v>
      </c>
      <c r="F1276" s="42" t="s">
        <v>11469</v>
      </c>
      <c r="G1276" t="s">
        <v>13197</v>
      </c>
    </row>
    <row r="1277" spans="1:7" x14ac:dyDescent="0.3">
      <c r="A1277" s="42" t="s">
        <v>1432</v>
      </c>
      <c r="B1277" s="42" t="s">
        <v>1495</v>
      </c>
      <c r="C1277" s="42" t="s">
        <v>7018</v>
      </c>
      <c r="D1277" s="43" t="s">
        <v>136</v>
      </c>
      <c r="E1277" s="43" t="s">
        <v>92</v>
      </c>
      <c r="F1277" s="42" t="s">
        <v>11469</v>
      </c>
      <c r="G1277" t="s">
        <v>13197</v>
      </c>
    </row>
    <row r="1278" spans="1:7" x14ac:dyDescent="0.3">
      <c r="A1278" s="42" t="s">
        <v>1432</v>
      </c>
      <c r="B1278" s="42" t="s">
        <v>1496</v>
      </c>
      <c r="C1278" s="42" t="s">
        <v>7019</v>
      </c>
      <c r="D1278" s="43" t="s">
        <v>136</v>
      </c>
      <c r="E1278" s="43" t="s">
        <v>92</v>
      </c>
      <c r="F1278" s="42" t="s">
        <v>192</v>
      </c>
      <c r="G1278" t="s">
        <v>13196</v>
      </c>
    </row>
    <row r="1279" spans="1:7" x14ac:dyDescent="0.3">
      <c r="A1279" s="42" t="s">
        <v>1432</v>
      </c>
      <c r="B1279" s="42" t="s">
        <v>1497</v>
      </c>
      <c r="C1279" s="42" t="s">
        <v>7020</v>
      </c>
      <c r="D1279" s="43" t="s">
        <v>136</v>
      </c>
      <c r="E1279" s="43" t="s">
        <v>92</v>
      </c>
      <c r="F1279" s="42" t="s">
        <v>11469</v>
      </c>
      <c r="G1279" t="s">
        <v>13197</v>
      </c>
    </row>
    <row r="1280" spans="1:7" x14ac:dyDescent="0.3">
      <c r="A1280" s="42" t="s">
        <v>1432</v>
      </c>
      <c r="B1280" s="42" t="s">
        <v>1498</v>
      </c>
      <c r="C1280" s="42" t="s">
        <v>7021</v>
      </c>
      <c r="D1280" s="43" t="s">
        <v>136</v>
      </c>
      <c r="E1280" s="43" t="s">
        <v>92</v>
      </c>
      <c r="F1280" s="42" t="s">
        <v>11469</v>
      </c>
      <c r="G1280" t="s">
        <v>13197</v>
      </c>
    </row>
    <row r="1281" spans="1:7" x14ac:dyDescent="0.3">
      <c r="A1281" s="42" t="s">
        <v>1432</v>
      </c>
      <c r="B1281" s="42" t="s">
        <v>1499</v>
      </c>
      <c r="C1281" s="42" t="s">
        <v>7022</v>
      </c>
      <c r="D1281" s="43" t="s">
        <v>136</v>
      </c>
      <c r="E1281" s="43" t="s">
        <v>92</v>
      </c>
      <c r="F1281" s="42" t="s">
        <v>11469</v>
      </c>
      <c r="G1281" t="s">
        <v>13197</v>
      </c>
    </row>
    <row r="1282" spans="1:7" x14ac:dyDescent="0.3">
      <c r="A1282" s="42" t="s">
        <v>1432</v>
      </c>
      <c r="B1282" s="42" t="s">
        <v>1500</v>
      </c>
      <c r="C1282" s="42" t="s">
        <v>7023</v>
      </c>
      <c r="D1282" s="43" t="s">
        <v>136</v>
      </c>
      <c r="E1282" s="43" t="s">
        <v>92</v>
      </c>
      <c r="F1282" s="42" t="s">
        <v>11469</v>
      </c>
      <c r="G1282" t="s">
        <v>13197</v>
      </c>
    </row>
    <row r="1283" spans="1:7" x14ac:dyDescent="0.3">
      <c r="A1283" s="42" t="s">
        <v>1432</v>
      </c>
      <c r="B1283" s="42" t="s">
        <v>1501</v>
      </c>
      <c r="C1283" s="42" t="s">
        <v>7024</v>
      </c>
      <c r="D1283" s="43" t="s">
        <v>136</v>
      </c>
      <c r="E1283" s="43" t="s">
        <v>92</v>
      </c>
      <c r="F1283" s="42" t="s">
        <v>11469</v>
      </c>
      <c r="G1283" t="s">
        <v>13197</v>
      </c>
    </row>
    <row r="1284" spans="1:7" x14ac:dyDescent="0.3">
      <c r="A1284" s="42" t="s">
        <v>1432</v>
      </c>
      <c r="B1284" s="42" t="s">
        <v>1502</v>
      </c>
      <c r="C1284" s="42" t="s">
        <v>7025</v>
      </c>
      <c r="D1284" s="43" t="s">
        <v>136</v>
      </c>
      <c r="E1284" s="43" t="s">
        <v>92</v>
      </c>
      <c r="F1284" s="42" t="s">
        <v>11469</v>
      </c>
      <c r="G1284" t="s">
        <v>13197</v>
      </c>
    </row>
    <row r="1285" spans="1:7" x14ac:dyDescent="0.3">
      <c r="A1285" s="42" t="s">
        <v>1432</v>
      </c>
      <c r="B1285" s="42" t="s">
        <v>1046</v>
      </c>
      <c r="C1285" s="42" t="s">
        <v>7026</v>
      </c>
      <c r="D1285" s="43" t="s">
        <v>136</v>
      </c>
      <c r="E1285" s="43" t="s">
        <v>92</v>
      </c>
      <c r="F1285" s="42" t="s">
        <v>11469</v>
      </c>
      <c r="G1285" t="s">
        <v>13197</v>
      </c>
    </row>
    <row r="1286" spans="1:7" x14ac:dyDescent="0.3">
      <c r="A1286" s="42" t="s">
        <v>1432</v>
      </c>
      <c r="B1286" s="42" t="s">
        <v>1503</v>
      </c>
      <c r="C1286" s="42" t="s">
        <v>7027</v>
      </c>
      <c r="D1286" s="43" t="s">
        <v>136</v>
      </c>
      <c r="E1286" s="43" t="s">
        <v>92</v>
      </c>
      <c r="F1286" s="42" t="s">
        <v>11469</v>
      </c>
      <c r="G1286" t="s">
        <v>13197</v>
      </c>
    </row>
    <row r="1287" spans="1:7" x14ac:dyDescent="0.3">
      <c r="A1287" s="42" t="s">
        <v>1432</v>
      </c>
      <c r="B1287" s="42" t="s">
        <v>1504</v>
      </c>
      <c r="C1287" s="42" t="s">
        <v>7028</v>
      </c>
      <c r="D1287" s="43" t="s">
        <v>136</v>
      </c>
      <c r="E1287" s="43" t="s">
        <v>92</v>
      </c>
      <c r="F1287" s="42" t="s">
        <v>11469</v>
      </c>
      <c r="G1287" t="s">
        <v>13197</v>
      </c>
    </row>
    <row r="1288" spans="1:7" x14ac:dyDescent="0.3">
      <c r="A1288" s="42" t="s">
        <v>1432</v>
      </c>
      <c r="B1288" s="42" t="s">
        <v>1505</v>
      </c>
      <c r="C1288" s="42" t="s">
        <v>7029</v>
      </c>
      <c r="D1288" s="43" t="s">
        <v>136</v>
      </c>
      <c r="E1288" s="43" t="s">
        <v>92</v>
      </c>
      <c r="F1288" s="42" t="s">
        <v>11469</v>
      </c>
      <c r="G1288" t="s">
        <v>13197</v>
      </c>
    </row>
    <row r="1289" spans="1:7" x14ac:dyDescent="0.3">
      <c r="A1289" s="42" t="s">
        <v>1432</v>
      </c>
      <c r="B1289" s="42" t="s">
        <v>1506</v>
      </c>
      <c r="C1289" s="42" t="s">
        <v>7030</v>
      </c>
      <c r="D1289" s="43" t="s">
        <v>136</v>
      </c>
      <c r="E1289" s="43" t="s">
        <v>92</v>
      </c>
      <c r="F1289" s="42" t="s">
        <v>11469</v>
      </c>
      <c r="G1289" t="s">
        <v>13197</v>
      </c>
    </row>
    <row r="1290" spans="1:7" x14ac:dyDescent="0.3">
      <c r="A1290" s="42" t="s">
        <v>1432</v>
      </c>
      <c r="B1290" s="42" t="s">
        <v>1507</v>
      </c>
      <c r="C1290" s="42" t="s">
        <v>7031</v>
      </c>
      <c r="D1290" s="43" t="s">
        <v>136</v>
      </c>
      <c r="E1290" s="43" t="s">
        <v>92</v>
      </c>
      <c r="F1290" s="42" t="s">
        <v>11469</v>
      </c>
      <c r="G1290" t="s">
        <v>13197</v>
      </c>
    </row>
    <row r="1291" spans="1:7" x14ac:dyDescent="0.3">
      <c r="A1291" s="42" t="s">
        <v>1432</v>
      </c>
      <c r="B1291" s="42" t="s">
        <v>1508</v>
      </c>
      <c r="C1291" s="42" t="s">
        <v>7032</v>
      </c>
      <c r="D1291" s="43" t="s">
        <v>136</v>
      </c>
      <c r="E1291" s="43" t="s">
        <v>92</v>
      </c>
      <c r="F1291" s="42" t="s">
        <v>11469</v>
      </c>
      <c r="G1291" t="s">
        <v>13197</v>
      </c>
    </row>
    <row r="1292" spans="1:7" x14ac:dyDescent="0.3">
      <c r="A1292" s="42" t="s">
        <v>1432</v>
      </c>
      <c r="B1292" s="42" t="s">
        <v>1509</v>
      </c>
      <c r="C1292" s="42" t="s">
        <v>7033</v>
      </c>
      <c r="D1292" s="43" t="s">
        <v>136</v>
      </c>
      <c r="E1292" s="43" t="s">
        <v>92</v>
      </c>
      <c r="F1292" s="42" t="s">
        <v>11469</v>
      </c>
      <c r="G1292" t="s">
        <v>13197</v>
      </c>
    </row>
    <row r="1293" spans="1:7" x14ac:dyDescent="0.3">
      <c r="A1293" s="42" t="s">
        <v>1432</v>
      </c>
      <c r="B1293" s="42" t="s">
        <v>1510</v>
      </c>
      <c r="C1293" s="42" t="s">
        <v>7034</v>
      </c>
      <c r="D1293" s="43" t="s">
        <v>136</v>
      </c>
      <c r="E1293" s="43" t="s">
        <v>92</v>
      </c>
      <c r="F1293" s="42" t="s">
        <v>11469</v>
      </c>
      <c r="G1293" t="s">
        <v>13197</v>
      </c>
    </row>
    <row r="1294" spans="1:7" x14ac:dyDescent="0.3">
      <c r="A1294" s="42" t="s">
        <v>1432</v>
      </c>
      <c r="B1294" s="42" t="s">
        <v>1511</v>
      </c>
      <c r="C1294" s="42" t="s">
        <v>7035</v>
      </c>
      <c r="D1294" s="43" t="s">
        <v>136</v>
      </c>
      <c r="E1294" s="43" t="s">
        <v>92</v>
      </c>
      <c r="F1294" s="42" t="s">
        <v>11469</v>
      </c>
      <c r="G1294" t="s">
        <v>13197</v>
      </c>
    </row>
    <row r="1295" spans="1:7" x14ac:dyDescent="0.3">
      <c r="A1295" s="42" t="s">
        <v>1432</v>
      </c>
      <c r="B1295" s="42" t="s">
        <v>1512</v>
      </c>
      <c r="C1295" s="42" t="s">
        <v>7036</v>
      </c>
      <c r="D1295" s="43" t="s">
        <v>136</v>
      </c>
      <c r="E1295" s="43" t="s">
        <v>92</v>
      </c>
      <c r="F1295" s="42" t="s">
        <v>11469</v>
      </c>
      <c r="G1295" t="s">
        <v>13197</v>
      </c>
    </row>
    <row r="1296" spans="1:7" x14ac:dyDescent="0.3">
      <c r="A1296" s="42" t="s">
        <v>1432</v>
      </c>
      <c r="B1296" s="42" t="s">
        <v>1513</v>
      </c>
      <c r="C1296" s="42" t="s">
        <v>7037</v>
      </c>
      <c r="D1296" s="43" t="s">
        <v>136</v>
      </c>
      <c r="E1296" s="43" t="s">
        <v>92</v>
      </c>
      <c r="F1296" s="42" t="s">
        <v>11469</v>
      </c>
      <c r="G1296" t="s">
        <v>13197</v>
      </c>
    </row>
    <row r="1297" spans="1:7" x14ac:dyDescent="0.3">
      <c r="A1297" s="42" t="s">
        <v>1432</v>
      </c>
      <c r="B1297" s="42" t="s">
        <v>1433</v>
      </c>
      <c r="C1297" s="42" t="s">
        <v>6955</v>
      </c>
      <c r="D1297" s="43" t="s">
        <v>136</v>
      </c>
      <c r="E1297" s="43" t="s">
        <v>92</v>
      </c>
      <c r="F1297" s="42" t="s">
        <v>192</v>
      </c>
      <c r="G1297" t="s">
        <v>13196</v>
      </c>
    </row>
    <row r="1298" spans="1:7" x14ac:dyDescent="0.3">
      <c r="A1298" s="42" t="s">
        <v>1432</v>
      </c>
      <c r="B1298" s="42" t="s">
        <v>1514</v>
      </c>
      <c r="C1298" s="42" t="s">
        <v>7038</v>
      </c>
      <c r="D1298" s="43" t="s">
        <v>136</v>
      </c>
      <c r="E1298" s="43" t="s">
        <v>92</v>
      </c>
      <c r="F1298" s="42" t="s">
        <v>192</v>
      </c>
      <c r="G1298" t="s">
        <v>13196</v>
      </c>
    </row>
    <row r="1299" spans="1:7" x14ac:dyDescent="0.3">
      <c r="A1299" s="42" t="s">
        <v>1432</v>
      </c>
      <c r="B1299" s="42" t="s">
        <v>1515</v>
      </c>
      <c r="C1299" s="42" t="s">
        <v>7039</v>
      </c>
      <c r="D1299" s="43" t="s">
        <v>136</v>
      </c>
      <c r="E1299" s="43" t="s">
        <v>92</v>
      </c>
      <c r="F1299" s="42" t="s">
        <v>11469</v>
      </c>
      <c r="G1299" t="s">
        <v>13197</v>
      </c>
    </row>
    <row r="1300" spans="1:7" x14ac:dyDescent="0.3">
      <c r="A1300" s="42" t="s">
        <v>1432</v>
      </c>
      <c r="B1300" s="42" t="s">
        <v>1516</v>
      </c>
      <c r="C1300" s="42" t="s">
        <v>7040</v>
      </c>
      <c r="D1300" s="43" t="s">
        <v>136</v>
      </c>
      <c r="E1300" s="43" t="s">
        <v>92</v>
      </c>
      <c r="F1300" s="42" t="s">
        <v>11469</v>
      </c>
      <c r="G1300" t="s">
        <v>13197</v>
      </c>
    </row>
    <row r="1301" spans="1:7" x14ac:dyDescent="0.3">
      <c r="A1301" s="42" t="s">
        <v>1432</v>
      </c>
      <c r="B1301" s="42" t="s">
        <v>1517</v>
      </c>
      <c r="C1301" s="42" t="s">
        <v>7041</v>
      </c>
      <c r="D1301" s="43" t="s">
        <v>136</v>
      </c>
      <c r="E1301" s="43" t="s">
        <v>92</v>
      </c>
      <c r="F1301" s="42" t="s">
        <v>192</v>
      </c>
      <c r="G1301" t="s">
        <v>13196</v>
      </c>
    </row>
    <row r="1302" spans="1:7" x14ac:dyDescent="0.3">
      <c r="A1302" s="42" t="s">
        <v>1432</v>
      </c>
      <c r="B1302" s="42" t="s">
        <v>1518</v>
      </c>
      <c r="C1302" s="42" t="s">
        <v>7042</v>
      </c>
      <c r="D1302" s="43" t="s">
        <v>136</v>
      </c>
      <c r="E1302" s="43" t="s">
        <v>92</v>
      </c>
      <c r="F1302" s="42" t="s">
        <v>11469</v>
      </c>
      <c r="G1302" t="s">
        <v>13197</v>
      </c>
    </row>
    <row r="1303" spans="1:7" x14ac:dyDescent="0.3">
      <c r="A1303" s="42" t="s">
        <v>1432</v>
      </c>
      <c r="B1303" s="42" t="s">
        <v>1519</v>
      </c>
      <c r="C1303" s="42" t="s">
        <v>7043</v>
      </c>
      <c r="D1303" s="43" t="s">
        <v>136</v>
      </c>
      <c r="E1303" s="43" t="s">
        <v>92</v>
      </c>
      <c r="F1303" s="42" t="s">
        <v>11469</v>
      </c>
      <c r="G1303" t="s">
        <v>13197</v>
      </c>
    </row>
    <row r="1304" spans="1:7" x14ac:dyDescent="0.3">
      <c r="A1304" s="42" t="s">
        <v>1432</v>
      </c>
      <c r="B1304" s="42" t="s">
        <v>1520</v>
      </c>
      <c r="C1304" s="42" t="s">
        <v>7044</v>
      </c>
      <c r="D1304" s="43" t="s">
        <v>136</v>
      </c>
      <c r="E1304" s="43" t="s">
        <v>92</v>
      </c>
      <c r="F1304" s="42" t="s">
        <v>11469</v>
      </c>
      <c r="G1304" t="s">
        <v>13197</v>
      </c>
    </row>
    <row r="1305" spans="1:7" x14ac:dyDescent="0.3">
      <c r="A1305" s="42" t="s">
        <v>1432</v>
      </c>
      <c r="B1305" s="42" t="s">
        <v>1521</v>
      </c>
      <c r="C1305" s="42" t="s">
        <v>7045</v>
      </c>
      <c r="D1305" s="43" t="s">
        <v>136</v>
      </c>
      <c r="E1305" s="43" t="s">
        <v>92</v>
      </c>
      <c r="F1305" s="42" t="s">
        <v>11469</v>
      </c>
      <c r="G1305" t="s">
        <v>13197</v>
      </c>
    </row>
    <row r="1306" spans="1:7" x14ac:dyDescent="0.3">
      <c r="A1306" s="42" t="s">
        <v>1432</v>
      </c>
      <c r="B1306" s="42" t="s">
        <v>1522</v>
      </c>
      <c r="C1306" s="42" t="s">
        <v>7046</v>
      </c>
      <c r="D1306" s="43" t="s">
        <v>136</v>
      </c>
      <c r="E1306" s="43" t="s">
        <v>92</v>
      </c>
      <c r="F1306" s="42" t="s">
        <v>11469</v>
      </c>
      <c r="G1306" t="s">
        <v>13197</v>
      </c>
    </row>
    <row r="1307" spans="1:7" x14ac:dyDescent="0.3">
      <c r="A1307" s="42" t="s">
        <v>1432</v>
      </c>
      <c r="B1307" s="42" t="s">
        <v>1523</v>
      </c>
      <c r="C1307" s="42" t="s">
        <v>7047</v>
      </c>
      <c r="D1307" s="43" t="s">
        <v>136</v>
      </c>
      <c r="E1307" s="43" t="s">
        <v>92</v>
      </c>
      <c r="F1307" s="42" t="s">
        <v>11469</v>
      </c>
      <c r="G1307" t="s">
        <v>13197</v>
      </c>
    </row>
    <row r="1308" spans="1:7" x14ac:dyDescent="0.3">
      <c r="A1308" s="42" t="s">
        <v>1432</v>
      </c>
      <c r="B1308" s="42" t="s">
        <v>1524</v>
      </c>
      <c r="C1308" s="42" t="s">
        <v>7048</v>
      </c>
      <c r="D1308" s="43" t="s">
        <v>136</v>
      </c>
      <c r="E1308" s="43" t="s">
        <v>92</v>
      </c>
      <c r="F1308" s="42" t="s">
        <v>11469</v>
      </c>
      <c r="G1308" t="s">
        <v>13197</v>
      </c>
    </row>
    <row r="1309" spans="1:7" x14ac:dyDescent="0.3">
      <c r="A1309" s="42" t="s">
        <v>1432</v>
      </c>
      <c r="B1309" s="42" t="s">
        <v>1525</v>
      </c>
      <c r="C1309" s="42" t="s">
        <v>7049</v>
      </c>
      <c r="D1309" s="43" t="s">
        <v>136</v>
      </c>
      <c r="E1309" s="43" t="s">
        <v>92</v>
      </c>
      <c r="F1309" s="42" t="s">
        <v>11469</v>
      </c>
      <c r="G1309" t="s">
        <v>13197</v>
      </c>
    </row>
    <row r="1310" spans="1:7" x14ac:dyDescent="0.3">
      <c r="A1310" s="42" t="s">
        <v>1432</v>
      </c>
      <c r="B1310" s="42" t="s">
        <v>1526</v>
      </c>
      <c r="C1310" s="42" t="s">
        <v>7050</v>
      </c>
      <c r="D1310" s="43" t="s">
        <v>136</v>
      </c>
      <c r="E1310" s="43" t="s">
        <v>92</v>
      </c>
      <c r="F1310" s="42" t="s">
        <v>11469</v>
      </c>
      <c r="G1310" t="s">
        <v>13197</v>
      </c>
    </row>
    <row r="1311" spans="1:7" x14ac:dyDescent="0.3">
      <c r="A1311" s="42" t="s">
        <v>1432</v>
      </c>
      <c r="B1311" s="42" t="s">
        <v>1527</v>
      </c>
      <c r="C1311" s="42" t="s">
        <v>7051</v>
      </c>
      <c r="D1311" s="43" t="s">
        <v>136</v>
      </c>
      <c r="E1311" s="43" t="s">
        <v>92</v>
      </c>
      <c r="F1311" s="42" t="s">
        <v>11469</v>
      </c>
      <c r="G1311" t="s">
        <v>13200</v>
      </c>
    </row>
    <row r="1312" spans="1:7" x14ac:dyDescent="0.3">
      <c r="A1312" s="42" t="s">
        <v>1432</v>
      </c>
      <c r="B1312" s="42" t="s">
        <v>1528</v>
      </c>
      <c r="C1312" s="42" t="s">
        <v>7052</v>
      </c>
      <c r="D1312" s="43" t="s">
        <v>136</v>
      </c>
      <c r="E1312" s="43" t="s">
        <v>92</v>
      </c>
      <c r="F1312" s="42" t="s">
        <v>11469</v>
      </c>
      <c r="G1312" t="s">
        <v>13197</v>
      </c>
    </row>
    <row r="1313" spans="1:7" x14ac:dyDescent="0.3">
      <c r="A1313" s="42" t="s">
        <v>1529</v>
      </c>
      <c r="B1313" s="42" t="s">
        <v>1529</v>
      </c>
      <c r="C1313" s="42" t="s">
        <v>7053</v>
      </c>
      <c r="D1313" s="43" t="s">
        <v>91</v>
      </c>
      <c r="E1313" s="43" t="s">
        <v>91</v>
      </c>
      <c r="F1313" s="42" t="s">
        <v>11469</v>
      </c>
      <c r="G1313" t="s">
        <v>13197</v>
      </c>
    </row>
    <row r="1314" spans="1:7" x14ac:dyDescent="0.3">
      <c r="A1314" s="42" t="s">
        <v>1530</v>
      </c>
      <c r="B1314" s="42" t="s">
        <v>1531</v>
      </c>
      <c r="C1314" s="42" t="s">
        <v>7054</v>
      </c>
      <c r="D1314" s="43" t="s">
        <v>91</v>
      </c>
      <c r="E1314" s="43" t="s">
        <v>91</v>
      </c>
      <c r="F1314" s="42" t="s">
        <v>192</v>
      </c>
      <c r="G1314" t="s">
        <v>13196</v>
      </c>
    </row>
    <row r="1315" spans="1:7" x14ac:dyDescent="0.3">
      <c r="A1315" s="42" t="s">
        <v>1530</v>
      </c>
      <c r="B1315" s="42" t="s">
        <v>1532</v>
      </c>
      <c r="C1315" s="42" t="s">
        <v>7055</v>
      </c>
      <c r="D1315" s="43" t="s">
        <v>91</v>
      </c>
      <c r="E1315" s="43" t="s">
        <v>91</v>
      </c>
      <c r="F1315" s="42" t="s">
        <v>192</v>
      </c>
      <c r="G1315" t="s">
        <v>13197</v>
      </c>
    </row>
    <row r="1316" spans="1:7" x14ac:dyDescent="0.3">
      <c r="A1316" s="42" t="s">
        <v>1533</v>
      </c>
      <c r="B1316" s="42" t="s">
        <v>1533</v>
      </c>
      <c r="C1316" s="42" t="s">
        <v>7056</v>
      </c>
      <c r="D1316" s="43" t="s">
        <v>228</v>
      </c>
      <c r="E1316" s="43" t="s">
        <v>1430</v>
      </c>
      <c r="F1316" s="42" t="s">
        <v>137</v>
      </c>
      <c r="G1316" t="s">
        <v>13197</v>
      </c>
    </row>
    <row r="1317" spans="1:7" x14ac:dyDescent="0.3">
      <c r="A1317" s="42" t="s">
        <v>1533</v>
      </c>
      <c r="B1317" s="42" t="s">
        <v>1534</v>
      </c>
      <c r="C1317" s="42" t="s">
        <v>7057</v>
      </c>
      <c r="D1317" s="43" t="s">
        <v>228</v>
      </c>
      <c r="E1317" s="43" t="s">
        <v>1430</v>
      </c>
      <c r="F1317" s="42" t="s">
        <v>11469</v>
      </c>
      <c r="G1317" t="s">
        <v>13197</v>
      </c>
    </row>
    <row r="1318" spans="1:7" x14ac:dyDescent="0.3">
      <c r="A1318" s="42" t="s">
        <v>1533</v>
      </c>
      <c r="B1318" s="42" t="s">
        <v>1535</v>
      </c>
      <c r="C1318" s="42" t="s">
        <v>7058</v>
      </c>
      <c r="D1318" s="43" t="s">
        <v>228</v>
      </c>
      <c r="E1318" s="43" t="s">
        <v>1430</v>
      </c>
      <c r="F1318" s="42" t="s">
        <v>11469</v>
      </c>
      <c r="G1318" t="s">
        <v>13197</v>
      </c>
    </row>
    <row r="1319" spans="1:7" x14ac:dyDescent="0.3">
      <c r="A1319" s="42" t="s">
        <v>1533</v>
      </c>
      <c r="B1319" s="42" t="s">
        <v>1536</v>
      </c>
      <c r="C1319" s="42" t="s">
        <v>7059</v>
      </c>
      <c r="D1319" s="43" t="s">
        <v>228</v>
      </c>
      <c r="E1319" s="43" t="s">
        <v>1430</v>
      </c>
      <c r="F1319" s="42" t="s">
        <v>11469</v>
      </c>
      <c r="G1319" t="s">
        <v>13197</v>
      </c>
    </row>
    <row r="1320" spans="1:7" x14ac:dyDescent="0.3">
      <c r="A1320" s="42" t="s">
        <v>1537</v>
      </c>
      <c r="B1320" s="42" t="s">
        <v>1538</v>
      </c>
      <c r="C1320" s="42" t="s">
        <v>7060</v>
      </c>
      <c r="D1320" s="43" t="s">
        <v>231</v>
      </c>
      <c r="E1320" s="43" t="s">
        <v>92</v>
      </c>
      <c r="F1320" s="42" t="s">
        <v>11469</v>
      </c>
      <c r="G1320" t="s">
        <v>13197</v>
      </c>
    </row>
    <row r="1321" spans="1:7" x14ac:dyDescent="0.3">
      <c r="A1321" s="42" t="s">
        <v>1537</v>
      </c>
      <c r="B1321" s="42" t="s">
        <v>1539</v>
      </c>
      <c r="C1321" s="42" t="s">
        <v>7061</v>
      </c>
      <c r="D1321" s="43" t="s">
        <v>231</v>
      </c>
      <c r="E1321" s="43" t="s">
        <v>92</v>
      </c>
      <c r="F1321" s="42" t="s">
        <v>192</v>
      </c>
      <c r="G1321" t="s">
        <v>13196</v>
      </c>
    </row>
    <row r="1322" spans="1:7" x14ac:dyDescent="0.3">
      <c r="A1322" s="42" t="s">
        <v>1537</v>
      </c>
      <c r="B1322" s="42" t="s">
        <v>1540</v>
      </c>
      <c r="C1322" s="42" t="s">
        <v>7062</v>
      </c>
      <c r="D1322" s="43" t="s">
        <v>231</v>
      </c>
      <c r="E1322" s="43" t="s">
        <v>92</v>
      </c>
      <c r="F1322" s="42" t="s">
        <v>192</v>
      </c>
      <c r="G1322" t="s">
        <v>13196</v>
      </c>
    </row>
    <row r="1323" spans="1:7" x14ac:dyDescent="0.3">
      <c r="A1323" s="42" t="s">
        <v>1537</v>
      </c>
      <c r="B1323" s="42" t="s">
        <v>1541</v>
      </c>
      <c r="C1323" s="42" t="s">
        <v>7063</v>
      </c>
      <c r="D1323" s="43" t="s">
        <v>231</v>
      </c>
      <c r="E1323" s="43" t="s">
        <v>92</v>
      </c>
      <c r="F1323" s="42" t="s">
        <v>192</v>
      </c>
      <c r="G1323" t="s">
        <v>13196</v>
      </c>
    </row>
    <row r="1324" spans="1:7" x14ac:dyDescent="0.3">
      <c r="A1324" s="42" t="s">
        <v>1537</v>
      </c>
      <c r="B1324" s="42" t="s">
        <v>1542</v>
      </c>
      <c r="C1324" s="42" t="s">
        <v>7064</v>
      </c>
      <c r="D1324" s="43" t="s">
        <v>231</v>
      </c>
      <c r="E1324" s="43" t="s">
        <v>92</v>
      </c>
      <c r="F1324" s="42" t="s">
        <v>11469</v>
      </c>
      <c r="G1324" t="s">
        <v>13197</v>
      </c>
    </row>
    <row r="1325" spans="1:7" x14ac:dyDescent="0.3">
      <c r="A1325" s="42" t="s">
        <v>1537</v>
      </c>
      <c r="B1325" s="42" t="s">
        <v>1543</v>
      </c>
      <c r="C1325" s="42" t="s">
        <v>7065</v>
      </c>
      <c r="D1325" s="43" t="s">
        <v>231</v>
      </c>
      <c r="E1325" s="43" t="s">
        <v>92</v>
      </c>
      <c r="F1325" s="42" t="s">
        <v>11469</v>
      </c>
      <c r="G1325" t="s">
        <v>13197</v>
      </c>
    </row>
    <row r="1326" spans="1:7" x14ac:dyDescent="0.3">
      <c r="A1326" s="42" t="s">
        <v>1537</v>
      </c>
      <c r="B1326" s="42" t="s">
        <v>1544</v>
      </c>
      <c r="C1326" s="42" t="s">
        <v>7066</v>
      </c>
      <c r="D1326" s="43" t="s">
        <v>231</v>
      </c>
      <c r="E1326" s="43" t="s">
        <v>92</v>
      </c>
      <c r="F1326" s="42" t="s">
        <v>11469</v>
      </c>
      <c r="G1326" t="s">
        <v>13197</v>
      </c>
    </row>
    <row r="1327" spans="1:7" x14ac:dyDescent="0.3">
      <c r="A1327" s="42" t="s">
        <v>1537</v>
      </c>
      <c r="B1327" s="42" t="s">
        <v>1545</v>
      </c>
      <c r="C1327" s="42" t="s">
        <v>7067</v>
      </c>
      <c r="D1327" s="43" t="s">
        <v>231</v>
      </c>
      <c r="E1327" s="43" t="s">
        <v>92</v>
      </c>
      <c r="F1327" s="42" t="s">
        <v>192</v>
      </c>
      <c r="G1327" t="s">
        <v>13196</v>
      </c>
    </row>
    <row r="1328" spans="1:7" x14ac:dyDescent="0.3">
      <c r="A1328" s="42" t="s">
        <v>1537</v>
      </c>
      <c r="B1328" s="42" t="s">
        <v>1546</v>
      </c>
      <c r="C1328" s="42" t="s">
        <v>7068</v>
      </c>
      <c r="D1328" s="43" t="s">
        <v>231</v>
      </c>
      <c r="E1328" s="43" t="s">
        <v>92</v>
      </c>
      <c r="F1328" s="42" t="s">
        <v>192</v>
      </c>
      <c r="G1328" t="s">
        <v>13196</v>
      </c>
    </row>
    <row r="1329" spans="1:7" x14ac:dyDescent="0.3">
      <c r="A1329" s="42" t="s">
        <v>1537</v>
      </c>
      <c r="B1329" s="42" t="s">
        <v>1547</v>
      </c>
      <c r="C1329" s="42" t="s">
        <v>7069</v>
      </c>
      <c r="D1329" s="43" t="s">
        <v>231</v>
      </c>
      <c r="E1329" s="43" t="s">
        <v>92</v>
      </c>
      <c r="F1329" s="42" t="s">
        <v>11469</v>
      </c>
      <c r="G1329" t="s">
        <v>13197</v>
      </c>
    </row>
    <row r="1330" spans="1:7" x14ac:dyDescent="0.3">
      <c r="A1330" s="42" t="s">
        <v>1537</v>
      </c>
      <c r="B1330" s="42" t="s">
        <v>1548</v>
      </c>
      <c r="C1330" s="42" t="s">
        <v>7070</v>
      </c>
      <c r="D1330" s="43" t="s">
        <v>231</v>
      </c>
      <c r="E1330" s="43" t="s">
        <v>92</v>
      </c>
      <c r="F1330" s="42" t="s">
        <v>11469</v>
      </c>
      <c r="G1330" t="s">
        <v>13197</v>
      </c>
    </row>
    <row r="1331" spans="1:7" x14ac:dyDescent="0.3">
      <c r="A1331" s="42" t="s">
        <v>1537</v>
      </c>
      <c r="B1331" s="42" t="s">
        <v>1549</v>
      </c>
      <c r="C1331" s="42" t="s">
        <v>7071</v>
      </c>
      <c r="D1331" s="43" t="s">
        <v>231</v>
      </c>
      <c r="E1331" s="43" t="s">
        <v>92</v>
      </c>
      <c r="F1331" s="42" t="s">
        <v>11469</v>
      </c>
      <c r="G1331" t="s">
        <v>13197</v>
      </c>
    </row>
    <row r="1332" spans="1:7" x14ac:dyDescent="0.3">
      <c r="A1332" s="42" t="s">
        <v>1537</v>
      </c>
      <c r="B1332" s="42" t="s">
        <v>1550</v>
      </c>
      <c r="C1332" s="42" t="s">
        <v>7072</v>
      </c>
      <c r="D1332" s="43" t="s">
        <v>231</v>
      </c>
      <c r="E1332" s="43" t="s">
        <v>92</v>
      </c>
      <c r="F1332" s="42" t="s">
        <v>11469</v>
      </c>
      <c r="G1332" t="s">
        <v>13197</v>
      </c>
    </row>
    <row r="1333" spans="1:7" x14ac:dyDescent="0.3">
      <c r="A1333" s="42" t="s">
        <v>1537</v>
      </c>
      <c r="B1333" s="42" t="s">
        <v>1551</v>
      </c>
      <c r="C1333" s="42" t="s">
        <v>7073</v>
      </c>
      <c r="D1333" s="43" t="s">
        <v>231</v>
      </c>
      <c r="E1333" s="43" t="s">
        <v>92</v>
      </c>
      <c r="F1333" s="42" t="s">
        <v>11469</v>
      </c>
      <c r="G1333" t="s">
        <v>13197</v>
      </c>
    </row>
    <row r="1334" spans="1:7" x14ac:dyDescent="0.3">
      <c r="A1334" s="42" t="s">
        <v>1537</v>
      </c>
      <c r="B1334" s="42" t="s">
        <v>1552</v>
      </c>
      <c r="C1334" s="42" t="s">
        <v>7074</v>
      </c>
      <c r="D1334" s="43" t="s">
        <v>231</v>
      </c>
      <c r="E1334" s="43" t="s">
        <v>92</v>
      </c>
      <c r="F1334" s="42" t="s">
        <v>11469</v>
      </c>
      <c r="G1334" t="s">
        <v>13197</v>
      </c>
    </row>
    <row r="1335" spans="1:7" x14ac:dyDescent="0.3">
      <c r="A1335" s="42" t="s">
        <v>1553</v>
      </c>
      <c r="B1335" s="42" t="s">
        <v>1554</v>
      </c>
      <c r="C1335" s="42" t="s">
        <v>7075</v>
      </c>
      <c r="D1335" s="43" t="s">
        <v>91</v>
      </c>
      <c r="E1335" s="43" t="s">
        <v>91</v>
      </c>
      <c r="F1335" s="42" t="s">
        <v>137</v>
      </c>
      <c r="G1335" t="s">
        <v>13197</v>
      </c>
    </row>
    <row r="1336" spans="1:7" x14ac:dyDescent="0.3">
      <c r="A1336" s="42" t="s">
        <v>1553</v>
      </c>
      <c r="B1336" s="42" t="s">
        <v>1555</v>
      </c>
      <c r="C1336" s="42" t="s">
        <v>7076</v>
      </c>
      <c r="D1336" s="43" t="s">
        <v>91</v>
      </c>
      <c r="E1336" s="43" t="s">
        <v>91</v>
      </c>
      <c r="F1336" s="42" t="s">
        <v>137</v>
      </c>
      <c r="G1336" t="s">
        <v>13200</v>
      </c>
    </row>
    <row r="1337" spans="1:7" x14ac:dyDescent="0.3">
      <c r="A1337" s="42" t="s">
        <v>1553</v>
      </c>
      <c r="B1337" s="42" t="s">
        <v>1556</v>
      </c>
      <c r="C1337" s="42" t="s">
        <v>7077</v>
      </c>
      <c r="D1337" s="43" t="s">
        <v>91</v>
      </c>
      <c r="E1337" s="43" t="s">
        <v>91</v>
      </c>
      <c r="F1337" s="42" t="s">
        <v>137</v>
      </c>
      <c r="G1337" t="s">
        <v>13197</v>
      </c>
    </row>
    <row r="1338" spans="1:7" x14ac:dyDescent="0.3">
      <c r="A1338" s="42" t="s">
        <v>1553</v>
      </c>
      <c r="B1338" s="42" t="s">
        <v>1557</v>
      </c>
      <c r="C1338" s="42" t="s">
        <v>7078</v>
      </c>
      <c r="D1338" s="43" t="s">
        <v>91</v>
      </c>
      <c r="E1338" s="43" t="s">
        <v>91</v>
      </c>
      <c r="F1338" s="42" t="s">
        <v>137</v>
      </c>
      <c r="G1338" t="s">
        <v>13197</v>
      </c>
    </row>
    <row r="1339" spans="1:7" x14ac:dyDescent="0.3">
      <c r="A1339" s="42" t="s">
        <v>1553</v>
      </c>
      <c r="B1339" s="42" t="s">
        <v>1558</v>
      </c>
      <c r="C1339" s="42" t="s">
        <v>7079</v>
      </c>
      <c r="D1339" s="43" t="s">
        <v>91</v>
      </c>
      <c r="E1339" s="43" t="s">
        <v>91</v>
      </c>
      <c r="F1339" s="42" t="s">
        <v>137</v>
      </c>
      <c r="G1339" t="s">
        <v>13196</v>
      </c>
    </row>
    <row r="1340" spans="1:7" x14ac:dyDescent="0.3">
      <c r="A1340" s="42" t="s">
        <v>1553</v>
      </c>
      <c r="B1340" s="42" t="s">
        <v>1559</v>
      </c>
      <c r="C1340" s="42" t="s">
        <v>7080</v>
      </c>
      <c r="D1340" s="43" t="s">
        <v>91</v>
      </c>
      <c r="E1340" s="43" t="s">
        <v>91</v>
      </c>
      <c r="F1340" s="42" t="s">
        <v>137</v>
      </c>
      <c r="G1340" t="s">
        <v>13196</v>
      </c>
    </row>
    <row r="1341" spans="1:7" x14ac:dyDescent="0.3">
      <c r="A1341" s="42" t="s">
        <v>1553</v>
      </c>
      <c r="B1341" s="42" t="s">
        <v>1560</v>
      </c>
      <c r="C1341" s="42" t="s">
        <v>7081</v>
      </c>
      <c r="D1341" s="43" t="s">
        <v>91</v>
      </c>
      <c r="E1341" s="43" t="s">
        <v>91</v>
      </c>
      <c r="F1341" s="42" t="s">
        <v>11469</v>
      </c>
      <c r="G1341" t="s">
        <v>13196</v>
      </c>
    </row>
    <row r="1342" spans="1:7" x14ac:dyDescent="0.3">
      <c r="A1342" s="42" t="s">
        <v>1553</v>
      </c>
      <c r="B1342" s="42" t="s">
        <v>1561</v>
      </c>
      <c r="C1342" s="42" t="s">
        <v>7082</v>
      </c>
      <c r="D1342" s="43" t="s">
        <v>91</v>
      </c>
      <c r="E1342" s="43" t="s">
        <v>91</v>
      </c>
      <c r="F1342" s="42" t="s">
        <v>137</v>
      </c>
      <c r="G1342" t="s">
        <v>13197</v>
      </c>
    </row>
    <row r="1343" spans="1:7" x14ac:dyDescent="0.3">
      <c r="A1343" s="42" t="s">
        <v>1553</v>
      </c>
      <c r="B1343" s="42" t="s">
        <v>1562</v>
      </c>
      <c r="C1343" s="42" t="s">
        <v>7083</v>
      </c>
      <c r="D1343" s="43" t="s">
        <v>91</v>
      </c>
      <c r="E1343" s="43" t="s">
        <v>91</v>
      </c>
      <c r="F1343" s="42" t="s">
        <v>137</v>
      </c>
      <c r="G1343" t="s">
        <v>13197</v>
      </c>
    </row>
    <row r="1344" spans="1:7" x14ac:dyDescent="0.3">
      <c r="A1344" s="42" t="s">
        <v>1553</v>
      </c>
      <c r="B1344" s="42" t="s">
        <v>1563</v>
      </c>
      <c r="C1344" s="42" t="s">
        <v>7084</v>
      </c>
      <c r="D1344" s="43" t="s">
        <v>91</v>
      </c>
      <c r="E1344" s="43" t="s">
        <v>91</v>
      </c>
      <c r="F1344" s="42" t="s">
        <v>137</v>
      </c>
      <c r="G1344" t="s">
        <v>13197</v>
      </c>
    </row>
    <row r="1345" spans="1:7" x14ac:dyDescent="0.3">
      <c r="A1345" s="42" t="s">
        <v>1553</v>
      </c>
      <c r="B1345" s="42" t="s">
        <v>1564</v>
      </c>
      <c r="C1345" s="42" t="s">
        <v>7085</v>
      </c>
      <c r="D1345" s="43" t="s">
        <v>91</v>
      </c>
      <c r="E1345" s="43" t="s">
        <v>91</v>
      </c>
      <c r="F1345" s="42" t="s">
        <v>137</v>
      </c>
      <c r="G1345" t="s">
        <v>13197</v>
      </c>
    </row>
    <row r="1346" spans="1:7" x14ac:dyDescent="0.3">
      <c r="A1346" s="42" t="s">
        <v>1553</v>
      </c>
      <c r="B1346" s="42" t="s">
        <v>1565</v>
      </c>
      <c r="C1346" s="42" t="s">
        <v>7086</v>
      </c>
      <c r="D1346" s="43" t="s">
        <v>91</v>
      </c>
      <c r="E1346" s="43" t="s">
        <v>91</v>
      </c>
      <c r="F1346" s="42" t="s">
        <v>137</v>
      </c>
      <c r="G1346" t="s">
        <v>13197</v>
      </c>
    </row>
    <row r="1347" spans="1:7" x14ac:dyDescent="0.3">
      <c r="A1347" s="42" t="s">
        <v>1553</v>
      </c>
      <c r="B1347" s="42" t="s">
        <v>1566</v>
      </c>
      <c r="C1347" s="42" t="s">
        <v>7087</v>
      </c>
      <c r="D1347" s="43" t="s">
        <v>91</v>
      </c>
      <c r="E1347" s="43" t="s">
        <v>91</v>
      </c>
      <c r="F1347" s="42" t="s">
        <v>137</v>
      </c>
      <c r="G1347" t="s">
        <v>13197</v>
      </c>
    </row>
    <row r="1348" spans="1:7" x14ac:dyDescent="0.3">
      <c r="A1348" s="42" t="s">
        <v>1553</v>
      </c>
      <c r="B1348" s="42" t="s">
        <v>1567</v>
      </c>
      <c r="C1348" s="42" t="s">
        <v>7088</v>
      </c>
      <c r="D1348" s="43" t="s">
        <v>91</v>
      </c>
      <c r="E1348" s="43" t="s">
        <v>91</v>
      </c>
      <c r="F1348" s="42" t="s">
        <v>11469</v>
      </c>
      <c r="G1348" t="s">
        <v>13196</v>
      </c>
    </row>
    <row r="1349" spans="1:7" x14ac:dyDescent="0.3">
      <c r="A1349" s="42" t="s">
        <v>1553</v>
      </c>
      <c r="B1349" s="42" t="s">
        <v>1568</v>
      </c>
      <c r="C1349" s="42" t="s">
        <v>7089</v>
      </c>
      <c r="D1349" s="43" t="s">
        <v>91</v>
      </c>
      <c r="E1349" s="43" t="s">
        <v>91</v>
      </c>
      <c r="F1349" s="42" t="s">
        <v>137</v>
      </c>
      <c r="G1349" t="s">
        <v>13197</v>
      </c>
    </row>
    <row r="1350" spans="1:7" x14ac:dyDescent="0.3">
      <c r="A1350" s="42" t="s">
        <v>1553</v>
      </c>
      <c r="B1350" s="42" t="s">
        <v>1569</v>
      </c>
      <c r="C1350" s="42" t="s">
        <v>7090</v>
      </c>
      <c r="D1350" s="43" t="s">
        <v>91</v>
      </c>
      <c r="E1350" s="43" t="s">
        <v>91</v>
      </c>
      <c r="F1350" s="42" t="s">
        <v>137</v>
      </c>
      <c r="G1350" t="s">
        <v>13197</v>
      </c>
    </row>
    <row r="1351" spans="1:7" x14ac:dyDescent="0.3">
      <c r="A1351" s="42" t="s">
        <v>1553</v>
      </c>
      <c r="B1351" s="42" t="s">
        <v>1570</v>
      </c>
      <c r="C1351" s="42" t="s">
        <v>7091</v>
      </c>
      <c r="D1351" s="43" t="s">
        <v>91</v>
      </c>
      <c r="E1351" s="43" t="s">
        <v>91</v>
      </c>
      <c r="F1351" s="42" t="s">
        <v>137</v>
      </c>
      <c r="G1351" t="s">
        <v>13197</v>
      </c>
    </row>
    <row r="1352" spans="1:7" x14ac:dyDescent="0.3">
      <c r="A1352" s="42" t="s">
        <v>1553</v>
      </c>
      <c r="B1352" s="42" t="s">
        <v>1571</v>
      </c>
      <c r="C1352" s="42" t="s">
        <v>7092</v>
      </c>
      <c r="D1352" s="43" t="s">
        <v>91</v>
      </c>
      <c r="E1352" s="43" t="s">
        <v>91</v>
      </c>
      <c r="F1352" s="42" t="s">
        <v>137</v>
      </c>
      <c r="G1352" t="s">
        <v>13197</v>
      </c>
    </row>
    <row r="1353" spans="1:7" x14ac:dyDescent="0.3">
      <c r="A1353" s="42" t="s">
        <v>1553</v>
      </c>
      <c r="B1353" s="42" t="s">
        <v>1572</v>
      </c>
      <c r="C1353" s="42" t="s">
        <v>7093</v>
      </c>
      <c r="D1353" s="43" t="s">
        <v>91</v>
      </c>
      <c r="E1353" s="43" t="s">
        <v>91</v>
      </c>
      <c r="F1353" s="42" t="s">
        <v>137</v>
      </c>
      <c r="G1353" t="s">
        <v>13197</v>
      </c>
    </row>
    <row r="1354" spans="1:7" x14ac:dyDescent="0.3">
      <c r="A1354" s="42" t="s">
        <v>1553</v>
      </c>
      <c r="B1354" s="42" t="s">
        <v>1573</v>
      </c>
      <c r="C1354" s="42" t="s">
        <v>7094</v>
      </c>
      <c r="D1354" s="43" t="s">
        <v>91</v>
      </c>
      <c r="E1354" s="43" t="s">
        <v>91</v>
      </c>
      <c r="F1354" s="42" t="s">
        <v>137</v>
      </c>
      <c r="G1354" t="s">
        <v>13197</v>
      </c>
    </row>
    <row r="1355" spans="1:7" x14ac:dyDescent="0.3">
      <c r="A1355" s="42" t="s">
        <v>1553</v>
      </c>
      <c r="B1355" s="42" t="s">
        <v>1574</v>
      </c>
      <c r="C1355" s="42" t="s">
        <v>7095</v>
      </c>
      <c r="D1355" s="43" t="s">
        <v>91</v>
      </c>
      <c r="E1355" s="43" t="s">
        <v>91</v>
      </c>
      <c r="F1355" s="42" t="s">
        <v>137</v>
      </c>
      <c r="G1355" t="s">
        <v>13197</v>
      </c>
    </row>
    <row r="1356" spans="1:7" x14ac:dyDescent="0.3">
      <c r="A1356" s="42" t="s">
        <v>1553</v>
      </c>
      <c r="B1356" s="42" t="s">
        <v>1575</v>
      </c>
      <c r="C1356" s="42" t="s">
        <v>7096</v>
      </c>
      <c r="D1356" s="43" t="s">
        <v>91</v>
      </c>
      <c r="E1356" s="43" t="s">
        <v>91</v>
      </c>
      <c r="F1356" s="42" t="s">
        <v>137</v>
      </c>
      <c r="G1356" t="s">
        <v>13196</v>
      </c>
    </row>
    <row r="1357" spans="1:7" x14ac:dyDescent="0.3">
      <c r="A1357" s="42" t="s">
        <v>1553</v>
      </c>
      <c r="B1357" s="42" t="s">
        <v>1576</v>
      </c>
      <c r="C1357" s="42" t="s">
        <v>7097</v>
      </c>
      <c r="D1357" s="43" t="s">
        <v>91</v>
      </c>
      <c r="E1357" s="43" t="s">
        <v>91</v>
      </c>
      <c r="F1357" s="42" t="s">
        <v>137</v>
      </c>
      <c r="G1357" t="s">
        <v>13197</v>
      </c>
    </row>
    <row r="1358" spans="1:7" x14ac:dyDescent="0.3">
      <c r="A1358" s="42" t="s">
        <v>1553</v>
      </c>
      <c r="B1358" s="42" t="s">
        <v>1577</v>
      </c>
      <c r="C1358" s="42" t="s">
        <v>7098</v>
      </c>
      <c r="D1358" s="43" t="s">
        <v>91</v>
      </c>
      <c r="E1358" s="43" t="s">
        <v>91</v>
      </c>
      <c r="F1358" s="42" t="s">
        <v>137</v>
      </c>
      <c r="G1358" t="s">
        <v>13196</v>
      </c>
    </row>
    <row r="1359" spans="1:7" x14ac:dyDescent="0.3">
      <c r="A1359" s="42" t="s">
        <v>1553</v>
      </c>
      <c r="B1359" s="42" t="s">
        <v>1578</v>
      </c>
      <c r="C1359" s="42" t="s">
        <v>7099</v>
      </c>
      <c r="D1359" s="43" t="s">
        <v>91</v>
      </c>
      <c r="E1359" s="43" t="s">
        <v>91</v>
      </c>
      <c r="F1359" s="42" t="s">
        <v>137</v>
      </c>
      <c r="G1359" t="s">
        <v>13197</v>
      </c>
    </row>
    <row r="1360" spans="1:7" x14ac:dyDescent="0.3">
      <c r="A1360" s="42" t="s">
        <v>1553</v>
      </c>
      <c r="B1360" s="42" t="s">
        <v>1579</v>
      </c>
      <c r="C1360" s="42" t="s">
        <v>7100</v>
      </c>
      <c r="D1360" s="43" t="s">
        <v>91</v>
      </c>
      <c r="E1360" s="43" t="s">
        <v>91</v>
      </c>
      <c r="F1360" s="42" t="s">
        <v>137</v>
      </c>
      <c r="G1360" t="s">
        <v>13197</v>
      </c>
    </row>
    <row r="1361" spans="1:7" x14ac:dyDescent="0.3">
      <c r="A1361" s="42" t="s">
        <v>1553</v>
      </c>
      <c r="B1361" s="42" t="s">
        <v>1580</v>
      </c>
      <c r="C1361" s="42" t="s">
        <v>7101</v>
      </c>
      <c r="D1361" s="43" t="s">
        <v>91</v>
      </c>
      <c r="E1361" s="43" t="s">
        <v>91</v>
      </c>
      <c r="F1361" s="42" t="s">
        <v>137</v>
      </c>
      <c r="G1361" t="s">
        <v>13196</v>
      </c>
    </row>
    <row r="1362" spans="1:7" x14ac:dyDescent="0.3">
      <c r="A1362" s="42" t="s">
        <v>1553</v>
      </c>
      <c r="B1362" s="42" t="s">
        <v>1581</v>
      </c>
      <c r="C1362" s="42" t="s">
        <v>7102</v>
      </c>
      <c r="D1362" s="43" t="s">
        <v>91</v>
      </c>
      <c r="E1362" s="43" t="s">
        <v>91</v>
      </c>
      <c r="F1362" s="42" t="s">
        <v>137</v>
      </c>
      <c r="G1362" t="s">
        <v>13196</v>
      </c>
    </row>
    <row r="1363" spans="1:7" x14ac:dyDescent="0.3">
      <c r="A1363" s="42" t="s">
        <v>1553</v>
      </c>
      <c r="B1363" s="42" t="s">
        <v>1582</v>
      </c>
      <c r="C1363" s="42" t="s">
        <v>7103</v>
      </c>
      <c r="D1363" s="43" t="s">
        <v>91</v>
      </c>
      <c r="E1363" s="43" t="s">
        <v>91</v>
      </c>
      <c r="F1363" s="42" t="s">
        <v>137</v>
      </c>
      <c r="G1363" t="s">
        <v>13196</v>
      </c>
    </row>
    <row r="1364" spans="1:7" x14ac:dyDescent="0.3">
      <c r="A1364" s="42" t="s">
        <v>1553</v>
      </c>
      <c r="B1364" s="42" t="s">
        <v>1583</v>
      </c>
      <c r="C1364" s="42" t="s">
        <v>7104</v>
      </c>
      <c r="D1364" s="43" t="s">
        <v>91</v>
      </c>
      <c r="E1364" s="43" t="s">
        <v>91</v>
      </c>
      <c r="F1364" s="42" t="s">
        <v>137</v>
      </c>
      <c r="G1364" t="s">
        <v>13197</v>
      </c>
    </row>
    <row r="1365" spans="1:7" x14ac:dyDescent="0.3">
      <c r="A1365" s="42" t="s">
        <v>1553</v>
      </c>
      <c r="B1365" s="42" t="s">
        <v>1584</v>
      </c>
      <c r="C1365" s="42" t="s">
        <v>7105</v>
      </c>
      <c r="D1365" s="43" t="s">
        <v>91</v>
      </c>
      <c r="E1365" s="43" t="s">
        <v>91</v>
      </c>
      <c r="F1365" s="42" t="s">
        <v>137</v>
      </c>
      <c r="G1365" t="s">
        <v>13197</v>
      </c>
    </row>
    <row r="1366" spans="1:7" x14ac:dyDescent="0.3">
      <c r="A1366" s="42" t="s">
        <v>1553</v>
      </c>
      <c r="B1366" s="42" t="s">
        <v>1585</v>
      </c>
      <c r="C1366" s="42" t="s">
        <v>7106</v>
      </c>
      <c r="D1366" s="43" t="s">
        <v>91</v>
      </c>
      <c r="E1366" s="43" t="s">
        <v>91</v>
      </c>
      <c r="F1366" s="42" t="s">
        <v>137</v>
      </c>
      <c r="G1366" t="s">
        <v>13197</v>
      </c>
    </row>
    <row r="1367" spans="1:7" x14ac:dyDescent="0.3">
      <c r="A1367" s="42" t="s">
        <v>1553</v>
      </c>
      <c r="B1367" s="42" t="s">
        <v>1586</v>
      </c>
      <c r="C1367" s="42" t="s">
        <v>7107</v>
      </c>
      <c r="D1367" s="43" t="s">
        <v>91</v>
      </c>
      <c r="E1367" s="43" t="s">
        <v>91</v>
      </c>
      <c r="F1367" s="42" t="s">
        <v>137</v>
      </c>
      <c r="G1367" t="s">
        <v>13197</v>
      </c>
    </row>
    <row r="1368" spans="1:7" x14ac:dyDescent="0.3">
      <c r="A1368" s="42" t="s">
        <v>1553</v>
      </c>
      <c r="B1368" s="42" t="s">
        <v>1587</v>
      </c>
      <c r="C1368" s="42" t="s">
        <v>7108</v>
      </c>
      <c r="D1368" s="43" t="s">
        <v>91</v>
      </c>
      <c r="E1368" s="43" t="s">
        <v>91</v>
      </c>
      <c r="F1368" s="42" t="s">
        <v>137</v>
      </c>
      <c r="G1368" t="s">
        <v>13197</v>
      </c>
    </row>
    <row r="1369" spans="1:7" x14ac:dyDescent="0.3">
      <c r="A1369" s="42" t="s">
        <v>1553</v>
      </c>
      <c r="B1369" s="42" t="s">
        <v>1588</v>
      </c>
      <c r="C1369" s="42" t="s">
        <v>7109</v>
      </c>
      <c r="D1369" s="43" t="s">
        <v>91</v>
      </c>
      <c r="E1369" s="43" t="s">
        <v>91</v>
      </c>
      <c r="F1369" s="42" t="s">
        <v>137</v>
      </c>
      <c r="G1369" t="s">
        <v>13197</v>
      </c>
    </row>
    <row r="1370" spans="1:7" x14ac:dyDescent="0.3">
      <c r="A1370" s="42" t="s">
        <v>1553</v>
      </c>
      <c r="B1370" s="42" t="s">
        <v>1589</v>
      </c>
      <c r="C1370" s="42" t="s">
        <v>7110</v>
      </c>
      <c r="D1370" s="43" t="s">
        <v>91</v>
      </c>
      <c r="E1370" s="43" t="s">
        <v>91</v>
      </c>
      <c r="F1370" s="42" t="s">
        <v>137</v>
      </c>
      <c r="G1370" t="s">
        <v>13197</v>
      </c>
    </row>
    <row r="1371" spans="1:7" x14ac:dyDescent="0.3">
      <c r="A1371" s="42" t="s">
        <v>1553</v>
      </c>
      <c r="B1371" s="42" t="s">
        <v>1590</v>
      </c>
      <c r="C1371" s="42" t="s">
        <v>7111</v>
      </c>
      <c r="D1371" s="43" t="s">
        <v>91</v>
      </c>
      <c r="E1371" s="43" t="s">
        <v>91</v>
      </c>
      <c r="F1371" s="42" t="s">
        <v>137</v>
      </c>
      <c r="G1371" t="s">
        <v>13197</v>
      </c>
    </row>
    <row r="1372" spans="1:7" x14ac:dyDescent="0.3">
      <c r="A1372" s="42" t="s">
        <v>1553</v>
      </c>
      <c r="B1372" s="42" t="s">
        <v>1531</v>
      </c>
      <c r="C1372" s="42" t="s">
        <v>7112</v>
      </c>
      <c r="D1372" s="43" t="s">
        <v>91</v>
      </c>
      <c r="E1372" s="43" t="s">
        <v>91</v>
      </c>
      <c r="F1372" s="42" t="s">
        <v>11469</v>
      </c>
      <c r="G1372" t="s">
        <v>13196</v>
      </c>
    </row>
    <row r="1373" spans="1:7" x14ac:dyDescent="0.3">
      <c r="A1373" s="42" t="s">
        <v>1553</v>
      </c>
      <c r="B1373" s="42" t="s">
        <v>1591</v>
      </c>
      <c r="C1373" s="42" t="s">
        <v>7113</v>
      </c>
      <c r="D1373" s="43" t="s">
        <v>91</v>
      </c>
      <c r="E1373" s="43" t="s">
        <v>91</v>
      </c>
      <c r="F1373" s="42" t="s">
        <v>137</v>
      </c>
      <c r="G1373" t="s">
        <v>13197</v>
      </c>
    </row>
    <row r="1374" spans="1:7" x14ac:dyDescent="0.3">
      <c r="A1374" s="42" t="s">
        <v>1553</v>
      </c>
      <c r="B1374" s="42" t="s">
        <v>1592</v>
      </c>
      <c r="C1374" s="42" t="s">
        <v>7114</v>
      </c>
      <c r="D1374" s="43" t="s">
        <v>91</v>
      </c>
      <c r="E1374" s="43" t="s">
        <v>91</v>
      </c>
      <c r="F1374" s="42" t="s">
        <v>137</v>
      </c>
      <c r="G1374" t="s">
        <v>13197</v>
      </c>
    </row>
    <row r="1375" spans="1:7" x14ac:dyDescent="0.3">
      <c r="A1375" s="42" t="s">
        <v>1553</v>
      </c>
      <c r="B1375" s="42" t="s">
        <v>1593</v>
      </c>
      <c r="C1375" s="42" t="s">
        <v>7115</v>
      </c>
      <c r="D1375" s="43" t="s">
        <v>91</v>
      </c>
      <c r="E1375" s="43" t="s">
        <v>91</v>
      </c>
      <c r="F1375" s="42" t="s">
        <v>137</v>
      </c>
      <c r="G1375" t="s">
        <v>13197</v>
      </c>
    </row>
    <row r="1376" spans="1:7" x14ac:dyDescent="0.3">
      <c r="A1376" s="42" t="s">
        <v>1553</v>
      </c>
      <c r="B1376" s="42" t="s">
        <v>1594</v>
      </c>
      <c r="C1376" s="42" t="s">
        <v>7116</v>
      </c>
      <c r="D1376" s="43" t="s">
        <v>91</v>
      </c>
      <c r="E1376" s="43" t="s">
        <v>91</v>
      </c>
      <c r="F1376" s="42" t="s">
        <v>137</v>
      </c>
      <c r="G1376" t="s">
        <v>13197</v>
      </c>
    </row>
    <row r="1377" spans="1:7" x14ac:dyDescent="0.3">
      <c r="A1377" s="42" t="s">
        <v>1553</v>
      </c>
      <c r="B1377" s="42" t="s">
        <v>1595</v>
      </c>
      <c r="C1377" s="42" t="s">
        <v>7117</v>
      </c>
      <c r="D1377" s="43" t="s">
        <v>91</v>
      </c>
      <c r="E1377" s="43" t="s">
        <v>91</v>
      </c>
      <c r="F1377" s="42" t="s">
        <v>11469</v>
      </c>
      <c r="G1377" t="s">
        <v>13196</v>
      </c>
    </row>
    <row r="1378" spans="1:7" x14ac:dyDescent="0.3">
      <c r="A1378" s="42" t="s">
        <v>1553</v>
      </c>
      <c r="B1378" s="42" t="s">
        <v>1596</v>
      </c>
      <c r="C1378" s="42" t="s">
        <v>7118</v>
      </c>
      <c r="D1378" s="43" t="s">
        <v>91</v>
      </c>
      <c r="E1378" s="43" t="s">
        <v>91</v>
      </c>
      <c r="F1378" s="42" t="s">
        <v>11469</v>
      </c>
      <c r="G1378" t="s">
        <v>13196</v>
      </c>
    </row>
    <row r="1379" spans="1:7" x14ac:dyDescent="0.3">
      <c r="A1379" s="42" t="s">
        <v>1553</v>
      </c>
      <c r="B1379" s="42" t="s">
        <v>1597</v>
      </c>
      <c r="C1379" s="42" t="s">
        <v>7119</v>
      </c>
      <c r="D1379" s="43" t="s">
        <v>91</v>
      </c>
      <c r="E1379" s="43" t="s">
        <v>91</v>
      </c>
      <c r="F1379" s="42" t="s">
        <v>11469</v>
      </c>
      <c r="G1379" t="s">
        <v>13196</v>
      </c>
    </row>
    <row r="1380" spans="1:7" x14ac:dyDescent="0.3">
      <c r="A1380" s="42" t="s">
        <v>1553</v>
      </c>
      <c r="B1380" s="42" t="s">
        <v>1598</v>
      </c>
      <c r="C1380" s="42" t="s">
        <v>7120</v>
      </c>
      <c r="D1380" s="43" t="s">
        <v>91</v>
      </c>
      <c r="E1380" s="43" t="s">
        <v>91</v>
      </c>
      <c r="F1380" s="42" t="s">
        <v>137</v>
      </c>
      <c r="G1380" t="s">
        <v>13197</v>
      </c>
    </row>
    <row r="1381" spans="1:7" x14ac:dyDescent="0.3">
      <c r="A1381" s="42" t="s">
        <v>1553</v>
      </c>
      <c r="B1381" s="42" t="s">
        <v>1599</v>
      </c>
      <c r="C1381" s="42" t="s">
        <v>7121</v>
      </c>
      <c r="D1381" s="43" t="s">
        <v>91</v>
      </c>
      <c r="E1381" s="43" t="s">
        <v>91</v>
      </c>
      <c r="F1381" s="42" t="s">
        <v>137</v>
      </c>
      <c r="G1381" t="s">
        <v>13197</v>
      </c>
    </row>
    <row r="1382" spans="1:7" x14ac:dyDescent="0.3">
      <c r="A1382" s="42" t="s">
        <v>1553</v>
      </c>
      <c r="B1382" s="42" t="s">
        <v>1600</v>
      </c>
      <c r="C1382" s="42" t="s">
        <v>7122</v>
      </c>
      <c r="D1382" s="43" t="s">
        <v>91</v>
      </c>
      <c r="E1382" s="43" t="s">
        <v>91</v>
      </c>
      <c r="F1382" s="42" t="s">
        <v>137</v>
      </c>
      <c r="G1382" t="s">
        <v>13197</v>
      </c>
    </row>
    <row r="1383" spans="1:7" x14ac:dyDescent="0.3">
      <c r="A1383" s="42" t="s">
        <v>1553</v>
      </c>
      <c r="B1383" s="42" t="s">
        <v>1601</v>
      </c>
      <c r="C1383" s="42" t="s">
        <v>7123</v>
      </c>
      <c r="D1383" s="43" t="s">
        <v>91</v>
      </c>
      <c r="E1383" s="43" t="s">
        <v>91</v>
      </c>
      <c r="F1383" s="42" t="s">
        <v>137</v>
      </c>
      <c r="G1383" t="s">
        <v>13197</v>
      </c>
    </row>
    <row r="1384" spans="1:7" x14ac:dyDescent="0.3">
      <c r="A1384" s="42" t="s">
        <v>1553</v>
      </c>
      <c r="B1384" s="42" t="s">
        <v>1602</v>
      </c>
      <c r="C1384" s="42" t="s">
        <v>7124</v>
      </c>
      <c r="D1384" s="43" t="s">
        <v>91</v>
      </c>
      <c r="E1384" s="43" t="s">
        <v>91</v>
      </c>
      <c r="F1384" s="42" t="s">
        <v>137</v>
      </c>
      <c r="G1384" t="s">
        <v>13197</v>
      </c>
    </row>
    <row r="1385" spans="1:7" x14ac:dyDescent="0.3">
      <c r="A1385" s="42" t="s">
        <v>1553</v>
      </c>
      <c r="B1385" s="42" t="s">
        <v>1603</v>
      </c>
      <c r="C1385" s="42" t="s">
        <v>7125</v>
      </c>
      <c r="D1385" s="43" t="s">
        <v>91</v>
      </c>
      <c r="E1385" s="43" t="s">
        <v>91</v>
      </c>
      <c r="F1385" s="42" t="s">
        <v>11469</v>
      </c>
      <c r="G1385" t="s">
        <v>13196</v>
      </c>
    </row>
    <row r="1386" spans="1:7" x14ac:dyDescent="0.3">
      <c r="A1386" s="42" t="s">
        <v>1553</v>
      </c>
      <c r="B1386" s="42" t="s">
        <v>1604</v>
      </c>
      <c r="C1386" s="42" t="s">
        <v>7126</v>
      </c>
      <c r="D1386" s="43" t="s">
        <v>91</v>
      </c>
      <c r="E1386" s="43" t="s">
        <v>91</v>
      </c>
      <c r="F1386" s="42" t="s">
        <v>137</v>
      </c>
      <c r="G1386" t="s">
        <v>13197</v>
      </c>
    </row>
    <row r="1387" spans="1:7" x14ac:dyDescent="0.3">
      <c r="A1387" s="42" t="s">
        <v>1553</v>
      </c>
      <c r="B1387" s="42" t="s">
        <v>1605</v>
      </c>
      <c r="C1387" s="42" t="s">
        <v>7127</v>
      </c>
      <c r="D1387" s="43" t="s">
        <v>91</v>
      </c>
      <c r="E1387" s="43" t="s">
        <v>91</v>
      </c>
      <c r="F1387" s="42" t="s">
        <v>137</v>
      </c>
      <c r="G1387" t="s">
        <v>13197</v>
      </c>
    </row>
    <row r="1388" spans="1:7" x14ac:dyDescent="0.3">
      <c r="A1388" s="42" t="s">
        <v>1553</v>
      </c>
      <c r="B1388" s="42" t="s">
        <v>1606</v>
      </c>
      <c r="C1388" s="42" t="s">
        <v>7128</v>
      </c>
      <c r="D1388" s="43" t="s">
        <v>91</v>
      </c>
      <c r="E1388" s="43" t="s">
        <v>91</v>
      </c>
      <c r="F1388" s="42" t="s">
        <v>11469</v>
      </c>
      <c r="G1388" t="s">
        <v>13196</v>
      </c>
    </row>
    <row r="1389" spans="1:7" x14ac:dyDescent="0.3">
      <c r="A1389" s="42" t="s">
        <v>1553</v>
      </c>
      <c r="B1389" s="42" t="s">
        <v>1607</v>
      </c>
      <c r="C1389" s="42" t="s">
        <v>7129</v>
      </c>
      <c r="D1389" s="43" t="s">
        <v>91</v>
      </c>
      <c r="E1389" s="43" t="s">
        <v>91</v>
      </c>
      <c r="F1389" s="42" t="s">
        <v>137</v>
      </c>
      <c r="G1389" t="s">
        <v>13197</v>
      </c>
    </row>
    <row r="1390" spans="1:7" x14ac:dyDescent="0.3">
      <c r="A1390" s="42" t="s">
        <v>1553</v>
      </c>
      <c r="B1390" s="42" t="s">
        <v>1608</v>
      </c>
      <c r="C1390" s="42" t="s">
        <v>7130</v>
      </c>
      <c r="D1390" s="43" t="s">
        <v>91</v>
      </c>
      <c r="E1390" s="43" t="s">
        <v>91</v>
      </c>
      <c r="F1390" s="42" t="s">
        <v>137</v>
      </c>
      <c r="G1390" t="s">
        <v>13197</v>
      </c>
    </row>
    <row r="1391" spans="1:7" x14ac:dyDescent="0.3">
      <c r="A1391" s="42" t="s">
        <v>1553</v>
      </c>
      <c r="B1391" s="42" t="s">
        <v>1609</v>
      </c>
      <c r="C1391" s="42" t="s">
        <v>7131</v>
      </c>
      <c r="D1391" s="43" t="s">
        <v>91</v>
      </c>
      <c r="E1391" s="43" t="s">
        <v>91</v>
      </c>
      <c r="F1391" s="42" t="s">
        <v>137</v>
      </c>
      <c r="G1391" t="s">
        <v>13197</v>
      </c>
    </row>
    <row r="1392" spans="1:7" x14ac:dyDescent="0.3">
      <c r="A1392" s="42" t="s">
        <v>1553</v>
      </c>
      <c r="B1392" s="42" t="s">
        <v>1610</v>
      </c>
      <c r="C1392" s="42" t="s">
        <v>7132</v>
      </c>
      <c r="D1392" s="43" t="s">
        <v>91</v>
      </c>
      <c r="E1392" s="43" t="s">
        <v>91</v>
      </c>
      <c r="F1392" s="42" t="s">
        <v>11469</v>
      </c>
      <c r="G1392" t="s">
        <v>13196</v>
      </c>
    </row>
    <row r="1393" spans="1:7" x14ac:dyDescent="0.3">
      <c r="A1393" s="42" t="s">
        <v>1553</v>
      </c>
      <c r="B1393" s="42" t="s">
        <v>1611</v>
      </c>
      <c r="C1393" s="42" t="s">
        <v>7133</v>
      </c>
      <c r="D1393" s="43" t="s">
        <v>91</v>
      </c>
      <c r="E1393" s="43" t="s">
        <v>91</v>
      </c>
      <c r="F1393" s="42" t="s">
        <v>137</v>
      </c>
      <c r="G1393" t="s">
        <v>13197</v>
      </c>
    </row>
    <row r="1394" spans="1:7" x14ac:dyDescent="0.3">
      <c r="A1394" s="42" t="s">
        <v>1553</v>
      </c>
      <c r="B1394" s="42" t="s">
        <v>1612</v>
      </c>
      <c r="C1394" s="42" t="s">
        <v>7134</v>
      </c>
      <c r="D1394" s="43" t="s">
        <v>91</v>
      </c>
      <c r="E1394" s="43" t="s">
        <v>91</v>
      </c>
      <c r="F1394" s="42" t="s">
        <v>137</v>
      </c>
      <c r="G1394" t="s">
        <v>13197</v>
      </c>
    </row>
    <row r="1395" spans="1:7" x14ac:dyDescent="0.3">
      <c r="A1395" s="42" t="s">
        <v>1553</v>
      </c>
      <c r="B1395" s="42" t="s">
        <v>1613</v>
      </c>
      <c r="C1395" s="42" t="s">
        <v>7135</v>
      </c>
      <c r="D1395" s="43" t="s">
        <v>91</v>
      </c>
      <c r="E1395" s="43" t="s">
        <v>91</v>
      </c>
      <c r="F1395" s="42" t="s">
        <v>137</v>
      </c>
      <c r="G1395" t="s">
        <v>13197</v>
      </c>
    </row>
    <row r="1396" spans="1:7" x14ac:dyDescent="0.3">
      <c r="A1396" s="42" t="s">
        <v>1553</v>
      </c>
      <c r="B1396" s="42" t="s">
        <v>1614</v>
      </c>
      <c r="C1396" s="42" t="s">
        <v>7136</v>
      </c>
      <c r="D1396" s="43" t="s">
        <v>91</v>
      </c>
      <c r="E1396" s="43" t="s">
        <v>91</v>
      </c>
      <c r="F1396" s="42" t="s">
        <v>137</v>
      </c>
      <c r="G1396" t="s">
        <v>13197</v>
      </c>
    </row>
    <row r="1397" spans="1:7" x14ac:dyDescent="0.3">
      <c r="A1397" s="42" t="s">
        <v>1553</v>
      </c>
      <c r="B1397" s="42" t="s">
        <v>1615</v>
      </c>
      <c r="C1397" s="42" t="s">
        <v>7137</v>
      </c>
      <c r="D1397" s="43" t="s">
        <v>91</v>
      </c>
      <c r="E1397" s="43" t="s">
        <v>91</v>
      </c>
      <c r="F1397" s="42" t="s">
        <v>137</v>
      </c>
      <c r="G1397" t="s">
        <v>13197</v>
      </c>
    </row>
    <row r="1398" spans="1:7" x14ac:dyDescent="0.3">
      <c r="A1398" s="42" t="s">
        <v>1553</v>
      </c>
      <c r="B1398" s="42" t="s">
        <v>1616</v>
      </c>
      <c r="C1398" s="42" t="s">
        <v>7138</v>
      </c>
      <c r="D1398" s="43" t="s">
        <v>91</v>
      </c>
      <c r="E1398" s="43" t="s">
        <v>91</v>
      </c>
      <c r="F1398" s="42" t="s">
        <v>137</v>
      </c>
      <c r="G1398" t="s">
        <v>13197</v>
      </c>
    </row>
    <row r="1399" spans="1:7" x14ac:dyDescent="0.3">
      <c r="A1399" s="42" t="s">
        <v>1553</v>
      </c>
      <c r="B1399" s="42" t="s">
        <v>1617</v>
      </c>
      <c r="C1399" s="42" t="s">
        <v>7139</v>
      </c>
      <c r="D1399" s="43" t="s">
        <v>91</v>
      </c>
      <c r="E1399" s="43" t="s">
        <v>91</v>
      </c>
      <c r="F1399" s="42" t="s">
        <v>137</v>
      </c>
      <c r="G1399" t="s">
        <v>13198</v>
      </c>
    </row>
    <row r="1400" spans="1:7" x14ac:dyDescent="0.3">
      <c r="A1400" s="42" t="s">
        <v>1553</v>
      </c>
      <c r="B1400" s="42" t="s">
        <v>1618</v>
      </c>
      <c r="C1400" s="42" t="s">
        <v>7140</v>
      </c>
      <c r="D1400" s="43" t="s">
        <v>91</v>
      </c>
      <c r="E1400" s="43" t="s">
        <v>91</v>
      </c>
      <c r="F1400" s="42" t="s">
        <v>137</v>
      </c>
      <c r="G1400" t="s">
        <v>13200</v>
      </c>
    </row>
    <row r="1401" spans="1:7" x14ac:dyDescent="0.3">
      <c r="A1401" s="42" t="s">
        <v>1553</v>
      </c>
      <c r="B1401" s="42" t="s">
        <v>1619</v>
      </c>
      <c r="C1401" s="42" t="s">
        <v>7141</v>
      </c>
      <c r="D1401" s="43" t="s">
        <v>91</v>
      </c>
      <c r="E1401" s="43" t="s">
        <v>91</v>
      </c>
      <c r="F1401" s="42" t="s">
        <v>137</v>
      </c>
      <c r="G1401" t="s">
        <v>13197</v>
      </c>
    </row>
    <row r="1402" spans="1:7" x14ac:dyDescent="0.3">
      <c r="A1402" s="42" t="s">
        <v>1553</v>
      </c>
      <c r="B1402" s="42" t="s">
        <v>1620</v>
      </c>
      <c r="C1402" s="42" t="s">
        <v>7142</v>
      </c>
      <c r="D1402" s="43" t="s">
        <v>91</v>
      </c>
      <c r="E1402" s="43" t="s">
        <v>91</v>
      </c>
      <c r="F1402" s="42" t="s">
        <v>137</v>
      </c>
      <c r="G1402" t="s">
        <v>13197</v>
      </c>
    </row>
    <row r="1403" spans="1:7" x14ac:dyDescent="0.3">
      <c r="A1403" s="42" t="s">
        <v>1553</v>
      </c>
      <c r="B1403" s="42" t="s">
        <v>1621</v>
      </c>
      <c r="C1403" s="42" t="s">
        <v>7143</v>
      </c>
      <c r="D1403" s="43" t="s">
        <v>91</v>
      </c>
      <c r="E1403" s="43" t="s">
        <v>91</v>
      </c>
      <c r="F1403" s="42" t="s">
        <v>137</v>
      </c>
      <c r="G1403" t="s">
        <v>13197</v>
      </c>
    </row>
    <row r="1404" spans="1:7" x14ac:dyDescent="0.3">
      <c r="A1404" s="42" t="s">
        <v>1553</v>
      </c>
      <c r="B1404" s="42" t="s">
        <v>1622</v>
      </c>
      <c r="C1404" s="42" t="s">
        <v>7144</v>
      </c>
      <c r="D1404" s="43" t="s">
        <v>91</v>
      </c>
      <c r="E1404" s="43" t="s">
        <v>91</v>
      </c>
      <c r="F1404" s="42" t="s">
        <v>137</v>
      </c>
      <c r="G1404" t="s">
        <v>13197</v>
      </c>
    </row>
    <row r="1405" spans="1:7" x14ac:dyDescent="0.3">
      <c r="A1405" s="42" t="s">
        <v>1553</v>
      </c>
      <c r="B1405" s="42" t="s">
        <v>1623</v>
      </c>
      <c r="C1405" s="42" t="s">
        <v>7145</v>
      </c>
      <c r="D1405" s="43" t="s">
        <v>91</v>
      </c>
      <c r="E1405" s="43" t="s">
        <v>91</v>
      </c>
      <c r="F1405" s="42" t="s">
        <v>11469</v>
      </c>
      <c r="G1405" t="s">
        <v>13197</v>
      </c>
    </row>
    <row r="1406" spans="1:7" x14ac:dyDescent="0.3">
      <c r="A1406" s="42" t="s">
        <v>1553</v>
      </c>
      <c r="B1406" s="42" t="s">
        <v>1624</v>
      </c>
      <c r="C1406" s="42" t="s">
        <v>7146</v>
      </c>
      <c r="D1406" s="43" t="s">
        <v>91</v>
      </c>
      <c r="E1406" s="43" t="s">
        <v>91</v>
      </c>
      <c r="F1406" s="42" t="s">
        <v>11469</v>
      </c>
      <c r="G1406" t="s">
        <v>13196</v>
      </c>
    </row>
    <row r="1407" spans="1:7" x14ac:dyDescent="0.3">
      <c r="A1407" s="42" t="s">
        <v>1553</v>
      </c>
      <c r="B1407" s="42" t="s">
        <v>1625</v>
      </c>
      <c r="C1407" s="42" t="s">
        <v>7147</v>
      </c>
      <c r="D1407" s="43" t="s">
        <v>91</v>
      </c>
      <c r="E1407" s="43" t="s">
        <v>91</v>
      </c>
      <c r="F1407" s="42" t="s">
        <v>137</v>
      </c>
      <c r="G1407" t="s">
        <v>13196</v>
      </c>
    </row>
    <row r="1408" spans="1:7" x14ac:dyDescent="0.3">
      <c r="A1408" s="42" t="s">
        <v>1553</v>
      </c>
      <c r="B1408" s="42" t="s">
        <v>1626</v>
      </c>
      <c r="C1408" s="42" t="s">
        <v>7148</v>
      </c>
      <c r="D1408" s="43" t="s">
        <v>91</v>
      </c>
      <c r="E1408" s="43" t="s">
        <v>91</v>
      </c>
      <c r="F1408" s="42" t="s">
        <v>11469</v>
      </c>
      <c r="G1408" t="s">
        <v>13196</v>
      </c>
    </row>
    <row r="1409" spans="1:7" x14ac:dyDescent="0.3">
      <c r="A1409" s="42" t="s">
        <v>1553</v>
      </c>
      <c r="B1409" s="42" t="s">
        <v>1627</v>
      </c>
      <c r="C1409" s="42" t="s">
        <v>7149</v>
      </c>
      <c r="D1409" s="43" t="s">
        <v>91</v>
      </c>
      <c r="E1409" s="43" t="s">
        <v>91</v>
      </c>
      <c r="F1409" s="42" t="s">
        <v>137</v>
      </c>
      <c r="G1409" t="s">
        <v>13197</v>
      </c>
    </row>
    <row r="1410" spans="1:7" x14ac:dyDescent="0.3">
      <c r="A1410" s="42" t="s">
        <v>1553</v>
      </c>
      <c r="B1410" s="42" t="s">
        <v>1628</v>
      </c>
      <c r="C1410" s="42" t="s">
        <v>7150</v>
      </c>
      <c r="D1410" s="43" t="s">
        <v>91</v>
      </c>
      <c r="E1410" s="43" t="s">
        <v>91</v>
      </c>
      <c r="F1410" s="42" t="s">
        <v>137</v>
      </c>
      <c r="G1410" t="s">
        <v>13197</v>
      </c>
    </row>
    <row r="1411" spans="1:7" x14ac:dyDescent="0.3">
      <c r="A1411" s="42" t="s">
        <v>1553</v>
      </c>
      <c r="B1411" s="42" t="s">
        <v>1629</v>
      </c>
      <c r="C1411" s="42" t="s">
        <v>7151</v>
      </c>
      <c r="D1411" s="43" t="s">
        <v>91</v>
      </c>
      <c r="E1411" s="43" t="s">
        <v>91</v>
      </c>
      <c r="F1411" s="42" t="s">
        <v>137</v>
      </c>
      <c r="G1411" t="s">
        <v>13197</v>
      </c>
    </row>
    <row r="1412" spans="1:7" x14ac:dyDescent="0.3">
      <c r="A1412" s="42" t="s">
        <v>1553</v>
      </c>
      <c r="B1412" s="42" t="s">
        <v>1630</v>
      </c>
      <c r="C1412" s="42" t="s">
        <v>7152</v>
      </c>
      <c r="D1412" s="43" t="s">
        <v>91</v>
      </c>
      <c r="E1412" s="43" t="s">
        <v>91</v>
      </c>
      <c r="F1412" s="42" t="s">
        <v>11469</v>
      </c>
      <c r="G1412" t="s">
        <v>13196</v>
      </c>
    </row>
    <row r="1413" spans="1:7" x14ac:dyDescent="0.3">
      <c r="A1413" s="42" t="s">
        <v>1553</v>
      </c>
      <c r="B1413" s="42" t="s">
        <v>1631</v>
      </c>
      <c r="C1413" s="42" t="s">
        <v>7153</v>
      </c>
      <c r="D1413" s="43" t="s">
        <v>91</v>
      </c>
      <c r="E1413" s="43" t="s">
        <v>91</v>
      </c>
      <c r="F1413" s="42" t="s">
        <v>137</v>
      </c>
      <c r="G1413" t="s">
        <v>13197</v>
      </c>
    </row>
    <row r="1414" spans="1:7" x14ac:dyDescent="0.3">
      <c r="A1414" s="42" t="s">
        <v>1553</v>
      </c>
      <c r="B1414" s="42" t="s">
        <v>1632</v>
      </c>
      <c r="C1414" s="42" t="s">
        <v>7154</v>
      </c>
      <c r="D1414" s="43" t="s">
        <v>91</v>
      </c>
      <c r="E1414" s="43" t="s">
        <v>91</v>
      </c>
      <c r="F1414" s="42" t="s">
        <v>137</v>
      </c>
      <c r="G1414" t="s">
        <v>13197</v>
      </c>
    </row>
    <row r="1415" spans="1:7" x14ac:dyDescent="0.3">
      <c r="A1415" s="42" t="s">
        <v>1553</v>
      </c>
      <c r="B1415" s="42" t="s">
        <v>1633</v>
      </c>
      <c r="C1415" s="42" t="s">
        <v>7155</v>
      </c>
      <c r="D1415" s="43" t="s">
        <v>91</v>
      </c>
      <c r="E1415" s="43" t="s">
        <v>91</v>
      </c>
      <c r="F1415" s="42" t="s">
        <v>137</v>
      </c>
      <c r="G1415" t="s">
        <v>13197</v>
      </c>
    </row>
    <row r="1416" spans="1:7" x14ac:dyDescent="0.3">
      <c r="A1416" s="42" t="s">
        <v>1553</v>
      </c>
      <c r="B1416" s="42" t="s">
        <v>1634</v>
      </c>
      <c r="C1416" s="42" t="s">
        <v>7156</v>
      </c>
      <c r="D1416" s="43" t="s">
        <v>91</v>
      </c>
      <c r="E1416" s="43" t="s">
        <v>91</v>
      </c>
      <c r="F1416" s="42" t="s">
        <v>137</v>
      </c>
      <c r="G1416" t="s">
        <v>13196</v>
      </c>
    </row>
    <row r="1417" spans="1:7" x14ac:dyDescent="0.3">
      <c r="A1417" s="42" t="s">
        <v>1553</v>
      </c>
      <c r="B1417" s="42" t="s">
        <v>1635</v>
      </c>
      <c r="C1417" s="42" t="s">
        <v>7157</v>
      </c>
      <c r="D1417" s="43" t="s">
        <v>91</v>
      </c>
      <c r="E1417" s="43" t="s">
        <v>91</v>
      </c>
      <c r="F1417" s="42" t="s">
        <v>137</v>
      </c>
      <c r="G1417" t="s">
        <v>13197</v>
      </c>
    </row>
    <row r="1418" spans="1:7" x14ac:dyDescent="0.3">
      <c r="A1418" s="42" t="s">
        <v>1553</v>
      </c>
      <c r="B1418" s="42" t="s">
        <v>1636</v>
      </c>
      <c r="C1418" s="42" t="s">
        <v>7158</v>
      </c>
      <c r="D1418" s="43" t="s">
        <v>91</v>
      </c>
      <c r="E1418" s="43" t="s">
        <v>91</v>
      </c>
      <c r="F1418" s="42" t="s">
        <v>137</v>
      </c>
      <c r="G1418" t="s">
        <v>13197</v>
      </c>
    </row>
    <row r="1419" spans="1:7" x14ac:dyDescent="0.3">
      <c r="A1419" s="42" t="s">
        <v>1553</v>
      </c>
      <c r="B1419" s="42" t="s">
        <v>1637</v>
      </c>
      <c r="C1419" s="42" t="s">
        <v>7159</v>
      </c>
      <c r="D1419" s="43" t="s">
        <v>91</v>
      </c>
      <c r="E1419" s="43" t="s">
        <v>91</v>
      </c>
      <c r="F1419" s="42" t="s">
        <v>137</v>
      </c>
      <c r="G1419" t="s">
        <v>13196</v>
      </c>
    </row>
    <row r="1420" spans="1:7" x14ac:dyDescent="0.3">
      <c r="A1420" s="42" t="s">
        <v>1553</v>
      </c>
      <c r="B1420" s="42" t="s">
        <v>1638</v>
      </c>
      <c r="C1420" s="42" t="s">
        <v>7160</v>
      </c>
      <c r="D1420" s="43" t="s">
        <v>91</v>
      </c>
      <c r="E1420" s="43" t="s">
        <v>91</v>
      </c>
      <c r="F1420" s="42" t="s">
        <v>137</v>
      </c>
      <c r="G1420" t="s">
        <v>13197</v>
      </c>
    </row>
    <row r="1421" spans="1:7" x14ac:dyDescent="0.3">
      <c r="A1421" s="42" t="s">
        <v>1553</v>
      </c>
      <c r="B1421" s="42" t="s">
        <v>1639</v>
      </c>
      <c r="C1421" s="42" t="s">
        <v>7161</v>
      </c>
      <c r="D1421" s="43" t="s">
        <v>91</v>
      </c>
      <c r="E1421" s="43" t="s">
        <v>91</v>
      </c>
      <c r="F1421" s="42" t="s">
        <v>11469</v>
      </c>
      <c r="G1421" t="s">
        <v>13196</v>
      </c>
    </row>
    <row r="1422" spans="1:7" x14ac:dyDescent="0.3">
      <c r="A1422" s="42" t="s">
        <v>1553</v>
      </c>
      <c r="B1422" s="42" t="s">
        <v>1640</v>
      </c>
      <c r="C1422" s="42" t="s">
        <v>7162</v>
      </c>
      <c r="D1422" s="43" t="s">
        <v>91</v>
      </c>
      <c r="E1422" s="43" t="s">
        <v>91</v>
      </c>
      <c r="F1422" s="42" t="s">
        <v>137</v>
      </c>
      <c r="G1422" t="s">
        <v>13197</v>
      </c>
    </row>
    <row r="1423" spans="1:7" x14ac:dyDescent="0.3">
      <c r="A1423" s="42" t="s">
        <v>1553</v>
      </c>
      <c r="B1423" s="42" t="s">
        <v>1641</v>
      </c>
      <c r="C1423" s="42" t="s">
        <v>7163</v>
      </c>
      <c r="D1423" s="43" t="s">
        <v>91</v>
      </c>
      <c r="E1423" s="43" t="s">
        <v>91</v>
      </c>
      <c r="F1423" s="42" t="s">
        <v>137</v>
      </c>
      <c r="G1423" t="s">
        <v>13197</v>
      </c>
    </row>
    <row r="1424" spans="1:7" x14ac:dyDescent="0.3">
      <c r="A1424" s="42" t="s">
        <v>1553</v>
      </c>
      <c r="B1424" s="42" t="s">
        <v>1642</v>
      </c>
      <c r="C1424" s="42" t="s">
        <v>7164</v>
      </c>
      <c r="D1424" s="43" t="s">
        <v>91</v>
      </c>
      <c r="E1424" s="43" t="s">
        <v>91</v>
      </c>
      <c r="F1424" s="42" t="s">
        <v>137</v>
      </c>
      <c r="G1424" t="s">
        <v>13197</v>
      </c>
    </row>
    <row r="1425" spans="1:7" x14ac:dyDescent="0.3">
      <c r="A1425" s="42" t="s">
        <v>1553</v>
      </c>
      <c r="B1425" s="42" t="s">
        <v>1643</v>
      </c>
      <c r="C1425" s="42" t="s">
        <v>7165</v>
      </c>
      <c r="D1425" s="43" t="s">
        <v>91</v>
      </c>
      <c r="E1425" s="43" t="s">
        <v>91</v>
      </c>
      <c r="F1425" s="42" t="s">
        <v>137</v>
      </c>
      <c r="G1425" t="s">
        <v>13197</v>
      </c>
    </row>
    <row r="1426" spans="1:7" x14ac:dyDescent="0.3">
      <c r="A1426" s="42" t="s">
        <v>1553</v>
      </c>
      <c r="B1426" s="42" t="s">
        <v>1644</v>
      </c>
      <c r="C1426" s="42" t="s">
        <v>7166</v>
      </c>
      <c r="D1426" s="43" t="s">
        <v>91</v>
      </c>
      <c r="E1426" s="43" t="s">
        <v>91</v>
      </c>
      <c r="F1426" s="42" t="s">
        <v>137</v>
      </c>
      <c r="G1426" t="s">
        <v>13197</v>
      </c>
    </row>
    <row r="1427" spans="1:7" x14ac:dyDescent="0.3">
      <c r="A1427" s="42" t="s">
        <v>1553</v>
      </c>
      <c r="B1427" s="42" t="s">
        <v>1645</v>
      </c>
      <c r="C1427" s="42" t="s">
        <v>7167</v>
      </c>
      <c r="D1427" s="43" t="s">
        <v>91</v>
      </c>
      <c r="E1427" s="43" t="s">
        <v>91</v>
      </c>
      <c r="F1427" s="42" t="s">
        <v>137</v>
      </c>
      <c r="G1427" t="s">
        <v>13198</v>
      </c>
    </row>
    <row r="1428" spans="1:7" x14ac:dyDescent="0.3">
      <c r="A1428" s="42" t="s">
        <v>1553</v>
      </c>
      <c r="B1428" s="42" t="s">
        <v>1646</v>
      </c>
      <c r="C1428" s="42" t="s">
        <v>7168</v>
      </c>
      <c r="D1428" s="43" t="s">
        <v>91</v>
      </c>
      <c r="E1428" s="43" t="s">
        <v>91</v>
      </c>
      <c r="F1428" s="42" t="s">
        <v>137</v>
      </c>
      <c r="G1428" t="s">
        <v>13197</v>
      </c>
    </row>
    <row r="1429" spans="1:7" x14ac:dyDescent="0.3">
      <c r="A1429" s="42" t="s">
        <v>1553</v>
      </c>
      <c r="B1429" s="42" t="s">
        <v>1647</v>
      </c>
      <c r="C1429" s="42" t="s">
        <v>7169</v>
      </c>
      <c r="D1429" s="43" t="s">
        <v>91</v>
      </c>
      <c r="E1429" s="43" t="s">
        <v>91</v>
      </c>
      <c r="F1429" s="42" t="s">
        <v>137</v>
      </c>
      <c r="G1429" t="s">
        <v>13197</v>
      </c>
    </row>
    <row r="1430" spans="1:7" x14ac:dyDescent="0.3">
      <c r="A1430" s="42" t="s">
        <v>1553</v>
      </c>
      <c r="B1430" s="42" t="s">
        <v>1648</v>
      </c>
      <c r="C1430" s="42" t="s">
        <v>7170</v>
      </c>
      <c r="D1430" s="43" t="s">
        <v>91</v>
      </c>
      <c r="E1430" s="43" t="s">
        <v>91</v>
      </c>
      <c r="F1430" s="42" t="s">
        <v>11469</v>
      </c>
      <c r="G1430" t="s">
        <v>13196</v>
      </c>
    </row>
    <row r="1431" spans="1:7" x14ac:dyDescent="0.3">
      <c r="A1431" s="42" t="s">
        <v>1553</v>
      </c>
      <c r="B1431" s="42" t="s">
        <v>1649</v>
      </c>
      <c r="C1431" s="42" t="s">
        <v>7171</v>
      </c>
      <c r="D1431" s="43" t="s">
        <v>91</v>
      </c>
      <c r="E1431" s="43" t="s">
        <v>91</v>
      </c>
      <c r="F1431" s="42" t="s">
        <v>137</v>
      </c>
      <c r="G1431" t="s">
        <v>13197</v>
      </c>
    </row>
    <row r="1432" spans="1:7" x14ac:dyDescent="0.3">
      <c r="A1432" s="42" t="s">
        <v>1553</v>
      </c>
      <c r="B1432" s="42" t="s">
        <v>1650</v>
      </c>
      <c r="C1432" s="42" t="s">
        <v>7172</v>
      </c>
      <c r="D1432" s="43" t="s">
        <v>91</v>
      </c>
      <c r="E1432" s="43" t="s">
        <v>91</v>
      </c>
      <c r="F1432" s="42" t="s">
        <v>137</v>
      </c>
      <c r="G1432" t="s">
        <v>13196</v>
      </c>
    </row>
    <row r="1433" spans="1:7" x14ac:dyDescent="0.3">
      <c r="A1433" s="42" t="s">
        <v>1553</v>
      </c>
      <c r="B1433" s="42" t="s">
        <v>1248</v>
      </c>
      <c r="C1433" s="42" t="s">
        <v>7173</v>
      </c>
      <c r="D1433" s="43" t="s">
        <v>91</v>
      </c>
      <c r="E1433" s="43" t="s">
        <v>91</v>
      </c>
      <c r="F1433" s="42" t="s">
        <v>11469</v>
      </c>
      <c r="G1433" t="s">
        <v>13196</v>
      </c>
    </row>
    <row r="1434" spans="1:7" x14ac:dyDescent="0.3">
      <c r="A1434" s="42" t="s">
        <v>1553</v>
      </c>
      <c r="B1434" s="42" t="s">
        <v>1651</v>
      </c>
      <c r="C1434" s="42" t="s">
        <v>7174</v>
      </c>
      <c r="D1434" s="43" t="s">
        <v>91</v>
      </c>
      <c r="E1434" s="43" t="s">
        <v>91</v>
      </c>
      <c r="F1434" s="42" t="s">
        <v>11469</v>
      </c>
      <c r="G1434" t="s">
        <v>13196</v>
      </c>
    </row>
    <row r="1435" spans="1:7" x14ac:dyDescent="0.3">
      <c r="A1435" s="42" t="s">
        <v>1553</v>
      </c>
      <c r="B1435" s="42" t="s">
        <v>1652</v>
      </c>
      <c r="C1435" s="42" t="s">
        <v>7175</v>
      </c>
      <c r="D1435" s="43" t="s">
        <v>91</v>
      </c>
      <c r="E1435" s="43" t="s">
        <v>91</v>
      </c>
      <c r="F1435" s="42" t="s">
        <v>137</v>
      </c>
      <c r="G1435" t="s">
        <v>13197</v>
      </c>
    </row>
    <row r="1436" spans="1:7" x14ac:dyDescent="0.3">
      <c r="A1436" s="42" t="s">
        <v>1553</v>
      </c>
      <c r="B1436" s="42" t="s">
        <v>1653</v>
      </c>
      <c r="C1436" s="42" t="s">
        <v>7176</v>
      </c>
      <c r="D1436" s="43" t="s">
        <v>91</v>
      </c>
      <c r="E1436" s="43" t="s">
        <v>91</v>
      </c>
      <c r="F1436" s="42" t="s">
        <v>137</v>
      </c>
      <c r="G1436" t="s">
        <v>13197</v>
      </c>
    </row>
    <row r="1437" spans="1:7" x14ac:dyDescent="0.3">
      <c r="A1437" s="42" t="s">
        <v>1553</v>
      </c>
      <c r="B1437" s="42" t="s">
        <v>1654</v>
      </c>
      <c r="C1437" s="42" t="s">
        <v>7177</v>
      </c>
      <c r="D1437" s="43" t="s">
        <v>91</v>
      </c>
      <c r="E1437" s="43" t="s">
        <v>91</v>
      </c>
      <c r="F1437" s="42" t="s">
        <v>137</v>
      </c>
      <c r="G1437" t="s">
        <v>13197</v>
      </c>
    </row>
    <row r="1438" spans="1:7" x14ac:dyDescent="0.3">
      <c r="A1438" s="42" t="s">
        <v>1553</v>
      </c>
      <c r="B1438" s="42" t="s">
        <v>1655</v>
      </c>
      <c r="C1438" s="42" t="s">
        <v>7178</v>
      </c>
      <c r="D1438" s="43" t="s">
        <v>91</v>
      </c>
      <c r="E1438" s="43" t="s">
        <v>91</v>
      </c>
      <c r="F1438" s="42" t="s">
        <v>11469</v>
      </c>
      <c r="G1438" t="s">
        <v>13196</v>
      </c>
    </row>
    <row r="1439" spans="1:7" x14ac:dyDescent="0.3">
      <c r="A1439" s="42" t="s">
        <v>1553</v>
      </c>
      <c r="B1439" s="42" t="s">
        <v>1656</v>
      </c>
      <c r="C1439" s="42" t="s">
        <v>7179</v>
      </c>
      <c r="D1439" s="43" t="s">
        <v>91</v>
      </c>
      <c r="E1439" s="43" t="s">
        <v>91</v>
      </c>
      <c r="F1439" s="42" t="s">
        <v>137</v>
      </c>
      <c r="G1439" t="s">
        <v>13197</v>
      </c>
    </row>
    <row r="1440" spans="1:7" x14ac:dyDescent="0.3">
      <c r="A1440" s="42" t="s">
        <v>1553</v>
      </c>
      <c r="B1440" s="42" t="s">
        <v>1657</v>
      </c>
      <c r="C1440" s="42" t="s">
        <v>7180</v>
      </c>
      <c r="D1440" s="43" t="s">
        <v>91</v>
      </c>
      <c r="E1440" s="43" t="s">
        <v>91</v>
      </c>
      <c r="F1440" s="42" t="s">
        <v>137</v>
      </c>
      <c r="G1440" t="s">
        <v>13197</v>
      </c>
    </row>
    <row r="1441" spans="1:7" x14ac:dyDescent="0.3">
      <c r="A1441" s="42" t="s">
        <v>1553</v>
      </c>
      <c r="B1441" s="42" t="s">
        <v>1658</v>
      </c>
      <c r="C1441" s="42" t="s">
        <v>7181</v>
      </c>
      <c r="D1441" s="43" t="s">
        <v>91</v>
      </c>
      <c r="E1441" s="43" t="s">
        <v>91</v>
      </c>
      <c r="F1441" s="42" t="s">
        <v>137</v>
      </c>
      <c r="G1441" t="s">
        <v>13197</v>
      </c>
    </row>
    <row r="1442" spans="1:7" x14ac:dyDescent="0.3">
      <c r="A1442" s="42" t="s">
        <v>1553</v>
      </c>
      <c r="B1442" s="42" t="s">
        <v>1659</v>
      </c>
      <c r="C1442" s="42" t="s">
        <v>7182</v>
      </c>
      <c r="D1442" s="43" t="s">
        <v>91</v>
      </c>
      <c r="E1442" s="43" t="s">
        <v>91</v>
      </c>
      <c r="F1442" s="42" t="s">
        <v>137</v>
      </c>
      <c r="G1442" t="s">
        <v>13197</v>
      </c>
    </row>
    <row r="1443" spans="1:7" x14ac:dyDescent="0.3">
      <c r="A1443" s="42" t="s">
        <v>1553</v>
      </c>
      <c r="B1443" s="42" t="s">
        <v>1660</v>
      </c>
      <c r="C1443" s="42" t="s">
        <v>7183</v>
      </c>
      <c r="D1443" s="43" t="s">
        <v>91</v>
      </c>
      <c r="E1443" s="43" t="s">
        <v>91</v>
      </c>
      <c r="F1443" s="42" t="s">
        <v>137</v>
      </c>
      <c r="G1443" t="s">
        <v>13197</v>
      </c>
    </row>
    <row r="1444" spans="1:7" x14ac:dyDescent="0.3">
      <c r="A1444" s="42" t="s">
        <v>1553</v>
      </c>
      <c r="B1444" s="42" t="s">
        <v>1661</v>
      </c>
      <c r="C1444" s="42" t="s">
        <v>7184</v>
      </c>
      <c r="D1444" s="43" t="s">
        <v>91</v>
      </c>
      <c r="E1444" s="43" t="s">
        <v>91</v>
      </c>
      <c r="F1444" s="42" t="s">
        <v>137</v>
      </c>
      <c r="G1444" t="s">
        <v>13197</v>
      </c>
    </row>
    <row r="1445" spans="1:7" x14ac:dyDescent="0.3">
      <c r="A1445" s="42" t="s">
        <v>1553</v>
      </c>
      <c r="B1445" s="42" t="s">
        <v>1662</v>
      </c>
      <c r="C1445" s="42" t="s">
        <v>7185</v>
      </c>
      <c r="D1445" s="43" t="s">
        <v>91</v>
      </c>
      <c r="E1445" s="43" t="s">
        <v>91</v>
      </c>
      <c r="F1445" s="42" t="s">
        <v>137</v>
      </c>
      <c r="G1445" t="s">
        <v>13197</v>
      </c>
    </row>
    <row r="1446" spans="1:7" x14ac:dyDescent="0.3">
      <c r="A1446" s="42" t="s">
        <v>1553</v>
      </c>
      <c r="B1446" s="42" t="s">
        <v>1663</v>
      </c>
      <c r="C1446" s="42" t="s">
        <v>7186</v>
      </c>
      <c r="D1446" s="43" t="s">
        <v>91</v>
      </c>
      <c r="E1446" s="43" t="s">
        <v>91</v>
      </c>
      <c r="F1446" s="42" t="s">
        <v>137</v>
      </c>
      <c r="G1446" t="s">
        <v>13196</v>
      </c>
    </row>
    <row r="1447" spans="1:7" x14ac:dyDescent="0.3">
      <c r="A1447" s="42" t="s">
        <v>1553</v>
      </c>
      <c r="B1447" s="42" t="s">
        <v>1664</v>
      </c>
      <c r="C1447" s="42" t="s">
        <v>7187</v>
      </c>
      <c r="D1447" s="43" t="s">
        <v>91</v>
      </c>
      <c r="E1447" s="43" t="s">
        <v>91</v>
      </c>
      <c r="F1447" s="42" t="s">
        <v>137</v>
      </c>
      <c r="G1447" t="s">
        <v>13197</v>
      </c>
    </row>
    <row r="1448" spans="1:7" x14ac:dyDescent="0.3">
      <c r="A1448" s="42" t="s">
        <v>1553</v>
      </c>
      <c r="B1448" s="42" t="s">
        <v>1665</v>
      </c>
      <c r="C1448" s="42" t="s">
        <v>7188</v>
      </c>
      <c r="D1448" s="43" t="s">
        <v>91</v>
      </c>
      <c r="E1448" s="43" t="s">
        <v>91</v>
      </c>
      <c r="F1448" s="42" t="s">
        <v>137</v>
      </c>
      <c r="G1448" t="s">
        <v>13197</v>
      </c>
    </row>
    <row r="1449" spans="1:7" x14ac:dyDescent="0.3">
      <c r="A1449" s="42" t="s">
        <v>1553</v>
      </c>
      <c r="B1449" s="42" t="s">
        <v>1666</v>
      </c>
      <c r="C1449" s="42" t="s">
        <v>7189</v>
      </c>
      <c r="D1449" s="43" t="s">
        <v>91</v>
      </c>
      <c r="E1449" s="43" t="s">
        <v>91</v>
      </c>
      <c r="F1449" s="42" t="s">
        <v>137</v>
      </c>
      <c r="G1449" t="s">
        <v>13197</v>
      </c>
    </row>
    <row r="1450" spans="1:7" x14ac:dyDescent="0.3">
      <c r="A1450" s="42" t="s">
        <v>1553</v>
      </c>
      <c r="B1450" s="42" t="s">
        <v>1667</v>
      </c>
      <c r="C1450" s="42" t="s">
        <v>7190</v>
      </c>
      <c r="D1450" s="43" t="s">
        <v>91</v>
      </c>
      <c r="E1450" s="43" t="s">
        <v>91</v>
      </c>
      <c r="F1450" s="42" t="s">
        <v>137</v>
      </c>
      <c r="G1450" t="s">
        <v>13197</v>
      </c>
    </row>
    <row r="1451" spans="1:7" x14ac:dyDescent="0.3">
      <c r="A1451" s="42" t="s">
        <v>1553</v>
      </c>
      <c r="B1451" s="42" t="s">
        <v>1668</v>
      </c>
      <c r="C1451" s="42" t="s">
        <v>7191</v>
      </c>
      <c r="D1451" s="43" t="s">
        <v>91</v>
      </c>
      <c r="E1451" s="43" t="s">
        <v>91</v>
      </c>
      <c r="F1451" s="42" t="s">
        <v>137</v>
      </c>
      <c r="G1451" t="s">
        <v>13197</v>
      </c>
    </row>
    <row r="1452" spans="1:7" x14ac:dyDescent="0.3">
      <c r="A1452" s="42" t="s">
        <v>1553</v>
      </c>
      <c r="B1452" s="42" t="s">
        <v>1669</v>
      </c>
      <c r="C1452" s="42" t="s">
        <v>7192</v>
      </c>
      <c r="D1452" s="43" t="s">
        <v>91</v>
      </c>
      <c r="E1452" s="43" t="s">
        <v>91</v>
      </c>
      <c r="F1452" s="42" t="s">
        <v>137</v>
      </c>
      <c r="G1452" t="s">
        <v>13196</v>
      </c>
    </row>
    <row r="1453" spans="1:7" x14ac:dyDescent="0.3">
      <c r="A1453" s="42" t="s">
        <v>1553</v>
      </c>
      <c r="B1453" s="42" t="s">
        <v>1670</v>
      </c>
      <c r="C1453" s="42" t="s">
        <v>7193</v>
      </c>
      <c r="D1453" s="43" t="s">
        <v>91</v>
      </c>
      <c r="E1453" s="43" t="s">
        <v>91</v>
      </c>
      <c r="F1453" s="42" t="s">
        <v>137</v>
      </c>
      <c r="G1453" t="s">
        <v>13197</v>
      </c>
    </row>
    <row r="1454" spans="1:7" x14ac:dyDescent="0.3">
      <c r="A1454" s="42" t="s">
        <v>1553</v>
      </c>
      <c r="B1454" s="42" t="s">
        <v>1671</v>
      </c>
      <c r="C1454" s="42" t="s">
        <v>7194</v>
      </c>
      <c r="D1454" s="43" t="s">
        <v>91</v>
      </c>
      <c r="E1454" s="43" t="s">
        <v>91</v>
      </c>
      <c r="F1454" s="42" t="s">
        <v>137</v>
      </c>
      <c r="G1454" t="s">
        <v>13197</v>
      </c>
    </row>
    <row r="1455" spans="1:7" x14ac:dyDescent="0.3">
      <c r="A1455" s="42" t="s">
        <v>1553</v>
      </c>
      <c r="B1455" s="42" t="s">
        <v>1672</v>
      </c>
      <c r="C1455" s="42" t="s">
        <v>7195</v>
      </c>
      <c r="D1455" s="43" t="s">
        <v>91</v>
      </c>
      <c r="E1455" s="43" t="s">
        <v>91</v>
      </c>
      <c r="F1455" s="42" t="s">
        <v>137</v>
      </c>
      <c r="G1455" t="s">
        <v>13197</v>
      </c>
    </row>
    <row r="1456" spans="1:7" x14ac:dyDescent="0.3">
      <c r="A1456" s="42" t="s">
        <v>1553</v>
      </c>
      <c r="B1456" s="42" t="s">
        <v>1673</v>
      </c>
      <c r="C1456" s="42" t="s">
        <v>7196</v>
      </c>
      <c r="D1456" s="43" t="s">
        <v>91</v>
      </c>
      <c r="E1456" s="43" t="s">
        <v>91</v>
      </c>
      <c r="F1456" s="42" t="s">
        <v>137</v>
      </c>
      <c r="G1456" t="s">
        <v>13197</v>
      </c>
    </row>
    <row r="1457" spans="1:7" x14ac:dyDescent="0.3">
      <c r="A1457" s="42" t="s">
        <v>1553</v>
      </c>
      <c r="B1457" s="42" t="s">
        <v>1674</v>
      </c>
      <c r="C1457" s="42" t="s">
        <v>7197</v>
      </c>
      <c r="D1457" s="43" t="s">
        <v>91</v>
      </c>
      <c r="E1457" s="43" t="s">
        <v>91</v>
      </c>
      <c r="F1457" s="42" t="s">
        <v>137</v>
      </c>
      <c r="G1457" t="s">
        <v>13197</v>
      </c>
    </row>
    <row r="1458" spans="1:7" x14ac:dyDescent="0.3">
      <c r="A1458" s="42" t="s">
        <v>1553</v>
      </c>
      <c r="B1458" s="42" t="s">
        <v>1675</v>
      </c>
      <c r="C1458" s="42" t="s">
        <v>7198</v>
      </c>
      <c r="D1458" s="43" t="s">
        <v>91</v>
      </c>
      <c r="E1458" s="43" t="s">
        <v>91</v>
      </c>
      <c r="F1458" s="42" t="s">
        <v>137</v>
      </c>
      <c r="G1458" t="s">
        <v>13197</v>
      </c>
    </row>
    <row r="1459" spans="1:7" x14ac:dyDescent="0.3">
      <c r="A1459" s="42" t="s">
        <v>1553</v>
      </c>
      <c r="B1459" s="42" t="s">
        <v>1676</v>
      </c>
      <c r="C1459" s="42" t="s">
        <v>7199</v>
      </c>
      <c r="D1459" s="43" t="s">
        <v>91</v>
      </c>
      <c r="E1459" s="43" t="s">
        <v>91</v>
      </c>
      <c r="F1459" s="42" t="s">
        <v>11469</v>
      </c>
      <c r="G1459" t="s">
        <v>13196</v>
      </c>
    </row>
    <row r="1460" spans="1:7" x14ac:dyDescent="0.3">
      <c r="A1460" s="42" t="s">
        <v>1553</v>
      </c>
      <c r="B1460" s="42" t="s">
        <v>1677</v>
      </c>
      <c r="C1460" s="42" t="s">
        <v>7200</v>
      </c>
      <c r="D1460" s="43" t="s">
        <v>91</v>
      </c>
      <c r="E1460" s="43" t="s">
        <v>91</v>
      </c>
      <c r="F1460" s="42" t="s">
        <v>137</v>
      </c>
      <c r="G1460" t="s">
        <v>13197</v>
      </c>
    </row>
    <row r="1461" spans="1:7" x14ac:dyDescent="0.3">
      <c r="A1461" s="42" t="s">
        <v>1553</v>
      </c>
      <c r="B1461" s="42" t="s">
        <v>1678</v>
      </c>
      <c r="C1461" s="42" t="s">
        <v>7201</v>
      </c>
      <c r="D1461" s="43" t="s">
        <v>91</v>
      </c>
      <c r="E1461" s="43" t="s">
        <v>91</v>
      </c>
      <c r="F1461" s="42" t="s">
        <v>137</v>
      </c>
      <c r="G1461" t="s">
        <v>13197</v>
      </c>
    </row>
    <row r="1462" spans="1:7" x14ac:dyDescent="0.3">
      <c r="A1462" s="42" t="s">
        <v>1553</v>
      </c>
      <c r="B1462" s="42" t="s">
        <v>1679</v>
      </c>
      <c r="C1462" s="42" t="s">
        <v>7202</v>
      </c>
      <c r="D1462" s="43" t="s">
        <v>91</v>
      </c>
      <c r="E1462" s="43" t="s">
        <v>91</v>
      </c>
      <c r="F1462" s="42" t="s">
        <v>137</v>
      </c>
      <c r="G1462" t="s">
        <v>13197</v>
      </c>
    </row>
    <row r="1463" spans="1:7" x14ac:dyDescent="0.3">
      <c r="A1463" s="42" t="s">
        <v>1553</v>
      </c>
      <c r="B1463" s="42" t="s">
        <v>1680</v>
      </c>
      <c r="C1463" s="42" t="s">
        <v>7203</v>
      </c>
      <c r="D1463" s="43" t="s">
        <v>91</v>
      </c>
      <c r="E1463" s="43" t="s">
        <v>91</v>
      </c>
      <c r="F1463" s="42" t="s">
        <v>137</v>
      </c>
      <c r="G1463" t="s">
        <v>13196</v>
      </c>
    </row>
    <row r="1464" spans="1:7" x14ac:dyDescent="0.3">
      <c r="A1464" s="42" t="s">
        <v>1553</v>
      </c>
      <c r="B1464" s="42" t="s">
        <v>1681</v>
      </c>
      <c r="C1464" s="42" t="s">
        <v>7204</v>
      </c>
      <c r="D1464" s="43" t="s">
        <v>91</v>
      </c>
      <c r="E1464" s="43" t="s">
        <v>91</v>
      </c>
      <c r="F1464" s="42" t="s">
        <v>137</v>
      </c>
      <c r="G1464" t="s">
        <v>13197</v>
      </c>
    </row>
    <row r="1465" spans="1:7" x14ac:dyDescent="0.3">
      <c r="A1465" s="42" t="s">
        <v>1553</v>
      </c>
      <c r="B1465" s="42" t="s">
        <v>1682</v>
      </c>
      <c r="C1465" s="42" t="s">
        <v>7205</v>
      </c>
      <c r="D1465" s="43" t="s">
        <v>91</v>
      </c>
      <c r="E1465" s="43" t="s">
        <v>91</v>
      </c>
      <c r="F1465" s="42" t="s">
        <v>137</v>
      </c>
      <c r="G1465" t="s">
        <v>13197</v>
      </c>
    </row>
    <row r="1466" spans="1:7" x14ac:dyDescent="0.3">
      <c r="A1466" s="42" t="s">
        <v>1553</v>
      </c>
      <c r="B1466" s="42" t="s">
        <v>1683</v>
      </c>
      <c r="C1466" s="42" t="s">
        <v>7206</v>
      </c>
      <c r="D1466" s="43" t="s">
        <v>91</v>
      </c>
      <c r="E1466" s="43" t="s">
        <v>91</v>
      </c>
      <c r="F1466" s="42" t="s">
        <v>137</v>
      </c>
      <c r="G1466" t="s">
        <v>13197</v>
      </c>
    </row>
    <row r="1467" spans="1:7" x14ac:dyDescent="0.3">
      <c r="A1467" s="42" t="s">
        <v>1553</v>
      </c>
      <c r="B1467" s="42" t="s">
        <v>1684</v>
      </c>
      <c r="C1467" s="42" t="s">
        <v>7207</v>
      </c>
      <c r="D1467" s="43" t="s">
        <v>91</v>
      </c>
      <c r="E1467" s="43" t="s">
        <v>91</v>
      </c>
      <c r="F1467" s="42" t="s">
        <v>137</v>
      </c>
      <c r="G1467" t="s">
        <v>13197</v>
      </c>
    </row>
    <row r="1468" spans="1:7" x14ac:dyDescent="0.3">
      <c r="A1468" s="42" t="s">
        <v>1553</v>
      </c>
      <c r="B1468" s="42" t="s">
        <v>1685</v>
      </c>
      <c r="C1468" s="42" t="s">
        <v>7208</v>
      </c>
      <c r="D1468" s="43" t="s">
        <v>91</v>
      </c>
      <c r="E1468" s="43" t="s">
        <v>91</v>
      </c>
      <c r="F1468" s="42" t="s">
        <v>137</v>
      </c>
      <c r="G1468" t="s">
        <v>13197</v>
      </c>
    </row>
    <row r="1469" spans="1:7" x14ac:dyDescent="0.3">
      <c r="A1469" s="42" t="s">
        <v>1553</v>
      </c>
      <c r="B1469" s="42" t="s">
        <v>1686</v>
      </c>
      <c r="C1469" s="42" t="s">
        <v>7209</v>
      </c>
      <c r="D1469" s="43" t="s">
        <v>91</v>
      </c>
      <c r="E1469" s="43" t="s">
        <v>91</v>
      </c>
      <c r="F1469" s="42" t="s">
        <v>137</v>
      </c>
      <c r="G1469" t="s">
        <v>13197</v>
      </c>
    </row>
    <row r="1470" spans="1:7" x14ac:dyDescent="0.3">
      <c r="A1470" s="42" t="s">
        <v>1553</v>
      </c>
      <c r="B1470" s="42" t="s">
        <v>1687</v>
      </c>
      <c r="C1470" s="42" t="s">
        <v>7210</v>
      </c>
      <c r="D1470" s="43" t="s">
        <v>91</v>
      </c>
      <c r="E1470" s="43" t="s">
        <v>91</v>
      </c>
      <c r="F1470" s="42" t="s">
        <v>137</v>
      </c>
      <c r="G1470" t="s">
        <v>13197</v>
      </c>
    </row>
    <row r="1471" spans="1:7" x14ac:dyDescent="0.3">
      <c r="A1471" s="42" t="s">
        <v>1553</v>
      </c>
      <c r="B1471" s="42" t="s">
        <v>1688</v>
      </c>
      <c r="C1471" s="42" t="s">
        <v>7211</v>
      </c>
      <c r="D1471" s="43" t="s">
        <v>91</v>
      </c>
      <c r="E1471" s="43" t="s">
        <v>91</v>
      </c>
      <c r="F1471" s="42" t="s">
        <v>137</v>
      </c>
      <c r="G1471" t="s">
        <v>13197</v>
      </c>
    </row>
    <row r="1472" spans="1:7" x14ac:dyDescent="0.3">
      <c r="A1472" s="42" t="s">
        <v>1553</v>
      </c>
      <c r="B1472" s="42" t="s">
        <v>1689</v>
      </c>
      <c r="C1472" s="42" t="s">
        <v>7212</v>
      </c>
      <c r="D1472" s="43" t="s">
        <v>91</v>
      </c>
      <c r="E1472" s="43" t="s">
        <v>91</v>
      </c>
      <c r="F1472" s="42" t="s">
        <v>137</v>
      </c>
      <c r="G1472" t="s">
        <v>13197</v>
      </c>
    </row>
    <row r="1473" spans="1:7" x14ac:dyDescent="0.3">
      <c r="A1473" s="42" t="s">
        <v>1553</v>
      </c>
      <c r="B1473" s="42" t="s">
        <v>1690</v>
      </c>
      <c r="C1473" s="42" t="s">
        <v>7213</v>
      </c>
      <c r="D1473" s="43" t="s">
        <v>91</v>
      </c>
      <c r="E1473" s="43" t="s">
        <v>91</v>
      </c>
      <c r="F1473" s="42" t="s">
        <v>137</v>
      </c>
      <c r="G1473" t="s">
        <v>13196</v>
      </c>
    </row>
    <row r="1474" spans="1:7" x14ac:dyDescent="0.3">
      <c r="A1474" s="42" t="s">
        <v>1553</v>
      </c>
      <c r="B1474" s="42" t="s">
        <v>1691</v>
      </c>
      <c r="C1474" s="42" t="s">
        <v>7214</v>
      </c>
      <c r="D1474" s="43" t="s">
        <v>91</v>
      </c>
      <c r="E1474" s="43" t="s">
        <v>91</v>
      </c>
      <c r="F1474" s="42" t="s">
        <v>137</v>
      </c>
      <c r="G1474" t="s">
        <v>13197</v>
      </c>
    </row>
    <row r="1475" spans="1:7" x14ac:dyDescent="0.3">
      <c r="A1475" s="42" t="s">
        <v>1553</v>
      </c>
      <c r="B1475" s="42" t="s">
        <v>1692</v>
      </c>
      <c r="C1475" s="42" t="s">
        <v>7215</v>
      </c>
      <c r="D1475" s="43" t="s">
        <v>91</v>
      </c>
      <c r="E1475" s="43" t="s">
        <v>91</v>
      </c>
      <c r="F1475" s="42" t="s">
        <v>137</v>
      </c>
      <c r="G1475" t="s">
        <v>13197</v>
      </c>
    </row>
    <row r="1476" spans="1:7" x14ac:dyDescent="0.3">
      <c r="A1476" s="42" t="s">
        <v>1553</v>
      </c>
      <c r="B1476" s="42" t="s">
        <v>1693</v>
      </c>
      <c r="C1476" s="42" t="s">
        <v>7216</v>
      </c>
      <c r="D1476" s="43" t="s">
        <v>91</v>
      </c>
      <c r="E1476" s="43" t="s">
        <v>91</v>
      </c>
      <c r="F1476" s="42" t="s">
        <v>137</v>
      </c>
      <c r="G1476" t="s">
        <v>13197</v>
      </c>
    </row>
    <row r="1477" spans="1:7" x14ac:dyDescent="0.3">
      <c r="A1477" s="42" t="s">
        <v>1553</v>
      </c>
      <c r="B1477" s="42" t="s">
        <v>1694</v>
      </c>
      <c r="C1477" s="42" t="s">
        <v>7217</v>
      </c>
      <c r="D1477" s="43" t="s">
        <v>91</v>
      </c>
      <c r="E1477" s="43" t="s">
        <v>91</v>
      </c>
      <c r="F1477" s="42" t="s">
        <v>137</v>
      </c>
      <c r="G1477" t="s">
        <v>13197</v>
      </c>
    </row>
    <row r="1478" spans="1:7" x14ac:dyDescent="0.3">
      <c r="A1478" s="42" t="s">
        <v>1553</v>
      </c>
      <c r="B1478" s="42" t="s">
        <v>1695</v>
      </c>
      <c r="C1478" s="42" t="s">
        <v>7218</v>
      </c>
      <c r="D1478" s="43" t="s">
        <v>91</v>
      </c>
      <c r="E1478" s="43" t="s">
        <v>91</v>
      </c>
      <c r="F1478" s="42" t="s">
        <v>11469</v>
      </c>
      <c r="G1478" t="s">
        <v>13196</v>
      </c>
    </row>
    <row r="1479" spans="1:7" x14ac:dyDescent="0.3">
      <c r="A1479" s="42" t="s">
        <v>1553</v>
      </c>
      <c r="B1479" s="42" t="s">
        <v>1696</v>
      </c>
      <c r="C1479" s="42" t="s">
        <v>7219</v>
      </c>
      <c r="D1479" s="43" t="s">
        <v>91</v>
      </c>
      <c r="E1479" s="43" t="s">
        <v>91</v>
      </c>
      <c r="F1479" s="42" t="s">
        <v>137</v>
      </c>
      <c r="G1479" t="s">
        <v>13196</v>
      </c>
    </row>
    <row r="1480" spans="1:7" x14ac:dyDescent="0.3">
      <c r="A1480" s="42" t="s">
        <v>1553</v>
      </c>
      <c r="B1480" s="42" t="s">
        <v>1697</v>
      </c>
      <c r="C1480" s="42" t="s">
        <v>7220</v>
      </c>
      <c r="D1480" s="43" t="s">
        <v>91</v>
      </c>
      <c r="E1480" s="43" t="s">
        <v>91</v>
      </c>
      <c r="F1480" s="42" t="s">
        <v>137</v>
      </c>
      <c r="G1480" t="s">
        <v>13197</v>
      </c>
    </row>
    <row r="1481" spans="1:7" x14ac:dyDescent="0.3">
      <c r="A1481" s="42" t="s">
        <v>1553</v>
      </c>
      <c r="B1481" s="42" t="s">
        <v>1698</v>
      </c>
      <c r="C1481" s="42" t="s">
        <v>7221</v>
      </c>
      <c r="D1481" s="43" t="s">
        <v>91</v>
      </c>
      <c r="E1481" s="43" t="s">
        <v>91</v>
      </c>
      <c r="F1481" s="42" t="s">
        <v>137</v>
      </c>
      <c r="G1481" t="s">
        <v>13197</v>
      </c>
    </row>
    <row r="1482" spans="1:7" x14ac:dyDescent="0.3">
      <c r="A1482" s="42" t="s">
        <v>1553</v>
      </c>
      <c r="B1482" s="42" t="s">
        <v>1699</v>
      </c>
      <c r="C1482" s="42" t="s">
        <v>7222</v>
      </c>
      <c r="D1482" s="43" t="s">
        <v>91</v>
      </c>
      <c r="E1482" s="43" t="s">
        <v>91</v>
      </c>
      <c r="F1482" s="42" t="s">
        <v>11469</v>
      </c>
      <c r="G1482" t="s">
        <v>13196</v>
      </c>
    </row>
    <row r="1483" spans="1:7" x14ac:dyDescent="0.3">
      <c r="A1483" s="42" t="s">
        <v>1553</v>
      </c>
      <c r="B1483" s="42" t="s">
        <v>1700</v>
      </c>
      <c r="C1483" s="42" t="s">
        <v>7223</v>
      </c>
      <c r="D1483" s="43" t="s">
        <v>91</v>
      </c>
      <c r="E1483" s="43" t="s">
        <v>91</v>
      </c>
      <c r="F1483" s="42" t="s">
        <v>11469</v>
      </c>
      <c r="G1483" t="s">
        <v>13196</v>
      </c>
    </row>
    <row r="1484" spans="1:7" x14ac:dyDescent="0.3">
      <c r="A1484" s="42" t="s">
        <v>1553</v>
      </c>
      <c r="B1484" s="42" t="s">
        <v>1701</v>
      </c>
      <c r="C1484" s="42" t="s">
        <v>7224</v>
      </c>
      <c r="D1484" s="43" t="s">
        <v>91</v>
      </c>
      <c r="E1484" s="43" t="s">
        <v>91</v>
      </c>
      <c r="F1484" s="42" t="s">
        <v>137</v>
      </c>
      <c r="G1484" t="s">
        <v>13197</v>
      </c>
    </row>
    <row r="1485" spans="1:7" x14ac:dyDescent="0.3">
      <c r="A1485" s="42" t="s">
        <v>1553</v>
      </c>
      <c r="B1485" s="42" t="s">
        <v>1702</v>
      </c>
      <c r="C1485" s="42" t="s">
        <v>7225</v>
      </c>
      <c r="D1485" s="43" t="s">
        <v>91</v>
      </c>
      <c r="E1485" s="43" t="s">
        <v>91</v>
      </c>
      <c r="F1485" s="42" t="s">
        <v>137</v>
      </c>
      <c r="G1485" t="s">
        <v>13197</v>
      </c>
    </row>
    <row r="1486" spans="1:7" x14ac:dyDescent="0.3">
      <c r="A1486" s="42" t="s">
        <v>1553</v>
      </c>
      <c r="B1486" s="42" t="s">
        <v>1703</v>
      </c>
      <c r="C1486" s="42" t="s">
        <v>7226</v>
      </c>
      <c r="D1486" s="43" t="s">
        <v>91</v>
      </c>
      <c r="E1486" s="43" t="s">
        <v>91</v>
      </c>
      <c r="F1486" s="42" t="s">
        <v>137</v>
      </c>
      <c r="G1486" t="s">
        <v>13197</v>
      </c>
    </row>
    <row r="1487" spans="1:7" x14ac:dyDescent="0.3">
      <c r="A1487" s="42" t="s">
        <v>1553</v>
      </c>
      <c r="B1487" s="42" t="s">
        <v>1704</v>
      </c>
      <c r="C1487" s="42" t="s">
        <v>7227</v>
      </c>
      <c r="D1487" s="43" t="s">
        <v>91</v>
      </c>
      <c r="E1487" s="43" t="s">
        <v>91</v>
      </c>
      <c r="F1487" s="42" t="s">
        <v>137</v>
      </c>
      <c r="G1487" t="s">
        <v>13197</v>
      </c>
    </row>
    <row r="1488" spans="1:7" x14ac:dyDescent="0.3">
      <c r="A1488" s="42" t="s">
        <v>1553</v>
      </c>
      <c r="B1488" s="42" t="s">
        <v>1705</v>
      </c>
      <c r="C1488" s="42" t="s">
        <v>7228</v>
      </c>
      <c r="D1488" s="43" t="s">
        <v>91</v>
      </c>
      <c r="E1488" s="43" t="s">
        <v>91</v>
      </c>
      <c r="F1488" s="42" t="s">
        <v>137</v>
      </c>
      <c r="G1488" t="s">
        <v>13196</v>
      </c>
    </row>
    <row r="1489" spans="1:7" x14ac:dyDescent="0.3">
      <c r="A1489" s="42" t="s">
        <v>1553</v>
      </c>
      <c r="B1489" s="42" t="s">
        <v>1706</v>
      </c>
      <c r="C1489" s="42" t="s">
        <v>7229</v>
      </c>
      <c r="D1489" s="43" t="s">
        <v>91</v>
      </c>
      <c r="E1489" s="43" t="s">
        <v>91</v>
      </c>
      <c r="F1489" s="42" t="s">
        <v>137</v>
      </c>
      <c r="G1489" t="s">
        <v>13197</v>
      </c>
    </row>
    <row r="1490" spans="1:7" x14ac:dyDescent="0.3">
      <c r="A1490" s="42" t="s">
        <v>1553</v>
      </c>
      <c r="B1490" s="42" t="s">
        <v>1707</v>
      </c>
      <c r="C1490" s="42" t="s">
        <v>7230</v>
      </c>
      <c r="D1490" s="43" t="s">
        <v>91</v>
      </c>
      <c r="E1490" s="43" t="s">
        <v>91</v>
      </c>
      <c r="F1490" s="42" t="s">
        <v>137</v>
      </c>
      <c r="G1490" t="s">
        <v>13197</v>
      </c>
    </row>
    <row r="1491" spans="1:7" x14ac:dyDescent="0.3">
      <c r="A1491" s="42" t="s">
        <v>1553</v>
      </c>
      <c r="B1491" s="42" t="s">
        <v>1708</v>
      </c>
      <c r="C1491" s="42" t="s">
        <v>7231</v>
      </c>
      <c r="D1491" s="43" t="s">
        <v>91</v>
      </c>
      <c r="E1491" s="43" t="s">
        <v>91</v>
      </c>
      <c r="F1491" s="42" t="s">
        <v>137</v>
      </c>
      <c r="G1491" t="s">
        <v>13197</v>
      </c>
    </row>
    <row r="1492" spans="1:7" x14ac:dyDescent="0.3">
      <c r="A1492" s="42" t="s">
        <v>1553</v>
      </c>
      <c r="B1492" s="42" t="s">
        <v>1709</v>
      </c>
      <c r="C1492" s="42" t="s">
        <v>7232</v>
      </c>
      <c r="D1492" s="43" t="s">
        <v>91</v>
      </c>
      <c r="E1492" s="43" t="s">
        <v>91</v>
      </c>
      <c r="F1492" s="42" t="s">
        <v>137</v>
      </c>
      <c r="G1492" t="s">
        <v>13197</v>
      </c>
    </row>
    <row r="1493" spans="1:7" x14ac:dyDescent="0.3">
      <c r="A1493" s="42" t="s">
        <v>1553</v>
      </c>
      <c r="B1493" s="42" t="s">
        <v>1710</v>
      </c>
      <c r="C1493" s="42" t="s">
        <v>7233</v>
      </c>
      <c r="D1493" s="43" t="s">
        <v>91</v>
      </c>
      <c r="E1493" s="43" t="s">
        <v>91</v>
      </c>
      <c r="F1493" s="42" t="s">
        <v>137</v>
      </c>
      <c r="G1493" t="s">
        <v>13197</v>
      </c>
    </row>
    <row r="1494" spans="1:7" x14ac:dyDescent="0.3">
      <c r="A1494" s="42" t="s">
        <v>1553</v>
      </c>
      <c r="B1494" s="42" t="s">
        <v>1711</v>
      </c>
      <c r="C1494" s="42" t="s">
        <v>7234</v>
      </c>
      <c r="D1494" s="43" t="s">
        <v>91</v>
      </c>
      <c r="E1494" s="43" t="s">
        <v>91</v>
      </c>
      <c r="F1494" s="42" t="s">
        <v>137</v>
      </c>
      <c r="G1494" t="s">
        <v>13196</v>
      </c>
    </row>
    <row r="1495" spans="1:7" x14ac:dyDescent="0.3">
      <c r="A1495" s="42" t="s">
        <v>1553</v>
      </c>
      <c r="B1495" s="42" t="s">
        <v>1712</v>
      </c>
      <c r="C1495" s="42" t="s">
        <v>7235</v>
      </c>
      <c r="D1495" s="43" t="s">
        <v>91</v>
      </c>
      <c r="E1495" s="43" t="s">
        <v>91</v>
      </c>
      <c r="F1495" s="42" t="s">
        <v>137</v>
      </c>
      <c r="G1495" t="s">
        <v>13198</v>
      </c>
    </row>
    <row r="1496" spans="1:7" x14ac:dyDescent="0.3">
      <c r="A1496" s="42" t="s">
        <v>1553</v>
      </c>
      <c r="B1496" s="42" t="s">
        <v>1713</v>
      </c>
      <c r="C1496" s="42" t="s">
        <v>7236</v>
      </c>
      <c r="D1496" s="43" t="s">
        <v>91</v>
      </c>
      <c r="E1496" s="43" t="s">
        <v>91</v>
      </c>
      <c r="F1496" s="42" t="s">
        <v>137</v>
      </c>
      <c r="G1496" t="s">
        <v>13197</v>
      </c>
    </row>
    <row r="1497" spans="1:7" x14ac:dyDescent="0.3">
      <c r="A1497" s="42" t="s">
        <v>1553</v>
      </c>
      <c r="B1497" s="42" t="s">
        <v>1714</v>
      </c>
      <c r="C1497" s="42" t="s">
        <v>7237</v>
      </c>
      <c r="D1497" s="43" t="s">
        <v>91</v>
      </c>
      <c r="E1497" s="43" t="s">
        <v>91</v>
      </c>
      <c r="F1497" s="42" t="s">
        <v>137</v>
      </c>
      <c r="G1497" t="s">
        <v>13197</v>
      </c>
    </row>
    <row r="1498" spans="1:7" x14ac:dyDescent="0.3">
      <c r="A1498" s="42" t="s">
        <v>1553</v>
      </c>
      <c r="B1498" s="42" t="s">
        <v>1715</v>
      </c>
      <c r="C1498" s="42" t="s">
        <v>7238</v>
      </c>
      <c r="D1498" s="43" t="s">
        <v>91</v>
      </c>
      <c r="E1498" s="43" t="s">
        <v>91</v>
      </c>
      <c r="F1498" s="42" t="s">
        <v>11469</v>
      </c>
      <c r="G1498" t="s">
        <v>13196</v>
      </c>
    </row>
    <row r="1499" spans="1:7" x14ac:dyDescent="0.3">
      <c r="A1499" s="42" t="s">
        <v>1553</v>
      </c>
      <c r="B1499" s="42" t="s">
        <v>1716</v>
      </c>
      <c r="C1499" s="42" t="s">
        <v>7239</v>
      </c>
      <c r="D1499" s="43" t="s">
        <v>91</v>
      </c>
      <c r="E1499" s="43" t="s">
        <v>91</v>
      </c>
      <c r="F1499" s="42" t="s">
        <v>137</v>
      </c>
      <c r="G1499" t="s">
        <v>13196</v>
      </c>
    </row>
    <row r="1500" spans="1:7" x14ac:dyDescent="0.3">
      <c r="A1500" s="42" t="s">
        <v>1553</v>
      </c>
      <c r="B1500" s="42" t="s">
        <v>1717</v>
      </c>
      <c r="C1500" s="42" t="s">
        <v>7240</v>
      </c>
      <c r="D1500" s="43" t="s">
        <v>91</v>
      </c>
      <c r="E1500" s="43" t="s">
        <v>91</v>
      </c>
      <c r="F1500" s="42" t="s">
        <v>11469</v>
      </c>
      <c r="G1500" t="s">
        <v>13196</v>
      </c>
    </row>
    <row r="1501" spans="1:7" x14ac:dyDescent="0.3">
      <c r="A1501" s="42" t="s">
        <v>1553</v>
      </c>
      <c r="B1501" s="42" t="s">
        <v>1718</v>
      </c>
      <c r="C1501" s="42" t="s">
        <v>7241</v>
      </c>
      <c r="D1501" s="43" t="s">
        <v>91</v>
      </c>
      <c r="E1501" s="43" t="s">
        <v>91</v>
      </c>
      <c r="F1501" s="42" t="s">
        <v>11469</v>
      </c>
      <c r="G1501" t="s">
        <v>13196</v>
      </c>
    </row>
    <row r="1502" spans="1:7" x14ac:dyDescent="0.3">
      <c r="A1502" s="42" t="s">
        <v>1553</v>
      </c>
      <c r="B1502" s="42" t="s">
        <v>1719</v>
      </c>
      <c r="C1502" s="42" t="s">
        <v>7242</v>
      </c>
      <c r="D1502" s="43" t="s">
        <v>91</v>
      </c>
      <c r="E1502" s="43" t="s">
        <v>91</v>
      </c>
      <c r="F1502" s="42" t="s">
        <v>11469</v>
      </c>
      <c r="G1502" t="s">
        <v>13196</v>
      </c>
    </row>
    <row r="1503" spans="1:7" x14ac:dyDescent="0.3">
      <c r="A1503" s="42" t="s">
        <v>1553</v>
      </c>
      <c r="B1503" s="42" t="s">
        <v>1720</v>
      </c>
      <c r="C1503" s="42" t="s">
        <v>7243</v>
      </c>
      <c r="D1503" s="43" t="s">
        <v>91</v>
      </c>
      <c r="E1503" s="43" t="s">
        <v>91</v>
      </c>
      <c r="F1503" s="42" t="s">
        <v>137</v>
      </c>
      <c r="G1503" t="s">
        <v>13197</v>
      </c>
    </row>
    <row r="1504" spans="1:7" x14ac:dyDescent="0.3">
      <c r="A1504" s="42" t="s">
        <v>1553</v>
      </c>
      <c r="B1504" s="42" t="s">
        <v>1721</v>
      </c>
      <c r="C1504" s="42" t="s">
        <v>7244</v>
      </c>
      <c r="D1504" s="43" t="s">
        <v>91</v>
      </c>
      <c r="E1504" s="43" t="s">
        <v>91</v>
      </c>
      <c r="F1504" s="42" t="s">
        <v>11469</v>
      </c>
      <c r="G1504" t="s">
        <v>13196</v>
      </c>
    </row>
    <row r="1505" spans="1:7" x14ac:dyDescent="0.3">
      <c r="A1505" s="42" t="s">
        <v>1553</v>
      </c>
      <c r="B1505" s="42" t="s">
        <v>1722</v>
      </c>
      <c r="C1505" s="42" t="s">
        <v>7245</v>
      </c>
      <c r="D1505" s="43" t="s">
        <v>91</v>
      </c>
      <c r="E1505" s="43" t="s">
        <v>91</v>
      </c>
      <c r="F1505" s="42" t="s">
        <v>137</v>
      </c>
      <c r="G1505" t="s">
        <v>13198</v>
      </c>
    </row>
    <row r="1506" spans="1:7" x14ac:dyDescent="0.3">
      <c r="A1506" s="42" t="s">
        <v>1553</v>
      </c>
      <c r="B1506" s="42" t="s">
        <v>1723</v>
      </c>
      <c r="C1506" s="42" t="s">
        <v>7246</v>
      </c>
      <c r="D1506" s="43" t="s">
        <v>91</v>
      </c>
      <c r="E1506" s="43" t="s">
        <v>91</v>
      </c>
      <c r="F1506" s="42" t="s">
        <v>137</v>
      </c>
      <c r="G1506" t="s">
        <v>13196</v>
      </c>
    </row>
    <row r="1507" spans="1:7" x14ac:dyDescent="0.3">
      <c r="A1507" s="42" t="s">
        <v>1553</v>
      </c>
      <c r="B1507" s="42" t="s">
        <v>1724</v>
      </c>
      <c r="C1507" s="42" t="s">
        <v>7247</v>
      </c>
      <c r="D1507" s="43" t="s">
        <v>91</v>
      </c>
      <c r="E1507" s="43" t="s">
        <v>91</v>
      </c>
      <c r="F1507" s="42" t="s">
        <v>137</v>
      </c>
      <c r="G1507" t="s">
        <v>13197</v>
      </c>
    </row>
    <row r="1508" spans="1:7" x14ac:dyDescent="0.3">
      <c r="A1508" s="42" t="s">
        <v>1553</v>
      </c>
      <c r="B1508" s="42" t="s">
        <v>1725</v>
      </c>
      <c r="C1508" s="42" t="s">
        <v>7248</v>
      </c>
      <c r="D1508" s="43" t="s">
        <v>91</v>
      </c>
      <c r="E1508" s="43" t="s">
        <v>91</v>
      </c>
      <c r="F1508" s="42" t="s">
        <v>137</v>
      </c>
      <c r="G1508" t="s">
        <v>13197</v>
      </c>
    </row>
    <row r="1509" spans="1:7" x14ac:dyDescent="0.3">
      <c r="A1509" s="42" t="s">
        <v>1553</v>
      </c>
      <c r="B1509" s="42" t="s">
        <v>1726</v>
      </c>
      <c r="C1509" s="42" t="s">
        <v>7249</v>
      </c>
      <c r="D1509" s="43" t="s">
        <v>91</v>
      </c>
      <c r="E1509" s="43" t="s">
        <v>91</v>
      </c>
      <c r="F1509" s="42" t="s">
        <v>137</v>
      </c>
      <c r="G1509" t="s">
        <v>13197</v>
      </c>
    </row>
    <row r="1510" spans="1:7" x14ac:dyDescent="0.3">
      <c r="A1510" s="42" t="s">
        <v>1553</v>
      </c>
      <c r="B1510" s="42" t="s">
        <v>1727</v>
      </c>
      <c r="C1510" s="42" t="s">
        <v>7250</v>
      </c>
      <c r="D1510" s="43" t="s">
        <v>91</v>
      </c>
      <c r="E1510" s="43" t="s">
        <v>91</v>
      </c>
      <c r="F1510" s="42" t="s">
        <v>137</v>
      </c>
      <c r="G1510" t="s">
        <v>13197</v>
      </c>
    </row>
    <row r="1511" spans="1:7" x14ac:dyDescent="0.3">
      <c r="A1511" s="42" t="s">
        <v>1553</v>
      </c>
      <c r="B1511" s="42" t="s">
        <v>1728</v>
      </c>
      <c r="C1511" s="42" t="s">
        <v>7251</v>
      </c>
      <c r="D1511" s="43" t="s">
        <v>91</v>
      </c>
      <c r="E1511" s="43" t="s">
        <v>91</v>
      </c>
      <c r="F1511" s="42" t="s">
        <v>137</v>
      </c>
      <c r="G1511" t="s">
        <v>13197</v>
      </c>
    </row>
    <row r="1512" spans="1:7" x14ac:dyDescent="0.3">
      <c r="A1512" s="42" t="s">
        <v>1553</v>
      </c>
      <c r="B1512" s="42" t="s">
        <v>1729</v>
      </c>
      <c r="C1512" s="42" t="s">
        <v>7252</v>
      </c>
      <c r="D1512" s="43" t="s">
        <v>91</v>
      </c>
      <c r="E1512" s="43" t="s">
        <v>91</v>
      </c>
      <c r="F1512" s="42" t="s">
        <v>137</v>
      </c>
      <c r="G1512" t="s">
        <v>13197</v>
      </c>
    </row>
    <row r="1513" spans="1:7" x14ac:dyDescent="0.3">
      <c r="A1513" s="42" t="s">
        <v>1553</v>
      </c>
      <c r="B1513" s="42" t="s">
        <v>1730</v>
      </c>
      <c r="C1513" s="42" t="s">
        <v>7253</v>
      </c>
      <c r="D1513" s="43" t="s">
        <v>91</v>
      </c>
      <c r="E1513" s="43" t="s">
        <v>91</v>
      </c>
      <c r="F1513" s="42" t="s">
        <v>137</v>
      </c>
      <c r="G1513" t="s">
        <v>13197</v>
      </c>
    </row>
    <row r="1514" spans="1:7" x14ac:dyDescent="0.3">
      <c r="A1514" s="42" t="s">
        <v>1553</v>
      </c>
      <c r="B1514" s="42" t="s">
        <v>1731</v>
      </c>
      <c r="C1514" s="42" t="s">
        <v>7254</v>
      </c>
      <c r="D1514" s="43" t="s">
        <v>91</v>
      </c>
      <c r="E1514" s="43" t="s">
        <v>91</v>
      </c>
      <c r="F1514" s="42" t="s">
        <v>137</v>
      </c>
      <c r="G1514" t="s">
        <v>13197</v>
      </c>
    </row>
    <row r="1515" spans="1:7" x14ac:dyDescent="0.3">
      <c r="A1515" s="42" t="s">
        <v>1553</v>
      </c>
      <c r="B1515" s="42" t="s">
        <v>1732</v>
      </c>
      <c r="C1515" s="42" t="s">
        <v>7255</v>
      </c>
      <c r="D1515" s="43" t="s">
        <v>91</v>
      </c>
      <c r="E1515" s="43" t="s">
        <v>91</v>
      </c>
      <c r="F1515" s="42" t="s">
        <v>137</v>
      </c>
      <c r="G1515" t="s">
        <v>13197</v>
      </c>
    </row>
    <row r="1516" spans="1:7" x14ac:dyDescent="0.3">
      <c r="A1516" s="42" t="s">
        <v>1553</v>
      </c>
      <c r="B1516" s="42" t="s">
        <v>1733</v>
      </c>
      <c r="C1516" s="42" t="s">
        <v>7256</v>
      </c>
      <c r="D1516" s="43" t="s">
        <v>91</v>
      </c>
      <c r="E1516" s="43" t="s">
        <v>91</v>
      </c>
      <c r="F1516" s="42" t="s">
        <v>137</v>
      </c>
      <c r="G1516" t="s">
        <v>13197</v>
      </c>
    </row>
    <row r="1517" spans="1:7" x14ac:dyDescent="0.3">
      <c r="A1517" s="42" t="s">
        <v>1553</v>
      </c>
      <c r="B1517" s="42" t="s">
        <v>1734</v>
      </c>
      <c r="C1517" s="42" t="s">
        <v>7257</v>
      </c>
      <c r="D1517" s="43" t="s">
        <v>91</v>
      </c>
      <c r="E1517" s="43" t="s">
        <v>91</v>
      </c>
      <c r="F1517" s="42" t="s">
        <v>137</v>
      </c>
      <c r="G1517" t="s">
        <v>13197</v>
      </c>
    </row>
    <row r="1518" spans="1:7" x14ac:dyDescent="0.3">
      <c r="A1518" s="42" t="s">
        <v>1553</v>
      </c>
      <c r="B1518" s="42" t="s">
        <v>1735</v>
      </c>
      <c r="C1518" s="42" t="s">
        <v>7258</v>
      </c>
      <c r="D1518" s="43" t="s">
        <v>91</v>
      </c>
      <c r="E1518" s="43" t="s">
        <v>91</v>
      </c>
      <c r="F1518" s="42" t="s">
        <v>137</v>
      </c>
      <c r="G1518" t="s">
        <v>13197</v>
      </c>
    </row>
    <row r="1519" spans="1:7" x14ac:dyDescent="0.3">
      <c r="A1519" s="42" t="s">
        <v>1553</v>
      </c>
      <c r="B1519" s="42" t="s">
        <v>1736</v>
      </c>
      <c r="C1519" s="42" t="s">
        <v>7259</v>
      </c>
      <c r="D1519" s="43" t="s">
        <v>91</v>
      </c>
      <c r="E1519" s="43" t="s">
        <v>91</v>
      </c>
      <c r="F1519" s="42" t="s">
        <v>137</v>
      </c>
      <c r="G1519" t="s">
        <v>13197</v>
      </c>
    </row>
    <row r="1520" spans="1:7" x14ac:dyDescent="0.3">
      <c r="A1520" s="42" t="s">
        <v>1553</v>
      </c>
      <c r="B1520" s="42" t="s">
        <v>1737</v>
      </c>
      <c r="C1520" s="42" t="s">
        <v>7260</v>
      </c>
      <c r="D1520" s="43" t="s">
        <v>91</v>
      </c>
      <c r="E1520" s="43" t="s">
        <v>91</v>
      </c>
      <c r="F1520" s="42" t="s">
        <v>137</v>
      </c>
      <c r="G1520" t="s">
        <v>13197</v>
      </c>
    </row>
    <row r="1521" spans="1:7" x14ac:dyDescent="0.3">
      <c r="A1521" s="42" t="s">
        <v>1553</v>
      </c>
      <c r="B1521" s="42" t="s">
        <v>1738</v>
      </c>
      <c r="C1521" s="42" t="s">
        <v>7261</v>
      </c>
      <c r="D1521" s="43" t="s">
        <v>91</v>
      </c>
      <c r="E1521" s="43" t="s">
        <v>91</v>
      </c>
      <c r="F1521" s="42" t="s">
        <v>137</v>
      </c>
      <c r="G1521" t="s">
        <v>13197</v>
      </c>
    </row>
    <row r="1522" spans="1:7" x14ac:dyDescent="0.3">
      <c r="A1522" s="42" t="s">
        <v>1553</v>
      </c>
      <c r="B1522" s="42" t="s">
        <v>1739</v>
      </c>
      <c r="C1522" s="42" t="s">
        <v>7262</v>
      </c>
      <c r="D1522" s="43" t="s">
        <v>91</v>
      </c>
      <c r="E1522" s="43" t="s">
        <v>91</v>
      </c>
      <c r="F1522" s="42" t="s">
        <v>11469</v>
      </c>
      <c r="G1522" t="s">
        <v>13196</v>
      </c>
    </row>
    <row r="1523" spans="1:7" x14ac:dyDescent="0.3">
      <c r="A1523" s="42" t="s">
        <v>1553</v>
      </c>
      <c r="B1523" s="42" t="s">
        <v>1740</v>
      </c>
      <c r="C1523" s="42" t="s">
        <v>7263</v>
      </c>
      <c r="D1523" s="43" t="s">
        <v>91</v>
      </c>
      <c r="E1523" s="43" t="s">
        <v>91</v>
      </c>
      <c r="F1523" s="42" t="s">
        <v>137</v>
      </c>
      <c r="G1523" t="s">
        <v>13197</v>
      </c>
    </row>
    <row r="1524" spans="1:7" x14ac:dyDescent="0.3">
      <c r="A1524" s="42" t="s">
        <v>1553</v>
      </c>
      <c r="B1524" s="42" t="s">
        <v>1741</v>
      </c>
      <c r="C1524" s="42" t="s">
        <v>7264</v>
      </c>
      <c r="D1524" s="43" t="s">
        <v>91</v>
      </c>
      <c r="E1524" s="43" t="s">
        <v>91</v>
      </c>
      <c r="F1524" s="42" t="s">
        <v>137</v>
      </c>
      <c r="G1524" t="s">
        <v>13197</v>
      </c>
    </row>
    <row r="1525" spans="1:7" x14ac:dyDescent="0.3">
      <c r="A1525" s="42" t="s">
        <v>1553</v>
      </c>
      <c r="B1525" s="42" t="s">
        <v>1742</v>
      </c>
      <c r="C1525" s="42" t="s">
        <v>7265</v>
      </c>
      <c r="D1525" s="43" t="s">
        <v>91</v>
      </c>
      <c r="E1525" s="43" t="s">
        <v>91</v>
      </c>
      <c r="F1525" s="42" t="s">
        <v>137</v>
      </c>
      <c r="G1525" t="s">
        <v>13197</v>
      </c>
    </row>
    <row r="1526" spans="1:7" x14ac:dyDescent="0.3">
      <c r="A1526" s="42" t="s">
        <v>1553</v>
      </c>
      <c r="B1526" s="42" t="s">
        <v>1743</v>
      </c>
      <c r="C1526" s="42" t="s">
        <v>7266</v>
      </c>
      <c r="D1526" s="43" t="s">
        <v>91</v>
      </c>
      <c r="E1526" s="43" t="s">
        <v>91</v>
      </c>
      <c r="F1526" s="42" t="s">
        <v>137</v>
      </c>
      <c r="G1526" t="s">
        <v>13197</v>
      </c>
    </row>
    <row r="1527" spans="1:7" x14ac:dyDescent="0.3">
      <c r="A1527" s="42" t="s">
        <v>1553</v>
      </c>
      <c r="B1527" s="42" t="s">
        <v>1744</v>
      </c>
      <c r="C1527" s="42" t="s">
        <v>7267</v>
      </c>
      <c r="D1527" s="43" t="s">
        <v>91</v>
      </c>
      <c r="E1527" s="43" t="s">
        <v>91</v>
      </c>
      <c r="F1527" s="42" t="s">
        <v>137</v>
      </c>
      <c r="G1527" t="s">
        <v>13199</v>
      </c>
    </row>
    <row r="1528" spans="1:7" x14ac:dyDescent="0.3">
      <c r="A1528" s="42" t="s">
        <v>1553</v>
      </c>
      <c r="B1528" s="42" t="s">
        <v>1745</v>
      </c>
      <c r="C1528" s="42" t="s">
        <v>7268</v>
      </c>
      <c r="D1528" s="43" t="s">
        <v>91</v>
      </c>
      <c r="E1528" s="43" t="s">
        <v>91</v>
      </c>
      <c r="F1528" s="42" t="s">
        <v>137</v>
      </c>
      <c r="G1528" t="s">
        <v>13197</v>
      </c>
    </row>
    <row r="1529" spans="1:7" x14ac:dyDescent="0.3">
      <c r="A1529" s="42" t="s">
        <v>1553</v>
      </c>
      <c r="B1529" s="42" t="s">
        <v>1746</v>
      </c>
      <c r="C1529" s="42" t="s">
        <v>7269</v>
      </c>
      <c r="D1529" s="43" t="s">
        <v>91</v>
      </c>
      <c r="E1529" s="43" t="s">
        <v>91</v>
      </c>
      <c r="F1529" s="42" t="s">
        <v>137</v>
      </c>
      <c r="G1529" t="s">
        <v>13197</v>
      </c>
    </row>
    <row r="1530" spans="1:7" x14ac:dyDescent="0.3">
      <c r="A1530" s="42" t="s">
        <v>1553</v>
      </c>
      <c r="B1530" s="42" t="s">
        <v>1747</v>
      </c>
      <c r="C1530" s="42" t="s">
        <v>7270</v>
      </c>
      <c r="D1530" s="43" t="s">
        <v>91</v>
      </c>
      <c r="E1530" s="43" t="s">
        <v>91</v>
      </c>
      <c r="F1530" s="42" t="s">
        <v>137</v>
      </c>
      <c r="G1530" t="s">
        <v>13197</v>
      </c>
    </row>
    <row r="1531" spans="1:7" x14ac:dyDescent="0.3">
      <c r="A1531" s="42" t="s">
        <v>1553</v>
      </c>
      <c r="B1531" s="42" t="s">
        <v>1748</v>
      </c>
      <c r="C1531" s="42" t="s">
        <v>7271</v>
      </c>
      <c r="D1531" s="43" t="s">
        <v>91</v>
      </c>
      <c r="E1531" s="43" t="s">
        <v>91</v>
      </c>
      <c r="F1531" s="42" t="s">
        <v>137</v>
      </c>
      <c r="G1531" t="s">
        <v>13197</v>
      </c>
    </row>
    <row r="1532" spans="1:7" x14ac:dyDescent="0.3">
      <c r="A1532" s="42" t="s">
        <v>1553</v>
      </c>
      <c r="B1532" s="42" t="s">
        <v>1749</v>
      </c>
      <c r="C1532" s="42" t="s">
        <v>7272</v>
      </c>
      <c r="D1532" s="43" t="s">
        <v>91</v>
      </c>
      <c r="E1532" s="43" t="s">
        <v>91</v>
      </c>
      <c r="F1532" s="42" t="s">
        <v>137</v>
      </c>
      <c r="G1532" t="s">
        <v>13197</v>
      </c>
    </row>
    <row r="1533" spans="1:7" x14ac:dyDescent="0.3">
      <c r="A1533" s="42" t="s">
        <v>1553</v>
      </c>
      <c r="B1533" s="42" t="s">
        <v>1750</v>
      </c>
      <c r="C1533" s="42" t="s">
        <v>7273</v>
      </c>
      <c r="D1533" s="43" t="s">
        <v>91</v>
      </c>
      <c r="E1533" s="43" t="s">
        <v>91</v>
      </c>
      <c r="F1533" s="42" t="s">
        <v>137</v>
      </c>
      <c r="G1533" t="s">
        <v>13197</v>
      </c>
    </row>
    <row r="1534" spans="1:7" x14ac:dyDescent="0.3">
      <c r="A1534" s="42" t="s">
        <v>1553</v>
      </c>
      <c r="B1534" s="42" t="s">
        <v>1751</v>
      </c>
      <c r="C1534" s="42" t="s">
        <v>7274</v>
      </c>
      <c r="D1534" s="43" t="s">
        <v>91</v>
      </c>
      <c r="E1534" s="43" t="s">
        <v>91</v>
      </c>
      <c r="F1534" s="42" t="s">
        <v>137</v>
      </c>
      <c r="G1534" t="s">
        <v>13197</v>
      </c>
    </row>
    <row r="1535" spans="1:7" x14ac:dyDescent="0.3">
      <c r="A1535" s="42" t="s">
        <v>1553</v>
      </c>
      <c r="B1535" s="42" t="s">
        <v>1752</v>
      </c>
      <c r="C1535" s="42" t="s">
        <v>7275</v>
      </c>
      <c r="D1535" s="43" t="s">
        <v>91</v>
      </c>
      <c r="E1535" s="43" t="s">
        <v>91</v>
      </c>
      <c r="F1535" s="42" t="s">
        <v>137</v>
      </c>
      <c r="G1535" t="s">
        <v>13197</v>
      </c>
    </row>
    <row r="1536" spans="1:7" x14ac:dyDescent="0.3">
      <c r="A1536" s="42" t="s">
        <v>1553</v>
      </c>
      <c r="B1536" s="42" t="s">
        <v>1753</v>
      </c>
      <c r="C1536" s="42" t="s">
        <v>7276</v>
      </c>
      <c r="D1536" s="43" t="s">
        <v>91</v>
      </c>
      <c r="E1536" s="43" t="s">
        <v>91</v>
      </c>
      <c r="F1536" s="42" t="s">
        <v>137</v>
      </c>
      <c r="G1536" t="s">
        <v>13197</v>
      </c>
    </row>
    <row r="1537" spans="1:7" x14ac:dyDescent="0.3">
      <c r="A1537" s="42" t="s">
        <v>1553</v>
      </c>
      <c r="B1537" s="42" t="s">
        <v>1754</v>
      </c>
      <c r="C1537" s="42" t="s">
        <v>7277</v>
      </c>
      <c r="D1537" s="43" t="s">
        <v>91</v>
      </c>
      <c r="E1537" s="43" t="s">
        <v>91</v>
      </c>
      <c r="F1537" s="42" t="s">
        <v>137</v>
      </c>
      <c r="G1537" t="s">
        <v>13197</v>
      </c>
    </row>
    <row r="1538" spans="1:7" x14ac:dyDescent="0.3">
      <c r="A1538" s="42" t="s">
        <v>1553</v>
      </c>
      <c r="B1538" s="42" t="s">
        <v>1755</v>
      </c>
      <c r="C1538" s="42" t="s">
        <v>7278</v>
      </c>
      <c r="D1538" s="43" t="s">
        <v>91</v>
      </c>
      <c r="E1538" s="43" t="s">
        <v>91</v>
      </c>
      <c r="F1538" s="42" t="s">
        <v>137</v>
      </c>
      <c r="G1538" t="s">
        <v>13197</v>
      </c>
    </row>
    <row r="1539" spans="1:7" x14ac:dyDescent="0.3">
      <c r="A1539" s="42" t="s">
        <v>1553</v>
      </c>
      <c r="B1539" s="42" t="s">
        <v>1756</v>
      </c>
      <c r="C1539" s="42" t="s">
        <v>7279</v>
      </c>
      <c r="D1539" s="43" t="s">
        <v>91</v>
      </c>
      <c r="E1539" s="43" t="s">
        <v>91</v>
      </c>
      <c r="F1539" s="42" t="s">
        <v>137</v>
      </c>
      <c r="G1539" t="s">
        <v>13197</v>
      </c>
    </row>
    <row r="1540" spans="1:7" x14ac:dyDescent="0.3">
      <c r="A1540" s="42" t="s">
        <v>1553</v>
      </c>
      <c r="B1540" s="42" t="s">
        <v>1757</v>
      </c>
      <c r="C1540" s="42" t="s">
        <v>7280</v>
      </c>
      <c r="D1540" s="43" t="s">
        <v>91</v>
      </c>
      <c r="E1540" s="43" t="s">
        <v>91</v>
      </c>
      <c r="F1540" s="42" t="s">
        <v>137</v>
      </c>
      <c r="G1540" t="s">
        <v>13197</v>
      </c>
    </row>
    <row r="1541" spans="1:7" x14ac:dyDescent="0.3">
      <c r="A1541" s="42" t="s">
        <v>1553</v>
      </c>
      <c r="B1541" s="42" t="s">
        <v>1758</v>
      </c>
      <c r="C1541" s="42" t="s">
        <v>7281</v>
      </c>
      <c r="D1541" s="43" t="s">
        <v>91</v>
      </c>
      <c r="E1541" s="43" t="s">
        <v>91</v>
      </c>
      <c r="F1541" s="42" t="s">
        <v>137</v>
      </c>
      <c r="G1541" t="s">
        <v>13197</v>
      </c>
    </row>
    <row r="1542" spans="1:7" x14ac:dyDescent="0.3">
      <c r="A1542" s="42" t="s">
        <v>1553</v>
      </c>
      <c r="B1542" s="42" t="s">
        <v>1759</v>
      </c>
      <c r="C1542" s="42" t="s">
        <v>7282</v>
      </c>
      <c r="D1542" s="43" t="s">
        <v>91</v>
      </c>
      <c r="E1542" s="43" t="s">
        <v>91</v>
      </c>
      <c r="F1542" s="42" t="s">
        <v>11469</v>
      </c>
      <c r="G1542" t="s">
        <v>13196</v>
      </c>
    </row>
    <row r="1543" spans="1:7" x14ac:dyDescent="0.3">
      <c r="A1543" s="42" t="s">
        <v>1760</v>
      </c>
      <c r="B1543" s="42" t="s">
        <v>1761</v>
      </c>
      <c r="C1543" s="42" t="s">
        <v>7283</v>
      </c>
      <c r="D1543" s="43" t="s">
        <v>228</v>
      </c>
      <c r="E1543" s="43" t="s">
        <v>1430</v>
      </c>
      <c r="F1543" s="42" t="s">
        <v>192</v>
      </c>
      <c r="G1543" t="s">
        <v>13196</v>
      </c>
    </row>
    <row r="1544" spans="1:7" x14ac:dyDescent="0.3">
      <c r="A1544" s="42" t="s">
        <v>1553</v>
      </c>
      <c r="B1544" s="42" t="s">
        <v>1762</v>
      </c>
      <c r="C1544" s="42" t="s">
        <v>7284</v>
      </c>
      <c r="D1544" s="43" t="s">
        <v>91</v>
      </c>
      <c r="E1544" s="43" t="s">
        <v>91</v>
      </c>
      <c r="F1544" s="42" t="s">
        <v>137</v>
      </c>
      <c r="G1544" t="s">
        <v>13196</v>
      </c>
    </row>
    <row r="1545" spans="1:7" x14ac:dyDescent="0.3">
      <c r="A1545" s="42" t="s">
        <v>1553</v>
      </c>
      <c r="B1545" s="42" t="s">
        <v>1763</v>
      </c>
      <c r="C1545" s="42" t="s">
        <v>7285</v>
      </c>
      <c r="D1545" s="43" t="s">
        <v>91</v>
      </c>
      <c r="E1545" s="43" t="s">
        <v>91</v>
      </c>
      <c r="F1545" s="42" t="s">
        <v>137</v>
      </c>
      <c r="G1545" t="s">
        <v>13196</v>
      </c>
    </row>
    <row r="1546" spans="1:7" x14ac:dyDescent="0.3">
      <c r="A1546" s="42" t="s">
        <v>1553</v>
      </c>
      <c r="B1546" s="42" t="s">
        <v>1764</v>
      </c>
      <c r="C1546" s="42" t="s">
        <v>7286</v>
      </c>
      <c r="D1546" s="43" t="s">
        <v>91</v>
      </c>
      <c r="E1546" s="43" t="s">
        <v>91</v>
      </c>
      <c r="F1546" s="42" t="s">
        <v>137</v>
      </c>
      <c r="G1546" t="s">
        <v>13197</v>
      </c>
    </row>
    <row r="1547" spans="1:7" x14ac:dyDescent="0.3">
      <c r="A1547" s="42" t="s">
        <v>1553</v>
      </c>
      <c r="B1547" s="42" t="s">
        <v>1765</v>
      </c>
      <c r="C1547" s="42" t="s">
        <v>7287</v>
      </c>
      <c r="D1547" s="43" t="s">
        <v>91</v>
      </c>
      <c r="E1547" s="43" t="s">
        <v>91</v>
      </c>
      <c r="F1547" s="42" t="s">
        <v>137</v>
      </c>
      <c r="G1547" t="s">
        <v>13197</v>
      </c>
    </row>
    <row r="1548" spans="1:7" x14ac:dyDescent="0.3">
      <c r="A1548" s="42" t="s">
        <v>1553</v>
      </c>
      <c r="B1548" s="42" t="s">
        <v>1766</v>
      </c>
      <c r="C1548" s="42" t="s">
        <v>7288</v>
      </c>
      <c r="D1548" s="43" t="s">
        <v>91</v>
      </c>
      <c r="E1548" s="43" t="s">
        <v>91</v>
      </c>
      <c r="F1548" s="42" t="s">
        <v>137</v>
      </c>
      <c r="G1548" t="s">
        <v>13197</v>
      </c>
    </row>
    <row r="1549" spans="1:7" x14ac:dyDescent="0.3">
      <c r="A1549" s="42" t="s">
        <v>1553</v>
      </c>
      <c r="B1549" s="42" t="s">
        <v>1767</v>
      </c>
      <c r="C1549" s="42" t="s">
        <v>7289</v>
      </c>
      <c r="D1549" s="43" t="s">
        <v>91</v>
      </c>
      <c r="E1549" s="43" t="s">
        <v>91</v>
      </c>
      <c r="F1549" s="42" t="s">
        <v>137</v>
      </c>
      <c r="G1549" t="s">
        <v>13197</v>
      </c>
    </row>
    <row r="1550" spans="1:7" x14ac:dyDescent="0.3">
      <c r="A1550" s="42" t="s">
        <v>1553</v>
      </c>
      <c r="B1550" s="42" t="s">
        <v>1768</v>
      </c>
      <c r="C1550" s="42" t="s">
        <v>7290</v>
      </c>
      <c r="D1550" s="43" t="s">
        <v>91</v>
      </c>
      <c r="E1550" s="43" t="s">
        <v>91</v>
      </c>
      <c r="F1550" s="42" t="s">
        <v>137</v>
      </c>
      <c r="G1550" t="s">
        <v>13197</v>
      </c>
    </row>
    <row r="1551" spans="1:7" x14ac:dyDescent="0.3">
      <c r="A1551" s="42" t="s">
        <v>1553</v>
      </c>
      <c r="B1551" s="42" t="s">
        <v>1769</v>
      </c>
      <c r="C1551" s="42" t="s">
        <v>7291</v>
      </c>
      <c r="D1551" s="43" t="s">
        <v>91</v>
      </c>
      <c r="E1551" s="43" t="s">
        <v>91</v>
      </c>
      <c r="F1551" s="42" t="s">
        <v>137</v>
      </c>
      <c r="G1551" t="s">
        <v>13197</v>
      </c>
    </row>
    <row r="1552" spans="1:7" x14ac:dyDescent="0.3">
      <c r="A1552" s="42" t="s">
        <v>1553</v>
      </c>
      <c r="B1552" s="42" t="s">
        <v>1770</v>
      </c>
      <c r="C1552" s="42" t="s">
        <v>7292</v>
      </c>
      <c r="D1552" s="43" t="s">
        <v>91</v>
      </c>
      <c r="E1552" s="43" t="s">
        <v>91</v>
      </c>
      <c r="F1552" s="42" t="s">
        <v>137</v>
      </c>
      <c r="G1552" t="s">
        <v>13197</v>
      </c>
    </row>
    <row r="1553" spans="1:7" x14ac:dyDescent="0.3">
      <c r="A1553" s="42" t="s">
        <v>1553</v>
      </c>
      <c r="B1553" s="42" t="s">
        <v>1771</v>
      </c>
      <c r="C1553" s="42" t="s">
        <v>7293</v>
      </c>
      <c r="D1553" s="43" t="s">
        <v>91</v>
      </c>
      <c r="E1553" s="43" t="s">
        <v>91</v>
      </c>
      <c r="F1553" s="42" t="s">
        <v>137</v>
      </c>
      <c r="G1553" t="s">
        <v>13197</v>
      </c>
    </row>
    <row r="1554" spans="1:7" x14ac:dyDescent="0.3">
      <c r="A1554" s="42" t="s">
        <v>1553</v>
      </c>
      <c r="B1554" s="42" t="s">
        <v>1772</v>
      </c>
      <c r="C1554" s="42" t="s">
        <v>7294</v>
      </c>
      <c r="D1554" s="43" t="s">
        <v>91</v>
      </c>
      <c r="E1554" s="43" t="s">
        <v>91</v>
      </c>
      <c r="F1554" s="42" t="s">
        <v>137</v>
      </c>
      <c r="G1554" t="s">
        <v>13197</v>
      </c>
    </row>
    <row r="1555" spans="1:7" x14ac:dyDescent="0.3">
      <c r="A1555" s="42" t="s">
        <v>1553</v>
      </c>
      <c r="B1555" s="42" t="s">
        <v>1773</v>
      </c>
      <c r="C1555" s="42" t="s">
        <v>7295</v>
      </c>
      <c r="D1555" s="43" t="s">
        <v>91</v>
      </c>
      <c r="E1555" s="43" t="s">
        <v>91</v>
      </c>
      <c r="F1555" s="42" t="s">
        <v>137</v>
      </c>
      <c r="G1555" t="s">
        <v>13197</v>
      </c>
    </row>
    <row r="1556" spans="1:7" x14ac:dyDescent="0.3">
      <c r="A1556" s="42" t="s">
        <v>1553</v>
      </c>
      <c r="B1556" s="42" t="s">
        <v>1774</v>
      </c>
      <c r="C1556" s="42" t="s">
        <v>7296</v>
      </c>
      <c r="D1556" s="43" t="s">
        <v>91</v>
      </c>
      <c r="E1556" s="43" t="s">
        <v>91</v>
      </c>
      <c r="F1556" s="42" t="s">
        <v>11469</v>
      </c>
      <c r="G1556" t="s">
        <v>13199</v>
      </c>
    </row>
    <row r="1557" spans="1:7" x14ac:dyDescent="0.3">
      <c r="A1557" s="42" t="s">
        <v>1553</v>
      </c>
      <c r="B1557" s="42" t="s">
        <v>1775</v>
      </c>
      <c r="C1557" s="42" t="s">
        <v>7297</v>
      </c>
      <c r="D1557" s="43" t="s">
        <v>91</v>
      </c>
      <c r="E1557" s="43" t="s">
        <v>91</v>
      </c>
      <c r="F1557" s="42" t="s">
        <v>137</v>
      </c>
      <c r="G1557" t="s">
        <v>13196</v>
      </c>
    </row>
    <row r="1558" spans="1:7" x14ac:dyDescent="0.3">
      <c r="A1558" s="42" t="s">
        <v>1553</v>
      </c>
      <c r="B1558" s="42" t="s">
        <v>1776</v>
      </c>
      <c r="C1558" s="42" t="s">
        <v>7298</v>
      </c>
      <c r="D1558" s="43" t="s">
        <v>91</v>
      </c>
      <c r="E1558" s="43" t="s">
        <v>91</v>
      </c>
      <c r="F1558" s="42" t="s">
        <v>137</v>
      </c>
      <c r="G1558" t="s">
        <v>13197</v>
      </c>
    </row>
    <row r="1559" spans="1:7" x14ac:dyDescent="0.3">
      <c r="A1559" s="42" t="s">
        <v>1553</v>
      </c>
      <c r="B1559" s="42" t="s">
        <v>1777</v>
      </c>
      <c r="C1559" s="42" t="s">
        <v>7299</v>
      </c>
      <c r="D1559" s="43" t="s">
        <v>91</v>
      </c>
      <c r="E1559" s="43" t="s">
        <v>91</v>
      </c>
      <c r="F1559" s="42" t="s">
        <v>137</v>
      </c>
      <c r="G1559" t="s">
        <v>13199</v>
      </c>
    </row>
    <row r="1560" spans="1:7" x14ac:dyDescent="0.3">
      <c r="A1560" s="42" t="s">
        <v>1553</v>
      </c>
      <c r="B1560" s="42" t="s">
        <v>1778</v>
      </c>
      <c r="C1560" s="42" t="s">
        <v>7300</v>
      </c>
      <c r="D1560" s="43" t="s">
        <v>91</v>
      </c>
      <c r="E1560" s="43" t="s">
        <v>91</v>
      </c>
      <c r="F1560" s="42" t="s">
        <v>137</v>
      </c>
      <c r="G1560" t="s">
        <v>13197</v>
      </c>
    </row>
    <row r="1561" spans="1:7" x14ac:dyDescent="0.3">
      <c r="A1561" s="42" t="s">
        <v>1553</v>
      </c>
      <c r="B1561" s="42" t="s">
        <v>1779</v>
      </c>
      <c r="C1561" s="42" t="s">
        <v>7301</v>
      </c>
      <c r="D1561" s="43" t="s">
        <v>91</v>
      </c>
      <c r="E1561" s="43" t="s">
        <v>91</v>
      </c>
      <c r="F1561" s="42" t="s">
        <v>11469</v>
      </c>
      <c r="G1561" t="s">
        <v>13196</v>
      </c>
    </row>
    <row r="1562" spans="1:7" x14ac:dyDescent="0.3">
      <c r="A1562" s="42" t="s">
        <v>1553</v>
      </c>
      <c r="B1562" s="42" t="s">
        <v>1780</v>
      </c>
      <c r="C1562" s="42" t="s">
        <v>7302</v>
      </c>
      <c r="D1562" s="43" t="s">
        <v>91</v>
      </c>
      <c r="E1562" s="43" t="s">
        <v>91</v>
      </c>
      <c r="F1562" s="42" t="s">
        <v>137</v>
      </c>
      <c r="G1562" t="s">
        <v>13197</v>
      </c>
    </row>
    <row r="1563" spans="1:7" x14ac:dyDescent="0.3">
      <c r="A1563" s="42" t="s">
        <v>1553</v>
      </c>
      <c r="B1563" s="42" t="s">
        <v>1781</v>
      </c>
      <c r="C1563" s="42" t="s">
        <v>7303</v>
      </c>
      <c r="D1563" s="43" t="s">
        <v>91</v>
      </c>
      <c r="E1563" s="43" t="s">
        <v>91</v>
      </c>
      <c r="F1563" s="42" t="s">
        <v>11469</v>
      </c>
      <c r="G1563" t="s">
        <v>13196</v>
      </c>
    </row>
    <row r="1564" spans="1:7" x14ac:dyDescent="0.3">
      <c r="A1564" s="42" t="s">
        <v>1553</v>
      </c>
      <c r="B1564" s="42" t="s">
        <v>1782</v>
      </c>
      <c r="C1564" s="42" t="s">
        <v>7304</v>
      </c>
      <c r="D1564" s="43" t="s">
        <v>91</v>
      </c>
      <c r="E1564" s="43" t="s">
        <v>91</v>
      </c>
      <c r="F1564" s="42" t="s">
        <v>137</v>
      </c>
      <c r="G1564" t="s">
        <v>13197</v>
      </c>
    </row>
    <row r="1565" spans="1:7" x14ac:dyDescent="0.3">
      <c r="A1565" s="42" t="s">
        <v>1553</v>
      </c>
      <c r="B1565" s="42" t="s">
        <v>1783</v>
      </c>
      <c r="C1565" s="42" t="s">
        <v>7305</v>
      </c>
      <c r="D1565" s="43" t="s">
        <v>91</v>
      </c>
      <c r="E1565" s="43" t="s">
        <v>91</v>
      </c>
      <c r="F1565" s="42" t="s">
        <v>11469</v>
      </c>
      <c r="G1565" t="s">
        <v>13196</v>
      </c>
    </row>
    <row r="1566" spans="1:7" x14ac:dyDescent="0.3">
      <c r="A1566" s="42" t="s">
        <v>1553</v>
      </c>
      <c r="B1566" s="42" t="s">
        <v>1784</v>
      </c>
      <c r="C1566" s="42" t="s">
        <v>7306</v>
      </c>
      <c r="D1566" s="43" t="s">
        <v>91</v>
      </c>
      <c r="E1566" s="43" t="s">
        <v>91</v>
      </c>
      <c r="F1566" s="42" t="s">
        <v>137</v>
      </c>
      <c r="G1566" t="s">
        <v>13196</v>
      </c>
    </row>
    <row r="1567" spans="1:7" x14ac:dyDescent="0.3">
      <c r="A1567" s="42" t="s">
        <v>1553</v>
      </c>
      <c r="B1567" s="42" t="s">
        <v>1785</v>
      </c>
      <c r="C1567" s="42" t="s">
        <v>7307</v>
      </c>
      <c r="D1567" s="43" t="s">
        <v>91</v>
      </c>
      <c r="E1567" s="43" t="s">
        <v>91</v>
      </c>
      <c r="F1567" s="42" t="s">
        <v>137</v>
      </c>
      <c r="G1567" t="s">
        <v>13197</v>
      </c>
    </row>
    <row r="1568" spans="1:7" x14ac:dyDescent="0.3">
      <c r="A1568" s="42" t="s">
        <v>1553</v>
      </c>
      <c r="B1568" s="42" t="s">
        <v>1786</v>
      </c>
      <c r="C1568" s="42" t="s">
        <v>7308</v>
      </c>
      <c r="D1568" s="43" t="s">
        <v>91</v>
      </c>
      <c r="E1568" s="43" t="s">
        <v>91</v>
      </c>
      <c r="F1568" s="42" t="s">
        <v>137</v>
      </c>
      <c r="G1568" t="s">
        <v>13197</v>
      </c>
    </row>
    <row r="1569" spans="1:7" x14ac:dyDescent="0.3">
      <c r="A1569" s="42" t="s">
        <v>1787</v>
      </c>
      <c r="B1569" s="42" t="s">
        <v>1788</v>
      </c>
      <c r="C1569" s="42" t="s">
        <v>7309</v>
      </c>
      <c r="D1569" s="43" t="s">
        <v>228</v>
      </c>
      <c r="E1569" s="43" t="s">
        <v>1430</v>
      </c>
      <c r="F1569" s="42" t="s">
        <v>11469</v>
      </c>
      <c r="G1569" t="s">
        <v>13198</v>
      </c>
    </row>
    <row r="1570" spans="1:7" x14ac:dyDescent="0.3">
      <c r="A1570" s="42" t="s">
        <v>1787</v>
      </c>
      <c r="B1570" s="42" t="s">
        <v>1789</v>
      </c>
      <c r="C1570" s="42" t="s">
        <v>7310</v>
      </c>
      <c r="D1570" s="43" t="s">
        <v>228</v>
      </c>
      <c r="E1570" s="43" t="s">
        <v>1430</v>
      </c>
      <c r="F1570" s="42" t="s">
        <v>11469</v>
      </c>
      <c r="G1570" t="s">
        <v>13197</v>
      </c>
    </row>
    <row r="1571" spans="1:7" x14ac:dyDescent="0.3">
      <c r="A1571" s="42" t="s">
        <v>1787</v>
      </c>
      <c r="B1571" s="42" t="s">
        <v>1790</v>
      </c>
      <c r="C1571" s="42" t="s">
        <v>7311</v>
      </c>
      <c r="D1571" s="43" t="s">
        <v>228</v>
      </c>
      <c r="E1571" s="43" t="s">
        <v>1430</v>
      </c>
      <c r="F1571" s="42" t="s">
        <v>11469</v>
      </c>
      <c r="G1571" t="s">
        <v>13197</v>
      </c>
    </row>
    <row r="1572" spans="1:7" x14ac:dyDescent="0.3">
      <c r="A1572" s="42" t="s">
        <v>1787</v>
      </c>
      <c r="B1572" s="42" t="s">
        <v>1791</v>
      </c>
      <c r="C1572" s="42" t="s">
        <v>7312</v>
      </c>
      <c r="D1572" s="43" t="s">
        <v>228</v>
      </c>
      <c r="E1572" s="43" t="s">
        <v>1430</v>
      </c>
      <c r="F1572" s="42" t="s">
        <v>11469</v>
      </c>
      <c r="G1572" t="s">
        <v>13197</v>
      </c>
    </row>
    <row r="1573" spans="1:7" x14ac:dyDescent="0.3">
      <c r="A1573" s="42" t="s">
        <v>1787</v>
      </c>
      <c r="B1573" s="42" t="s">
        <v>1792</v>
      </c>
      <c r="C1573" s="42" t="s">
        <v>7313</v>
      </c>
      <c r="D1573" s="43" t="s">
        <v>228</v>
      </c>
      <c r="E1573" s="43" t="s">
        <v>1430</v>
      </c>
      <c r="F1573" s="42" t="s">
        <v>11469</v>
      </c>
      <c r="G1573" t="s">
        <v>13197</v>
      </c>
    </row>
    <row r="1574" spans="1:7" x14ac:dyDescent="0.3">
      <c r="A1574" s="42" t="s">
        <v>1787</v>
      </c>
      <c r="B1574" s="42" t="s">
        <v>1793</v>
      </c>
      <c r="C1574" s="42" t="s">
        <v>7314</v>
      </c>
      <c r="D1574" s="43" t="s">
        <v>228</v>
      </c>
      <c r="E1574" s="43" t="s">
        <v>1430</v>
      </c>
      <c r="F1574" s="42" t="s">
        <v>11469</v>
      </c>
      <c r="G1574" t="s">
        <v>13197</v>
      </c>
    </row>
    <row r="1575" spans="1:7" x14ac:dyDescent="0.3">
      <c r="A1575" s="42" t="s">
        <v>1787</v>
      </c>
      <c r="B1575" s="42" t="s">
        <v>1794</v>
      </c>
      <c r="C1575" s="42" t="s">
        <v>7315</v>
      </c>
      <c r="D1575" s="43" t="s">
        <v>228</v>
      </c>
      <c r="E1575" s="43" t="s">
        <v>1430</v>
      </c>
      <c r="F1575" s="42" t="s">
        <v>11469</v>
      </c>
      <c r="G1575" t="s">
        <v>13197</v>
      </c>
    </row>
    <row r="1576" spans="1:7" x14ac:dyDescent="0.3">
      <c r="A1576" s="42" t="s">
        <v>1787</v>
      </c>
      <c r="B1576" s="42" t="s">
        <v>1795</v>
      </c>
      <c r="C1576" s="42" t="s">
        <v>7316</v>
      </c>
      <c r="D1576" s="43" t="s">
        <v>228</v>
      </c>
      <c r="E1576" s="43" t="s">
        <v>1430</v>
      </c>
      <c r="F1576" s="42" t="s">
        <v>11469</v>
      </c>
      <c r="G1576" t="s">
        <v>13197</v>
      </c>
    </row>
    <row r="1577" spans="1:7" x14ac:dyDescent="0.3">
      <c r="A1577" s="42" t="s">
        <v>1787</v>
      </c>
      <c r="B1577" s="42" t="s">
        <v>1796</v>
      </c>
      <c r="C1577" s="42" t="s">
        <v>7317</v>
      </c>
      <c r="D1577" s="43" t="s">
        <v>228</v>
      </c>
      <c r="E1577" s="43" t="s">
        <v>1430</v>
      </c>
      <c r="F1577" s="42" t="s">
        <v>11469</v>
      </c>
      <c r="G1577" t="s">
        <v>13197</v>
      </c>
    </row>
    <row r="1578" spans="1:7" x14ac:dyDescent="0.3">
      <c r="A1578" s="42" t="s">
        <v>1787</v>
      </c>
      <c r="B1578" s="42" t="s">
        <v>1797</v>
      </c>
      <c r="C1578" s="42" t="s">
        <v>7318</v>
      </c>
      <c r="D1578" s="43" t="s">
        <v>228</v>
      </c>
      <c r="E1578" s="43" t="s">
        <v>1430</v>
      </c>
      <c r="F1578" s="42" t="s">
        <v>192</v>
      </c>
      <c r="G1578" t="s">
        <v>13196</v>
      </c>
    </row>
    <row r="1579" spans="1:7" x14ac:dyDescent="0.3">
      <c r="A1579" s="42" t="s">
        <v>1787</v>
      </c>
      <c r="B1579" s="42" t="s">
        <v>1798</v>
      </c>
      <c r="C1579" s="42" t="s">
        <v>7319</v>
      </c>
      <c r="D1579" s="43" t="s">
        <v>228</v>
      </c>
      <c r="E1579" s="43" t="s">
        <v>1430</v>
      </c>
      <c r="F1579" s="42" t="s">
        <v>11469</v>
      </c>
      <c r="G1579" t="s">
        <v>13197</v>
      </c>
    </row>
    <row r="1580" spans="1:7" x14ac:dyDescent="0.3">
      <c r="A1580" s="42" t="s">
        <v>1787</v>
      </c>
      <c r="B1580" s="42" t="s">
        <v>1799</v>
      </c>
      <c r="C1580" s="42" t="s">
        <v>7320</v>
      </c>
      <c r="D1580" s="43" t="s">
        <v>228</v>
      </c>
      <c r="E1580" s="43" t="s">
        <v>1430</v>
      </c>
      <c r="F1580" s="42" t="s">
        <v>11469</v>
      </c>
      <c r="G1580" t="s">
        <v>13197</v>
      </c>
    </row>
    <row r="1581" spans="1:7" x14ac:dyDescent="0.3">
      <c r="A1581" s="42" t="s">
        <v>1787</v>
      </c>
      <c r="B1581" s="42" t="s">
        <v>1800</v>
      </c>
      <c r="C1581" s="42" t="s">
        <v>7321</v>
      </c>
      <c r="D1581" s="43" t="s">
        <v>228</v>
      </c>
      <c r="E1581" s="43" t="s">
        <v>1430</v>
      </c>
      <c r="F1581" s="42" t="s">
        <v>11469</v>
      </c>
      <c r="G1581" t="s">
        <v>13197</v>
      </c>
    </row>
    <row r="1582" spans="1:7" x14ac:dyDescent="0.3">
      <c r="A1582" s="42" t="s">
        <v>1787</v>
      </c>
      <c r="B1582" s="42" t="s">
        <v>1801</v>
      </c>
      <c r="C1582" s="42" t="s">
        <v>7322</v>
      </c>
      <c r="D1582" s="43" t="s">
        <v>228</v>
      </c>
      <c r="E1582" s="43" t="s">
        <v>1430</v>
      </c>
      <c r="F1582" s="42" t="s">
        <v>11469</v>
      </c>
      <c r="G1582" t="s">
        <v>13197</v>
      </c>
    </row>
    <row r="1583" spans="1:7" x14ac:dyDescent="0.3">
      <c r="A1583" s="42" t="s">
        <v>1787</v>
      </c>
      <c r="B1583" s="42" t="s">
        <v>1802</v>
      </c>
      <c r="C1583" s="42" t="s">
        <v>7323</v>
      </c>
      <c r="D1583" s="43" t="s">
        <v>228</v>
      </c>
      <c r="E1583" s="43" t="s">
        <v>1430</v>
      </c>
      <c r="F1583" s="42" t="s">
        <v>11469</v>
      </c>
      <c r="G1583" t="s">
        <v>13197</v>
      </c>
    </row>
    <row r="1584" spans="1:7" x14ac:dyDescent="0.3">
      <c r="A1584" s="42" t="s">
        <v>1787</v>
      </c>
      <c r="B1584" s="42" t="s">
        <v>1803</v>
      </c>
      <c r="C1584" s="42" t="s">
        <v>7324</v>
      </c>
      <c r="D1584" s="43" t="s">
        <v>228</v>
      </c>
      <c r="E1584" s="43" t="s">
        <v>1430</v>
      </c>
      <c r="F1584" s="42" t="s">
        <v>137</v>
      </c>
      <c r="G1584" t="s">
        <v>13197</v>
      </c>
    </row>
    <row r="1585" spans="1:7" x14ac:dyDescent="0.3">
      <c r="A1585" s="42" t="s">
        <v>1787</v>
      </c>
      <c r="B1585" s="42" t="s">
        <v>1804</v>
      </c>
      <c r="C1585" s="42" t="s">
        <v>7325</v>
      </c>
      <c r="D1585" s="43" t="s">
        <v>228</v>
      </c>
      <c r="E1585" s="43" t="s">
        <v>1430</v>
      </c>
      <c r="F1585" s="42" t="s">
        <v>11469</v>
      </c>
      <c r="G1585" t="s">
        <v>13197</v>
      </c>
    </row>
    <row r="1586" spans="1:7" x14ac:dyDescent="0.3">
      <c r="A1586" s="42" t="s">
        <v>1787</v>
      </c>
      <c r="B1586" s="42" t="s">
        <v>1805</v>
      </c>
      <c r="C1586" s="42" t="s">
        <v>7326</v>
      </c>
      <c r="D1586" s="43" t="s">
        <v>228</v>
      </c>
      <c r="E1586" s="43" t="s">
        <v>1430</v>
      </c>
      <c r="F1586" s="42" t="s">
        <v>11469</v>
      </c>
      <c r="G1586" t="s">
        <v>13197</v>
      </c>
    </row>
    <row r="1587" spans="1:7" x14ac:dyDescent="0.3">
      <c r="A1587" s="42" t="s">
        <v>1787</v>
      </c>
      <c r="B1587" s="42" t="s">
        <v>1806</v>
      </c>
      <c r="C1587" s="42" t="s">
        <v>7327</v>
      </c>
      <c r="D1587" s="43" t="s">
        <v>228</v>
      </c>
      <c r="E1587" s="43" t="s">
        <v>1430</v>
      </c>
      <c r="F1587" s="42" t="s">
        <v>11469</v>
      </c>
      <c r="G1587" t="s">
        <v>13197</v>
      </c>
    </row>
    <row r="1588" spans="1:7" x14ac:dyDescent="0.3">
      <c r="A1588" s="42" t="s">
        <v>1787</v>
      </c>
      <c r="B1588" s="42" t="s">
        <v>1807</v>
      </c>
      <c r="C1588" s="42" t="s">
        <v>7328</v>
      </c>
      <c r="D1588" s="43" t="s">
        <v>228</v>
      </c>
      <c r="E1588" s="43" t="s">
        <v>1430</v>
      </c>
      <c r="F1588" s="42" t="s">
        <v>11469</v>
      </c>
      <c r="G1588" t="s">
        <v>13197</v>
      </c>
    </row>
    <row r="1589" spans="1:7" x14ac:dyDescent="0.3">
      <c r="A1589" s="42" t="s">
        <v>1787</v>
      </c>
      <c r="B1589" s="42" t="s">
        <v>1808</v>
      </c>
      <c r="C1589" s="42" t="s">
        <v>7329</v>
      </c>
      <c r="D1589" s="43" t="s">
        <v>228</v>
      </c>
      <c r="E1589" s="43" t="s">
        <v>1430</v>
      </c>
      <c r="F1589" s="42" t="s">
        <v>11469</v>
      </c>
      <c r="G1589" t="s">
        <v>13197</v>
      </c>
    </row>
    <row r="1590" spans="1:7" x14ac:dyDescent="0.3">
      <c r="A1590" s="42" t="s">
        <v>1787</v>
      </c>
      <c r="B1590" s="42" t="s">
        <v>1809</v>
      </c>
      <c r="C1590" s="42" t="s">
        <v>7330</v>
      </c>
      <c r="D1590" s="43" t="s">
        <v>228</v>
      </c>
      <c r="E1590" s="43" t="s">
        <v>1430</v>
      </c>
      <c r="F1590" s="42" t="s">
        <v>11469</v>
      </c>
      <c r="G1590" t="s">
        <v>13197</v>
      </c>
    </row>
    <row r="1591" spans="1:7" x14ac:dyDescent="0.3">
      <c r="A1591" s="42" t="s">
        <v>1787</v>
      </c>
      <c r="B1591" s="42" t="s">
        <v>1810</v>
      </c>
      <c r="C1591" s="42" t="s">
        <v>7331</v>
      </c>
      <c r="D1591" s="43" t="s">
        <v>228</v>
      </c>
      <c r="E1591" s="43" t="s">
        <v>1430</v>
      </c>
      <c r="F1591" s="42" t="s">
        <v>11469</v>
      </c>
      <c r="G1591" t="s">
        <v>13197</v>
      </c>
    </row>
    <row r="1592" spans="1:7" x14ac:dyDescent="0.3">
      <c r="A1592" s="42" t="s">
        <v>1787</v>
      </c>
      <c r="B1592" s="42" t="s">
        <v>1811</v>
      </c>
      <c r="C1592" s="42" t="s">
        <v>7332</v>
      </c>
      <c r="D1592" s="43" t="s">
        <v>228</v>
      </c>
      <c r="E1592" s="43" t="s">
        <v>1430</v>
      </c>
      <c r="F1592" s="42" t="s">
        <v>11469</v>
      </c>
      <c r="G1592" t="s">
        <v>13197</v>
      </c>
    </row>
    <row r="1593" spans="1:7" x14ac:dyDescent="0.3">
      <c r="A1593" s="42" t="s">
        <v>1787</v>
      </c>
      <c r="B1593" s="42" t="s">
        <v>1812</v>
      </c>
      <c r="C1593" s="42" t="s">
        <v>7333</v>
      </c>
      <c r="D1593" s="43" t="s">
        <v>228</v>
      </c>
      <c r="E1593" s="43" t="s">
        <v>1430</v>
      </c>
      <c r="F1593" s="42" t="s">
        <v>137</v>
      </c>
      <c r="G1593" t="s">
        <v>13201</v>
      </c>
    </row>
    <row r="1594" spans="1:7" x14ac:dyDescent="0.3">
      <c r="A1594" s="42" t="s">
        <v>1787</v>
      </c>
      <c r="B1594" s="42" t="s">
        <v>1813</v>
      </c>
      <c r="C1594" s="42" t="s">
        <v>7334</v>
      </c>
      <c r="D1594" s="43" t="s">
        <v>228</v>
      </c>
      <c r="E1594" s="43" t="s">
        <v>1430</v>
      </c>
      <c r="F1594" s="42" t="s">
        <v>11469</v>
      </c>
      <c r="G1594" t="s">
        <v>13197</v>
      </c>
    </row>
    <row r="1595" spans="1:7" x14ac:dyDescent="0.3">
      <c r="A1595" s="42" t="s">
        <v>1787</v>
      </c>
      <c r="B1595" s="42" t="s">
        <v>1814</v>
      </c>
      <c r="C1595" s="42" t="s">
        <v>7335</v>
      </c>
      <c r="D1595" s="43" t="s">
        <v>228</v>
      </c>
      <c r="E1595" s="43" t="s">
        <v>1430</v>
      </c>
      <c r="F1595" s="42" t="s">
        <v>11469</v>
      </c>
      <c r="G1595" t="s">
        <v>13197</v>
      </c>
    </row>
    <row r="1596" spans="1:7" x14ac:dyDescent="0.3">
      <c r="A1596" s="42" t="s">
        <v>1787</v>
      </c>
      <c r="B1596" s="42" t="s">
        <v>1815</v>
      </c>
      <c r="C1596" s="42" t="s">
        <v>7336</v>
      </c>
      <c r="D1596" s="43" t="s">
        <v>228</v>
      </c>
      <c r="E1596" s="43" t="s">
        <v>1430</v>
      </c>
      <c r="F1596" s="42" t="s">
        <v>11469</v>
      </c>
      <c r="G1596" t="s">
        <v>13197</v>
      </c>
    </row>
    <row r="1597" spans="1:7" x14ac:dyDescent="0.3">
      <c r="A1597" s="42" t="s">
        <v>1787</v>
      </c>
      <c r="B1597" s="42" t="s">
        <v>1816</v>
      </c>
      <c r="C1597" s="42" t="s">
        <v>7337</v>
      </c>
      <c r="D1597" s="43" t="s">
        <v>228</v>
      </c>
      <c r="E1597" s="43" t="s">
        <v>1430</v>
      </c>
      <c r="F1597" s="42" t="s">
        <v>11469</v>
      </c>
      <c r="G1597" t="s">
        <v>13197</v>
      </c>
    </row>
    <row r="1598" spans="1:7" x14ac:dyDescent="0.3">
      <c r="A1598" s="42" t="s">
        <v>1787</v>
      </c>
      <c r="B1598" s="42" t="s">
        <v>1817</v>
      </c>
      <c r="C1598" s="42" t="s">
        <v>7338</v>
      </c>
      <c r="D1598" s="43" t="s">
        <v>228</v>
      </c>
      <c r="E1598" s="43" t="s">
        <v>1430</v>
      </c>
      <c r="F1598" s="42" t="s">
        <v>11469</v>
      </c>
      <c r="G1598" t="s">
        <v>13197</v>
      </c>
    </row>
    <row r="1599" spans="1:7" x14ac:dyDescent="0.3">
      <c r="A1599" s="42" t="s">
        <v>1787</v>
      </c>
      <c r="B1599" s="42" t="s">
        <v>1818</v>
      </c>
      <c r="C1599" s="42" t="s">
        <v>7339</v>
      </c>
      <c r="D1599" s="43" t="s">
        <v>228</v>
      </c>
      <c r="E1599" s="43" t="s">
        <v>1430</v>
      </c>
      <c r="F1599" s="42" t="s">
        <v>11469</v>
      </c>
      <c r="G1599" t="s">
        <v>13197</v>
      </c>
    </row>
    <row r="1600" spans="1:7" x14ac:dyDescent="0.3">
      <c r="A1600" s="42" t="s">
        <v>1787</v>
      </c>
      <c r="B1600" s="42" t="s">
        <v>1819</v>
      </c>
      <c r="C1600" s="42" t="s">
        <v>7340</v>
      </c>
      <c r="D1600" s="43" t="s">
        <v>228</v>
      </c>
      <c r="E1600" s="43" t="s">
        <v>1430</v>
      </c>
      <c r="F1600" s="42" t="s">
        <v>11469</v>
      </c>
      <c r="G1600" t="s">
        <v>13197</v>
      </c>
    </row>
    <row r="1601" spans="1:7" x14ac:dyDescent="0.3">
      <c r="A1601" s="42" t="s">
        <v>1787</v>
      </c>
      <c r="B1601" s="42" t="s">
        <v>1820</v>
      </c>
      <c r="C1601" s="42" t="s">
        <v>7341</v>
      </c>
      <c r="D1601" s="43" t="s">
        <v>228</v>
      </c>
      <c r="E1601" s="43" t="s">
        <v>1430</v>
      </c>
      <c r="F1601" s="42" t="s">
        <v>11469</v>
      </c>
      <c r="G1601" t="s">
        <v>13197</v>
      </c>
    </row>
    <row r="1602" spans="1:7" x14ac:dyDescent="0.3">
      <c r="A1602" s="42" t="s">
        <v>1787</v>
      </c>
      <c r="B1602" s="42" t="s">
        <v>1821</v>
      </c>
      <c r="C1602" s="42" t="s">
        <v>7342</v>
      </c>
      <c r="D1602" s="43" t="s">
        <v>228</v>
      </c>
      <c r="E1602" s="43" t="s">
        <v>1430</v>
      </c>
      <c r="F1602" s="42" t="s">
        <v>11469</v>
      </c>
      <c r="G1602" t="s">
        <v>13197</v>
      </c>
    </row>
    <row r="1603" spans="1:7" x14ac:dyDescent="0.3">
      <c r="A1603" s="42" t="s">
        <v>1787</v>
      </c>
      <c r="B1603" s="42" t="s">
        <v>1822</v>
      </c>
      <c r="C1603" s="42" t="s">
        <v>7343</v>
      </c>
      <c r="D1603" s="43" t="s">
        <v>228</v>
      </c>
      <c r="E1603" s="43" t="s">
        <v>1430</v>
      </c>
      <c r="F1603" s="42" t="s">
        <v>11469</v>
      </c>
      <c r="G1603" t="s">
        <v>13197</v>
      </c>
    </row>
    <row r="1604" spans="1:7" x14ac:dyDescent="0.3">
      <c r="A1604" s="42" t="s">
        <v>1787</v>
      </c>
      <c r="B1604" s="42" t="s">
        <v>1823</v>
      </c>
      <c r="C1604" s="42" t="s">
        <v>7344</v>
      </c>
      <c r="D1604" s="43" t="s">
        <v>228</v>
      </c>
      <c r="E1604" s="43" t="s">
        <v>1430</v>
      </c>
      <c r="F1604" s="42" t="s">
        <v>11469</v>
      </c>
      <c r="G1604" t="s">
        <v>13197</v>
      </c>
    </row>
    <row r="1605" spans="1:7" x14ac:dyDescent="0.3">
      <c r="A1605" s="42" t="s">
        <v>1787</v>
      </c>
      <c r="B1605" s="42" t="s">
        <v>1824</v>
      </c>
      <c r="C1605" s="42" t="s">
        <v>7345</v>
      </c>
      <c r="D1605" s="43" t="s">
        <v>228</v>
      </c>
      <c r="E1605" s="43" t="s">
        <v>1430</v>
      </c>
      <c r="F1605" s="42" t="s">
        <v>137</v>
      </c>
      <c r="G1605" t="s">
        <v>13199</v>
      </c>
    </row>
    <row r="1606" spans="1:7" x14ac:dyDescent="0.3">
      <c r="A1606" s="42" t="s">
        <v>1787</v>
      </c>
      <c r="B1606" s="42" t="s">
        <v>1825</v>
      </c>
      <c r="C1606" s="42" t="s">
        <v>7346</v>
      </c>
      <c r="D1606" s="43" t="s">
        <v>228</v>
      </c>
      <c r="E1606" s="43" t="s">
        <v>1430</v>
      </c>
      <c r="F1606" s="42" t="s">
        <v>11469</v>
      </c>
      <c r="G1606" t="s">
        <v>13197</v>
      </c>
    </row>
    <row r="1607" spans="1:7" x14ac:dyDescent="0.3">
      <c r="A1607" s="42" t="s">
        <v>1787</v>
      </c>
      <c r="B1607" s="42" t="s">
        <v>1826</v>
      </c>
      <c r="C1607" s="42" t="s">
        <v>7347</v>
      </c>
      <c r="D1607" s="43" t="s">
        <v>228</v>
      </c>
      <c r="E1607" s="43" t="s">
        <v>1430</v>
      </c>
      <c r="F1607" s="42" t="s">
        <v>11469</v>
      </c>
      <c r="G1607" t="s">
        <v>13197</v>
      </c>
    </row>
    <row r="1608" spans="1:7" x14ac:dyDescent="0.3">
      <c r="A1608" s="42" t="s">
        <v>1787</v>
      </c>
      <c r="B1608" s="42" t="s">
        <v>1827</v>
      </c>
      <c r="C1608" s="42" t="s">
        <v>7348</v>
      </c>
      <c r="D1608" s="43" t="s">
        <v>228</v>
      </c>
      <c r="E1608" s="43" t="s">
        <v>1430</v>
      </c>
      <c r="F1608" s="42" t="s">
        <v>11469</v>
      </c>
      <c r="G1608" t="s">
        <v>13197</v>
      </c>
    </row>
    <row r="1609" spans="1:7" x14ac:dyDescent="0.3">
      <c r="A1609" s="42" t="s">
        <v>1787</v>
      </c>
      <c r="B1609" s="42" t="s">
        <v>1828</v>
      </c>
      <c r="C1609" s="42" t="s">
        <v>7349</v>
      </c>
      <c r="D1609" s="43" t="s">
        <v>228</v>
      </c>
      <c r="E1609" s="43" t="s">
        <v>1430</v>
      </c>
      <c r="F1609" s="42" t="s">
        <v>11469</v>
      </c>
      <c r="G1609" t="s">
        <v>13197</v>
      </c>
    </row>
    <row r="1610" spans="1:7" x14ac:dyDescent="0.3">
      <c r="A1610" s="42" t="s">
        <v>1787</v>
      </c>
      <c r="B1610" s="42" t="s">
        <v>1829</v>
      </c>
      <c r="C1610" s="42" t="s">
        <v>7350</v>
      </c>
      <c r="D1610" s="43" t="s">
        <v>228</v>
      </c>
      <c r="E1610" s="43" t="s">
        <v>1430</v>
      </c>
      <c r="F1610" s="42" t="s">
        <v>137</v>
      </c>
      <c r="G1610" t="s">
        <v>13197</v>
      </c>
    </row>
    <row r="1611" spans="1:7" x14ac:dyDescent="0.3">
      <c r="A1611" s="42" t="s">
        <v>1787</v>
      </c>
      <c r="B1611" s="42" t="s">
        <v>1830</v>
      </c>
      <c r="C1611" s="42" t="s">
        <v>7351</v>
      </c>
      <c r="D1611" s="43" t="s">
        <v>228</v>
      </c>
      <c r="E1611" s="43" t="s">
        <v>1430</v>
      </c>
      <c r="F1611" s="42" t="s">
        <v>11469</v>
      </c>
      <c r="G1611" t="s">
        <v>13197</v>
      </c>
    </row>
    <row r="1612" spans="1:7" x14ac:dyDescent="0.3">
      <c r="A1612" s="42" t="s">
        <v>1787</v>
      </c>
      <c r="B1612" s="42" t="s">
        <v>1831</v>
      </c>
      <c r="C1612" s="42" t="s">
        <v>7352</v>
      </c>
      <c r="D1612" s="43" t="s">
        <v>228</v>
      </c>
      <c r="E1612" s="43" t="s">
        <v>1430</v>
      </c>
      <c r="F1612" s="42" t="s">
        <v>11469</v>
      </c>
      <c r="G1612" t="s">
        <v>13197</v>
      </c>
    </row>
    <row r="1613" spans="1:7" x14ac:dyDescent="0.3">
      <c r="A1613" s="42" t="s">
        <v>1787</v>
      </c>
      <c r="B1613" s="42" t="s">
        <v>1832</v>
      </c>
      <c r="C1613" s="42" t="s">
        <v>7353</v>
      </c>
      <c r="D1613" s="43" t="s">
        <v>228</v>
      </c>
      <c r="E1613" s="43" t="s">
        <v>1430</v>
      </c>
      <c r="F1613" s="42" t="s">
        <v>11469</v>
      </c>
      <c r="G1613" t="s">
        <v>13197</v>
      </c>
    </row>
    <row r="1614" spans="1:7" x14ac:dyDescent="0.3">
      <c r="A1614" s="42" t="s">
        <v>1787</v>
      </c>
      <c r="B1614" s="42" t="s">
        <v>1833</v>
      </c>
      <c r="C1614" s="42" t="s">
        <v>7354</v>
      </c>
      <c r="D1614" s="43" t="s">
        <v>228</v>
      </c>
      <c r="E1614" s="43" t="s">
        <v>1430</v>
      </c>
      <c r="F1614" s="42" t="s">
        <v>11469</v>
      </c>
      <c r="G1614" t="s">
        <v>13197</v>
      </c>
    </row>
    <row r="1615" spans="1:7" x14ac:dyDescent="0.3">
      <c r="A1615" s="42" t="s">
        <v>1787</v>
      </c>
      <c r="B1615" s="42" t="s">
        <v>1834</v>
      </c>
      <c r="C1615" s="42" t="s">
        <v>7355</v>
      </c>
      <c r="D1615" s="43" t="s">
        <v>228</v>
      </c>
      <c r="E1615" s="43" t="s">
        <v>1430</v>
      </c>
      <c r="F1615" s="42" t="s">
        <v>11469</v>
      </c>
      <c r="G1615" t="s">
        <v>13197</v>
      </c>
    </row>
    <row r="1616" spans="1:7" x14ac:dyDescent="0.3">
      <c r="A1616" s="42" t="s">
        <v>1787</v>
      </c>
      <c r="B1616" s="42" t="s">
        <v>1835</v>
      </c>
      <c r="C1616" s="42" t="s">
        <v>7356</v>
      </c>
      <c r="D1616" s="43" t="s">
        <v>228</v>
      </c>
      <c r="E1616" s="43" t="s">
        <v>1430</v>
      </c>
      <c r="F1616" s="42" t="s">
        <v>11469</v>
      </c>
      <c r="G1616" t="s">
        <v>13197</v>
      </c>
    </row>
    <row r="1617" spans="1:7" x14ac:dyDescent="0.3">
      <c r="A1617" s="42" t="s">
        <v>1787</v>
      </c>
      <c r="B1617" s="42" t="s">
        <v>1836</v>
      </c>
      <c r="C1617" s="42" t="s">
        <v>7357</v>
      </c>
      <c r="D1617" s="43" t="s">
        <v>228</v>
      </c>
      <c r="E1617" s="43" t="s">
        <v>1430</v>
      </c>
      <c r="F1617" s="42" t="s">
        <v>11469</v>
      </c>
      <c r="G1617" t="s">
        <v>13197</v>
      </c>
    </row>
    <row r="1618" spans="1:7" x14ac:dyDescent="0.3">
      <c r="A1618" s="42" t="s">
        <v>1787</v>
      </c>
      <c r="B1618" s="42" t="s">
        <v>1837</v>
      </c>
      <c r="C1618" s="42" t="s">
        <v>7358</v>
      </c>
      <c r="D1618" s="43" t="s">
        <v>228</v>
      </c>
      <c r="E1618" s="43" t="s">
        <v>1430</v>
      </c>
      <c r="F1618" s="42" t="s">
        <v>11469</v>
      </c>
      <c r="G1618" t="s">
        <v>13197</v>
      </c>
    </row>
    <row r="1619" spans="1:7" x14ac:dyDescent="0.3">
      <c r="A1619" s="42" t="s">
        <v>1787</v>
      </c>
      <c r="B1619" s="42" t="s">
        <v>1838</v>
      </c>
      <c r="C1619" s="42" t="s">
        <v>7359</v>
      </c>
      <c r="D1619" s="43" t="s">
        <v>228</v>
      </c>
      <c r="E1619" s="43" t="s">
        <v>1430</v>
      </c>
      <c r="F1619" s="42" t="s">
        <v>11469</v>
      </c>
      <c r="G1619" t="s">
        <v>13200</v>
      </c>
    </row>
    <row r="1620" spans="1:7" x14ac:dyDescent="0.3">
      <c r="A1620" s="42" t="s">
        <v>1787</v>
      </c>
      <c r="B1620" s="42" t="s">
        <v>1839</v>
      </c>
      <c r="C1620" s="42" t="s">
        <v>7360</v>
      </c>
      <c r="D1620" s="43" t="s">
        <v>228</v>
      </c>
      <c r="E1620" s="43" t="s">
        <v>1430</v>
      </c>
      <c r="F1620" s="42" t="s">
        <v>11469</v>
      </c>
      <c r="G1620" t="s">
        <v>13197</v>
      </c>
    </row>
    <row r="1621" spans="1:7" x14ac:dyDescent="0.3">
      <c r="A1621" s="42" t="s">
        <v>1787</v>
      </c>
      <c r="B1621" s="42" t="s">
        <v>1840</v>
      </c>
      <c r="C1621" s="42" t="s">
        <v>7361</v>
      </c>
      <c r="D1621" s="43" t="s">
        <v>228</v>
      </c>
      <c r="E1621" s="43" t="s">
        <v>1430</v>
      </c>
      <c r="F1621" s="42" t="s">
        <v>11469</v>
      </c>
      <c r="G1621" t="s">
        <v>13197</v>
      </c>
    </row>
    <row r="1622" spans="1:7" x14ac:dyDescent="0.3">
      <c r="A1622" s="42" t="s">
        <v>1787</v>
      </c>
      <c r="B1622" s="42" t="s">
        <v>1841</v>
      </c>
      <c r="C1622" s="42" t="s">
        <v>7362</v>
      </c>
      <c r="D1622" s="43" t="s">
        <v>228</v>
      </c>
      <c r="E1622" s="43" t="s">
        <v>1430</v>
      </c>
      <c r="F1622" s="42" t="s">
        <v>11469</v>
      </c>
      <c r="G1622" t="s">
        <v>13197</v>
      </c>
    </row>
    <row r="1623" spans="1:7" x14ac:dyDescent="0.3">
      <c r="A1623" s="42" t="s">
        <v>1787</v>
      </c>
      <c r="B1623" s="42" t="s">
        <v>1842</v>
      </c>
      <c r="C1623" s="42" t="s">
        <v>7363</v>
      </c>
      <c r="D1623" s="43" t="s">
        <v>228</v>
      </c>
      <c r="E1623" s="43" t="s">
        <v>1430</v>
      </c>
      <c r="F1623" s="42" t="s">
        <v>11469</v>
      </c>
      <c r="G1623" t="s">
        <v>13197</v>
      </c>
    </row>
    <row r="1624" spans="1:7" x14ac:dyDescent="0.3">
      <c r="A1624" s="42" t="s">
        <v>1787</v>
      </c>
      <c r="B1624" s="42" t="s">
        <v>1843</v>
      </c>
      <c r="C1624" s="42" t="s">
        <v>7364</v>
      </c>
      <c r="D1624" s="43" t="s">
        <v>228</v>
      </c>
      <c r="E1624" s="43" t="s">
        <v>1430</v>
      </c>
      <c r="F1624" s="42" t="s">
        <v>11469</v>
      </c>
      <c r="G1624" t="s">
        <v>13197</v>
      </c>
    </row>
    <row r="1625" spans="1:7" x14ac:dyDescent="0.3">
      <c r="A1625" s="42" t="s">
        <v>1787</v>
      </c>
      <c r="B1625" s="42" t="s">
        <v>1844</v>
      </c>
      <c r="C1625" s="42" t="s">
        <v>7365</v>
      </c>
      <c r="D1625" s="43" t="s">
        <v>228</v>
      </c>
      <c r="E1625" s="43" t="s">
        <v>1430</v>
      </c>
      <c r="F1625" s="42" t="s">
        <v>192</v>
      </c>
      <c r="G1625" t="s">
        <v>13196</v>
      </c>
    </row>
    <row r="1626" spans="1:7" x14ac:dyDescent="0.3">
      <c r="A1626" s="42" t="s">
        <v>1787</v>
      </c>
      <c r="B1626" s="42" t="s">
        <v>1845</v>
      </c>
      <c r="C1626" s="42" t="s">
        <v>7366</v>
      </c>
      <c r="D1626" s="43" t="s">
        <v>228</v>
      </c>
      <c r="E1626" s="43" t="s">
        <v>1430</v>
      </c>
      <c r="F1626" s="42" t="s">
        <v>11469</v>
      </c>
      <c r="G1626" t="s">
        <v>13200</v>
      </c>
    </row>
    <row r="1627" spans="1:7" x14ac:dyDescent="0.3">
      <c r="A1627" s="42" t="s">
        <v>1787</v>
      </c>
      <c r="B1627" s="42" t="s">
        <v>1846</v>
      </c>
      <c r="C1627" s="42" t="s">
        <v>7367</v>
      </c>
      <c r="D1627" s="43" t="s">
        <v>228</v>
      </c>
      <c r="E1627" s="43" t="s">
        <v>1430</v>
      </c>
      <c r="F1627" s="42" t="s">
        <v>11469</v>
      </c>
      <c r="G1627" t="s">
        <v>13197</v>
      </c>
    </row>
    <row r="1628" spans="1:7" x14ac:dyDescent="0.3">
      <c r="A1628" s="42" t="s">
        <v>1787</v>
      </c>
      <c r="B1628" s="42" t="s">
        <v>1847</v>
      </c>
      <c r="C1628" s="42" t="s">
        <v>7368</v>
      </c>
      <c r="D1628" s="43" t="s">
        <v>228</v>
      </c>
      <c r="E1628" s="43" t="s">
        <v>1430</v>
      </c>
      <c r="F1628" s="42" t="s">
        <v>11469</v>
      </c>
      <c r="G1628" t="s">
        <v>13197</v>
      </c>
    </row>
    <row r="1629" spans="1:7" x14ac:dyDescent="0.3">
      <c r="A1629" s="42" t="s">
        <v>1787</v>
      </c>
      <c r="B1629" s="42" t="s">
        <v>1848</v>
      </c>
      <c r="C1629" s="42" t="s">
        <v>7369</v>
      </c>
      <c r="D1629" s="43" t="s">
        <v>228</v>
      </c>
      <c r="E1629" s="43" t="s">
        <v>1430</v>
      </c>
      <c r="F1629" s="42" t="s">
        <v>11469</v>
      </c>
      <c r="G1629" t="s">
        <v>13197</v>
      </c>
    </row>
    <row r="1630" spans="1:7" x14ac:dyDescent="0.3">
      <c r="A1630" s="42" t="s">
        <v>1787</v>
      </c>
      <c r="B1630" s="42" t="s">
        <v>1849</v>
      </c>
      <c r="C1630" s="42" t="s">
        <v>7370</v>
      </c>
      <c r="D1630" s="43" t="s">
        <v>228</v>
      </c>
      <c r="E1630" s="43" t="s">
        <v>1430</v>
      </c>
      <c r="F1630" s="42" t="s">
        <v>11469</v>
      </c>
      <c r="G1630" t="s">
        <v>13197</v>
      </c>
    </row>
    <row r="1631" spans="1:7" x14ac:dyDescent="0.3">
      <c r="A1631" s="42" t="s">
        <v>1787</v>
      </c>
      <c r="B1631" s="42" t="s">
        <v>1850</v>
      </c>
      <c r="C1631" s="42" t="s">
        <v>7371</v>
      </c>
      <c r="D1631" s="43" t="s">
        <v>228</v>
      </c>
      <c r="E1631" s="43" t="s">
        <v>1430</v>
      </c>
      <c r="F1631" s="42" t="s">
        <v>11469</v>
      </c>
      <c r="G1631" t="s">
        <v>13197</v>
      </c>
    </row>
    <row r="1632" spans="1:7" x14ac:dyDescent="0.3">
      <c r="A1632" s="42" t="s">
        <v>1787</v>
      </c>
      <c r="B1632" s="42" t="s">
        <v>1851</v>
      </c>
      <c r="C1632" s="42" t="s">
        <v>7372</v>
      </c>
      <c r="D1632" s="43" t="s">
        <v>228</v>
      </c>
      <c r="E1632" s="43" t="s">
        <v>1430</v>
      </c>
      <c r="F1632" s="42" t="s">
        <v>11469</v>
      </c>
      <c r="G1632" t="s">
        <v>13197</v>
      </c>
    </row>
    <row r="1633" spans="1:7" x14ac:dyDescent="0.3">
      <c r="A1633" s="42" t="s">
        <v>1787</v>
      </c>
      <c r="B1633" s="42" t="s">
        <v>1852</v>
      </c>
      <c r="C1633" s="42" t="s">
        <v>7373</v>
      </c>
      <c r="D1633" s="43" t="s">
        <v>228</v>
      </c>
      <c r="E1633" s="43" t="s">
        <v>1430</v>
      </c>
      <c r="F1633" s="42" t="s">
        <v>192</v>
      </c>
      <c r="G1633" t="s">
        <v>13196</v>
      </c>
    </row>
    <row r="1634" spans="1:7" x14ac:dyDescent="0.3">
      <c r="A1634" s="42" t="s">
        <v>1787</v>
      </c>
      <c r="B1634" s="42" t="s">
        <v>1853</v>
      </c>
      <c r="C1634" s="42" t="s">
        <v>7374</v>
      </c>
      <c r="D1634" s="43" t="s">
        <v>228</v>
      </c>
      <c r="E1634" s="43" t="s">
        <v>1430</v>
      </c>
      <c r="F1634" s="42" t="s">
        <v>11469</v>
      </c>
      <c r="G1634" t="s">
        <v>13197</v>
      </c>
    </row>
    <row r="1635" spans="1:7" x14ac:dyDescent="0.3">
      <c r="A1635" s="42" t="s">
        <v>1787</v>
      </c>
      <c r="B1635" s="42" t="s">
        <v>1854</v>
      </c>
      <c r="C1635" s="42" t="s">
        <v>7375</v>
      </c>
      <c r="D1635" s="43" t="s">
        <v>228</v>
      </c>
      <c r="E1635" s="43" t="s">
        <v>1430</v>
      </c>
      <c r="F1635" s="42" t="s">
        <v>11469</v>
      </c>
      <c r="G1635" t="s">
        <v>13197</v>
      </c>
    </row>
    <row r="1636" spans="1:7" x14ac:dyDescent="0.3">
      <c r="A1636" s="42" t="s">
        <v>1787</v>
      </c>
      <c r="B1636" s="42" t="s">
        <v>1855</v>
      </c>
      <c r="C1636" s="42" t="s">
        <v>7376</v>
      </c>
      <c r="D1636" s="43" t="s">
        <v>228</v>
      </c>
      <c r="E1636" s="43" t="s">
        <v>1430</v>
      </c>
      <c r="F1636" s="42" t="s">
        <v>11469</v>
      </c>
      <c r="G1636" t="s">
        <v>13197</v>
      </c>
    </row>
    <row r="1637" spans="1:7" x14ac:dyDescent="0.3">
      <c r="A1637" s="42" t="s">
        <v>1787</v>
      </c>
      <c r="B1637" s="42" t="s">
        <v>1856</v>
      </c>
      <c r="C1637" s="42" t="s">
        <v>7377</v>
      </c>
      <c r="D1637" s="43" t="s">
        <v>228</v>
      </c>
      <c r="E1637" s="43" t="s">
        <v>1430</v>
      </c>
      <c r="F1637" s="42" t="s">
        <v>11469</v>
      </c>
      <c r="G1637" t="s">
        <v>13197</v>
      </c>
    </row>
    <row r="1638" spans="1:7" x14ac:dyDescent="0.3">
      <c r="A1638" s="42" t="s">
        <v>1787</v>
      </c>
      <c r="B1638" s="42" t="s">
        <v>1857</v>
      </c>
      <c r="C1638" s="42" t="s">
        <v>7378</v>
      </c>
      <c r="D1638" s="43" t="s">
        <v>228</v>
      </c>
      <c r="E1638" s="43" t="s">
        <v>1430</v>
      </c>
      <c r="F1638" s="42" t="s">
        <v>11469</v>
      </c>
      <c r="G1638" t="s">
        <v>13198</v>
      </c>
    </row>
    <row r="1639" spans="1:7" x14ac:dyDescent="0.3">
      <c r="A1639" s="42" t="s">
        <v>1760</v>
      </c>
      <c r="B1639" s="42" t="s">
        <v>1858</v>
      </c>
      <c r="C1639" s="42" t="s">
        <v>7379</v>
      </c>
      <c r="D1639" s="43" t="s">
        <v>228</v>
      </c>
      <c r="E1639" s="43" t="s">
        <v>1430</v>
      </c>
      <c r="F1639" s="42" t="s">
        <v>11469</v>
      </c>
      <c r="G1639" t="s">
        <v>13197</v>
      </c>
    </row>
    <row r="1640" spans="1:7" x14ac:dyDescent="0.3">
      <c r="A1640" s="42" t="s">
        <v>1760</v>
      </c>
      <c r="B1640" s="42" t="s">
        <v>1859</v>
      </c>
      <c r="C1640" s="42" t="s">
        <v>7380</v>
      </c>
      <c r="D1640" s="43" t="s">
        <v>228</v>
      </c>
      <c r="E1640" s="43" t="s">
        <v>1430</v>
      </c>
      <c r="F1640" s="42" t="s">
        <v>11469</v>
      </c>
      <c r="G1640" t="s">
        <v>13197</v>
      </c>
    </row>
    <row r="1641" spans="1:7" x14ac:dyDescent="0.3">
      <c r="A1641" s="42" t="s">
        <v>1760</v>
      </c>
      <c r="B1641" s="42" t="s">
        <v>1860</v>
      </c>
      <c r="C1641" s="42" t="s">
        <v>7381</v>
      </c>
      <c r="D1641" s="43" t="s">
        <v>228</v>
      </c>
      <c r="E1641" s="43" t="s">
        <v>1430</v>
      </c>
      <c r="F1641" s="42" t="s">
        <v>11469</v>
      </c>
      <c r="G1641" t="s">
        <v>13197</v>
      </c>
    </row>
    <row r="1642" spans="1:7" x14ac:dyDescent="0.3">
      <c r="A1642" s="42" t="s">
        <v>1760</v>
      </c>
      <c r="B1642" s="42" t="s">
        <v>1861</v>
      </c>
      <c r="C1642" s="42" t="s">
        <v>7382</v>
      </c>
      <c r="D1642" s="43" t="s">
        <v>228</v>
      </c>
      <c r="E1642" s="43" t="s">
        <v>1430</v>
      </c>
      <c r="F1642" s="42" t="s">
        <v>11469</v>
      </c>
      <c r="G1642" t="s">
        <v>13197</v>
      </c>
    </row>
    <row r="1643" spans="1:7" x14ac:dyDescent="0.3">
      <c r="A1643" s="42" t="s">
        <v>1760</v>
      </c>
      <c r="B1643" s="42" t="s">
        <v>1862</v>
      </c>
      <c r="C1643" s="42" t="s">
        <v>7383</v>
      </c>
      <c r="D1643" s="43" t="s">
        <v>228</v>
      </c>
      <c r="E1643" s="43" t="s">
        <v>1430</v>
      </c>
      <c r="F1643" s="42" t="s">
        <v>11469</v>
      </c>
      <c r="G1643" t="s">
        <v>13197</v>
      </c>
    </row>
    <row r="1644" spans="1:7" x14ac:dyDescent="0.3">
      <c r="A1644" s="42" t="s">
        <v>1760</v>
      </c>
      <c r="B1644" s="42" t="s">
        <v>1863</v>
      </c>
      <c r="C1644" s="42" t="s">
        <v>7384</v>
      </c>
      <c r="D1644" s="43" t="s">
        <v>228</v>
      </c>
      <c r="E1644" s="43" t="s">
        <v>1430</v>
      </c>
      <c r="F1644" s="42" t="s">
        <v>11469</v>
      </c>
      <c r="G1644" t="s">
        <v>13197</v>
      </c>
    </row>
    <row r="1645" spans="1:7" x14ac:dyDescent="0.3">
      <c r="A1645" s="42" t="s">
        <v>1760</v>
      </c>
      <c r="B1645" s="42" t="s">
        <v>1864</v>
      </c>
      <c r="C1645" s="42" t="s">
        <v>7385</v>
      </c>
      <c r="D1645" s="43" t="s">
        <v>228</v>
      </c>
      <c r="E1645" s="43" t="s">
        <v>1430</v>
      </c>
      <c r="F1645" s="42" t="s">
        <v>11469</v>
      </c>
      <c r="G1645" t="s">
        <v>13197</v>
      </c>
    </row>
    <row r="1646" spans="1:7" x14ac:dyDescent="0.3">
      <c r="A1646" s="42" t="s">
        <v>1760</v>
      </c>
      <c r="B1646" s="42" t="s">
        <v>1865</v>
      </c>
      <c r="C1646" s="42" t="s">
        <v>7386</v>
      </c>
      <c r="D1646" s="43" t="s">
        <v>228</v>
      </c>
      <c r="E1646" s="43" t="s">
        <v>1430</v>
      </c>
      <c r="F1646" s="42" t="s">
        <v>11469</v>
      </c>
      <c r="G1646" t="s">
        <v>13197</v>
      </c>
    </row>
    <row r="1647" spans="1:7" x14ac:dyDescent="0.3">
      <c r="A1647" s="42" t="s">
        <v>1760</v>
      </c>
      <c r="B1647" s="42" t="s">
        <v>1866</v>
      </c>
      <c r="C1647" s="42" t="s">
        <v>7387</v>
      </c>
      <c r="D1647" s="43" t="s">
        <v>228</v>
      </c>
      <c r="E1647" s="43" t="s">
        <v>1430</v>
      </c>
      <c r="F1647" s="42" t="s">
        <v>11469</v>
      </c>
      <c r="G1647" t="s">
        <v>13197</v>
      </c>
    </row>
    <row r="1648" spans="1:7" x14ac:dyDescent="0.3">
      <c r="A1648" s="42" t="s">
        <v>1760</v>
      </c>
      <c r="B1648" s="42" t="s">
        <v>1867</v>
      </c>
      <c r="C1648" s="42" t="s">
        <v>7388</v>
      </c>
      <c r="D1648" s="43" t="s">
        <v>228</v>
      </c>
      <c r="E1648" s="43" t="s">
        <v>1430</v>
      </c>
      <c r="F1648" s="42" t="s">
        <v>11469</v>
      </c>
      <c r="G1648" t="s">
        <v>13197</v>
      </c>
    </row>
    <row r="1649" spans="1:7" x14ac:dyDescent="0.3">
      <c r="A1649" s="42" t="s">
        <v>1760</v>
      </c>
      <c r="B1649" s="42" t="s">
        <v>1868</v>
      </c>
      <c r="C1649" s="42" t="s">
        <v>7389</v>
      </c>
      <c r="D1649" s="43" t="s">
        <v>228</v>
      </c>
      <c r="E1649" s="43" t="s">
        <v>1430</v>
      </c>
      <c r="F1649" s="42" t="s">
        <v>11469</v>
      </c>
      <c r="G1649" t="s">
        <v>13197</v>
      </c>
    </row>
    <row r="1650" spans="1:7" x14ac:dyDescent="0.3">
      <c r="A1650" s="42" t="s">
        <v>1760</v>
      </c>
      <c r="B1650" s="42" t="s">
        <v>1869</v>
      </c>
      <c r="C1650" s="42" t="s">
        <v>7390</v>
      </c>
      <c r="D1650" s="43" t="s">
        <v>228</v>
      </c>
      <c r="E1650" s="43" t="s">
        <v>1430</v>
      </c>
      <c r="F1650" s="42" t="s">
        <v>11469</v>
      </c>
      <c r="G1650" t="s">
        <v>13197</v>
      </c>
    </row>
    <row r="1651" spans="1:7" x14ac:dyDescent="0.3">
      <c r="A1651" s="42" t="s">
        <v>1760</v>
      </c>
      <c r="B1651" s="42" t="s">
        <v>1870</v>
      </c>
      <c r="C1651" s="42" t="s">
        <v>7391</v>
      </c>
      <c r="D1651" s="43" t="s">
        <v>228</v>
      </c>
      <c r="E1651" s="43" t="s">
        <v>1430</v>
      </c>
      <c r="F1651" s="42" t="s">
        <v>11469</v>
      </c>
      <c r="G1651" t="s">
        <v>13197</v>
      </c>
    </row>
    <row r="1652" spans="1:7" x14ac:dyDescent="0.3">
      <c r="A1652" s="42" t="s">
        <v>1760</v>
      </c>
      <c r="B1652" s="42" t="s">
        <v>1871</v>
      </c>
      <c r="C1652" s="42" t="s">
        <v>7392</v>
      </c>
      <c r="D1652" s="43" t="s">
        <v>228</v>
      </c>
      <c r="E1652" s="43" t="s">
        <v>1430</v>
      </c>
      <c r="F1652" s="42" t="s">
        <v>11469</v>
      </c>
      <c r="G1652" t="s">
        <v>13197</v>
      </c>
    </row>
    <row r="1653" spans="1:7" x14ac:dyDescent="0.3">
      <c r="A1653" s="42" t="s">
        <v>1760</v>
      </c>
      <c r="B1653" s="42" t="s">
        <v>1872</v>
      </c>
      <c r="C1653" s="42" t="s">
        <v>7393</v>
      </c>
      <c r="D1653" s="43" t="s">
        <v>228</v>
      </c>
      <c r="E1653" s="43" t="s">
        <v>1430</v>
      </c>
      <c r="F1653" s="42" t="s">
        <v>11469</v>
      </c>
      <c r="G1653" t="s">
        <v>13197</v>
      </c>
    </row>
    <row r="1654" spans="1:7" x14ac:dyDescent="0.3">
      <c r="A1654" s="42" t="s">
        <v>1760</v>
      </c>
      <c r="B1654" s="42" t="s">
        <v>1873</v>
      </c>
      <c r="C1654" s="42" t="s">
        <v>7394</v>
      </c>
      <c r="D1654" s="43" t="s">
        <v>228</v>
      </c>
      <c r="E1654" s="43" t="s">
        <v>1430</v>
      </c>
      <c r="F1654" s="42" t="s">
        <v>11469</v>
      </c>
      <c r="G1654" t="s">
        <v>13197</v>
      </c>
    </row>
    <row r="1655" spans="1:7" x14ac:dyDescent="0.3">
      <c r="A1655" s="42" t="s">
        <v>1760</v>
      </c>
      <c r="B1655" s="42" t="s">
        <v>1874</v>
      </c>
      <c r="C1655" s="42" t="s">
        <v>7395</v>
      </c>
      <c r="D1655" s="43" t="s">
        <v>228</v>
      </c>
      <c r="E1655" s="43" t="s">
        <v>1430</v>
      </c>
      <c r="F1655" s="42" t="s">
        <v>11469</v>
      </c>
      <c r="G1655" t="s">
        <v>13197</v>
      </c>
    </row>
    <row r="1656" spans="1:7" x14ac:dyDescent="0.3">
      <c r="A1656" s="42" t="s">
        <v>1760</v>
      </c>
      <c r="B1656" s="42" t="s">
        <v>1875</v>
      </c>
      <c r="C1656" s="42" t="s">
        <v>7396</v>
      </c>
      <c r="D1656" s="43" t="s">
        <v>228</v>
      </c>
      <c r="E1656" s="43" t="s">
        <v>1430</v>
      </c>
      <c r="F1656" s="42" t="s">
        <v>11469</v>
      </c>
      <c r="G1656" t="s">
        <v>13197</v>
      </c>
    </row>
    <row r="1657" spans="1:7" x14ac:dyDescent="0.3">
      <c r="A1657" s="42" t="s">
        <v>1760</v>
      </c>
      <c r="B1657" s="42" t="s">
        <v>1876</v>
      </c>
      <c r="C1657" s="42" t="s">
        <v>7397</v>
      </c>
      <c r="D1657" s="43" t="s">
        <v>228</v>
      </c>
      <c r="E1657" s="43" t="s">
        <v>1430</v>
      </c>
      <c r="F1657" s="42" t="s">
        <v>11469</v>
      </c>
      <c r="G1657" t="s">
        <v>13197</v>
      </c>
    </row>
    <row r="1658" spans="1:7" x14ac:dyDescent="0.3">
      <c r="A1658" s="42" t="s">
        <v>1760</v>
      </c>
      <c r="B1658" s="42" t="s">
        <v>1877</v>
      </c>
      <c r="C1658" s="42" t="s">
        <v>7398</v>
      </c>
      <c r="D1658" s="43" t="s">
        <v>228</v>
      </c>
      <c r="E1658" s="43" t="s">
        <v>1430</v>
      </c>
      <c r="F1658" s="42" t="s">
        <v>11469</v>
      </c>
      <c r="G1658" t="s">
        <v>13197</v>
      </c>
    </row>
    <row r="1659" spans="1:7" x14ac:dyDescent="0.3">
      <c r="A1659" s="42" t="s">
        <v>1760</v>
      </c>
      <c r="B1659" s="42" t="s">
        <v>1878</v>
      </c>
      <c r="C1659" s="42" t="s">
        <v>7399</v>
      </c>
      <c r="D1659" s="43" t="s">
        <v>228</v>
      </c>
      <c r="E1659" s="43" t="s">
        <v>1430</v>
      </c>
      <c r="F1659" s="42" t="s">
        <v>11469</v>
      </c>
      <c r="G1659" t="s">
        <v>13197</v>
      </c>
    </row>
    <row r="1660" spans="1:7" x14ac:dyDescent="0.3">
      <c r="A1660" s="42" t="s">
        <v>1760</v>
      </c>
      <c r="B1660" s="42" t="s">
        <v>1879</v>
      </c>
      <c r="C1660" s="42" t="s">
        <v>7400</v>
      </c>
      <c r="D1660" s="43" t="s">
        <v>228</v>
      </c>
      <c r="E1660" s="43" t="s">
        <v>1430</v>
      </c>
      <c r="F1660" s="42" t="s">
        <v>11469</v>
      </c>
      <c r="G1660" t="s">
        <v>13197</v>
      </c>
    </row>
    <row r="1661" spans="1:7" x14ac:dyDescent="0.3">
      <c r="A1661" s="42" t="s">
        <v>1760</v>
      </c>
      <c r="B1661" s="42" t="s">
        <v>1880</v>
      </c>
      <c r="C1661" s="42" t="s">
        <v>7401</v>
      </c>
      <c r="D1661" s="43" t="s">
        <v>228</v>
      </c>
      <c r="E1661" s="43" t="s">
        <v>1430</v>
      </c>
      <c r="F1661" s="42" t="s">
        <v>11469</v>
      </c>
      <c r="G1661" t="s">
        <v>13197</v>
      </c>
    </row>
    <row r="1662" spans="1:7" x14ac:dyDescent="0.3">
      <c r="A1662" s="42" t="s">
        <v>1760</v>
      </c>
      <c r="B1662" s="42" t="s">
        <v>1881</v>
      </c>
      <c r="C1662" s="42" t="s">
        <v>7402</v>
      </c>
      <c r="D1662" s="43" t="s">
        <v>228</v>
      </c>
      <c r="E1662" s="43" t="s">
        <v>1430</v>
      </c>
      <c r="F1662" s="42" t="s">
        <v>11469</v>
      </c>
      <c r="G1662" t="s">
        <v>13197</v>
      </c>
    </row>
    <row r="1663" spans="1:7" x14ac:dyDescent="0.3">
      <c r="A1663" s="42" t="s">
        <v>1760</v>
      </c>
      <c r="B1663" s="42" t="s">
        <v>1882</v>
      </c>
      <c r="C1663" s="42" t="s">
        <v>7403</v>
      </c>
      <c r="D1663" s="43" t="s">
        <v>228</v>
      </c>
      <c r="E1663" s="43" t="s">
        <v>1430</v>
      </c>
      <c r="F1663" s="42" t="s">
        <v>11469</v>
      </c>
      <c r="G1663" t="s">
        <v>13197</v>
      </c>
    </row>
    <row r="1664" spans="1:7" x14ac:dyDescent="0.3">
      <c r="A1664" s="42" t="s">
        <v>1760</v>
      </c>
      <c r="B1664" s="42" t="s">
        <v>1883</v>
      </c>
      <c r="C1664" s="42" t="s">
        <v>7404</v>
      </c>
      <c r="D1664" s="43" t="s">
        <v>228</v>
      </c>
      <c r="E1664" s="43" t="s">
        <v>1430</v>
      </c>
      <c r="F1664" s="42" t="s">
        <v>11469</v>
      </c>
      <c r="G1664" t="s">
        <v>13197</v>
      </c>
    </row>
    <row r="1665" spans="1:7" x14ac:dyDescent="0.3">
      <c r="A1665" s="42" t="s">
        <v>1760</v>
      </c>
      <c r="B1665" s="42" t="s">
        <v>1884</v>
      </c>
      <c r="C1665" s="42" t="s">
        <v>7405</v>
      </c>
      <c r="D1665" s="43" t="s">
        <v>228</v>
      </c>
      <c r="E1665" s="43" t="s">
        <v>1430</v>
      </c>
      <c r="F1665" s="42" t="s">
        <v>11469</v>
      </c>
      <c r="G1665" t="s">
        <v>13197</v>
      </c>
    </row>
    <row r="1666" spans="1:7" x14ac:dyDescent="0.3">
      <c r="A1666" s="42" t="s">
        <v>1760</v>
      </c>
      <c r="B1666" s="42" t="s">
        <v>1885</v>
      </c>
      <c r="C1666" s="42" t="s">
        <v>7406</v>
      </c>
      <c r="D1666" s="43" t="s">
        <v>228</v>
      </c>
      <c r="E1666" s="43" t="s">
        <v>1430</v>
      </c>
      <c r="F1666" s="42" t="s">
        <v>11469</v>
      </c>
      <c r="G1666" t="s">
        <v>13197</v>
      </c>
    </row>
    <row r="1667" spans="1:7" x14ac:dyDescent="0.3">
      <c r="A1667" s="42" t="s">
        <v>1760</v>
      </c>
      <c r="B1667" s="42" t="s">
        <v>1886</v>
      </c>
      <c r="C1667" s="42" t="s">
        <v>7407</v>
      </c>
      <c r="D1667" s="43" t="s">
        <v>228</v>
      </c>
      <c r="E1667" s="43" t="s">
        <v>1430</v>
      </c>
      <c r="F1667" s="42" t="s">
        <v>11469</v>
      </c>
      <c r="G1667" t="s">
        <v>13197</v>
      </c>
    </row>
    <row r="1668" spans="1:7" x14ac:dyDescent="0.3">
      <c r="A1668" s="42" t="s">
        <v>1760</v>
      </c>
      <c r="B1668" s="42" t="s">
        <v>1887</v>
      </c>
      <c r="C1668" s="42" t="s">
        <v>7408</v>
      </c>
      <c r="D1668" s="43" t="s">
        <v>228</v>
      </c>
      <c r="E1668" s="43" t="s">
        <v>1430</v>
      </c>
      <c r="F1668" s="42" t="s">
        <v>11469</v>
      </c>
      <c r="G1668" t="s">
        <v>13197</v>
      </c>
    </row>
    <row r="1669" spans="1:7" x14ac:dyDescent="0.3">
      <c r="A1669" s="42" t="s">
        <v>1760</v>
      </c>
      <c r="B1669" s="42" t="s">
        <v>1888</v>
      </c>
      <c r="C1669" s="42" t="s">
        <v>7409</v>
      </c>
      <c r="D1669" s="43" t="s">
        <v>228</v>
      </c>
      <c r="E1669" s="43" t="s">
        <v>1430</v>
      </c>
      <c r="F1669" s="42" t="s">
        <v>11469</v>
      </c>
      <c r="G1669" t="s">
        <v>13197</v>
      </c>
    </row>
    <row r="1670" spans="1:7" x14ac:dyDescent="0.3">
      <c r="A1670" s="42" t="s">
        <v>1760</v>
      </c>
      <c r="B1670" s="42" t="s">
        <v>1889</v>
      </c>
      <c r="C1670" s="42" t="s">
        <v>7410</v>
      </c>
      <c r="D1670" s="43" t="s">
        <v>228</v>
      </c>
      <c r="E1670" s="43" t="s">
        <v>1430</v>
      </c>
      <c r="F1670" s="42" t="s">
        <v>11469</v>
      </c>
      <c r="G1670" t="s">
        <v>13197</v>
      </c>
    </row>
    <row r="1671" spans="1:7" x14ac:dyDescent="0.3">
      <c r="A1671" s="42" t="s">
        <v>1760</v>
      </c>
      <c r="B1671" s="42" t="s">
        <v>1890</v>
      </c>
      <c r="C1671" s="42" t="s">
        <v>7411</v>
      </c>
      <c r="D1671" s="43" t="s">
        <v>228</v>
      </c>
      <c r="E1671" s="43" t="s">
        <v>1430</v>
      </c>
      <c r="F1671" s="42" t="s">
        <v>11469</v>
      </c>
      <c r="G1671" t="s">
        <v>13197</v>
      </c>
    </row>
    <row r="1672" spans="1:7" x14ac:dyDescent="0.3">
      <c r="A1672" s="42" t="s">
        <v>1760</v>
      </c>
      <c r="B1672" s="42" t="s">
        <v>1891</v>
      </c>
      <c r="C1672" s="42" t="s">
        <v>7412</v>
      </c>
      <c r="D1672" s="43" t="s">
        <v>228</v>
      </c>
      <c r="E1672" s="43" t="s">
        <v>1430</v>
      </c>
      <c r="F1672" s="42" t="s">
        <v>11469</v>
      </c>
      <c r="G1672" t="s">
        <v>13197</v>
      </c>
    </row>
    <row r="1673" spans="1:7" x14ac:dyDescent="0.3">
      <c r="A1673" s="42" t="s">
        <v>1760</v>
      </c>
      <c r="B1673" s="42" t="s">
        <v>1892</v>
      </c>
      <c r="C1673" s="42" t="s">
        <v>7413</v>
      </c>
      <c r="D1673" s="43" t="s">
        <v>228</v>
      </c>
      <c r="E1673" s="43" t="s">
        <v>1430</v>
      </c>
      <c r="F1673" s="42" t="s">
        <v>11469</v>
      </c>
      <c r="G1673" t="s">
        <v>13197</v>
      </c>
    </row>
    <row r="1674" spans="1:7" x14ac:dyDescent="0.3">
      <c r="A1674" s="42" t="s">
        <v>1760</v>
      </c>
      <c r="B1674" s="42" t="s">
        <v>1893</v>
      </c>
      <c r="C1674" s="42" t="s">
        <v>7414</v>
      </c>
      <c r="D1674" s="43" t="s">
        <v>228</v>
      </c>
      <c r="E1674" s="43" t="s">
        <v>1430</v>
      </c>
      <c r="F1674" s="42" t="s">
        <v>11469</v>
      </c>
      <c r="G1674" t="s">
        <v>13197</v>
      </c>
    </row>
    <row r="1675" spans="1:7" x14ac:dyDescent="0.3">
      <c r="A1675" s="42" t="s">
        <v>1760</v>
      </c>
      <c r="B1675" s="42" t="s">
        <v>1894</v>
      </c>
      <c r="C1675" s="42" t="s">
        <v>7415</v>
      </c>
      <c r="D1675" s="43" t="s">
        <v>228</v>
      </c>
      <c r="E1675" s="43" t="s">
        <v>1430</v>
      </c>
      <c r="F1675" s="42" t="s">
        <v>11469</v>
      </c>
      <c r="G1675" t="s">
        <v>13197</v>
      </c>
    </row>
    <row r="1676" spans="1:7" x14ac:dyDescent="0.3">
      <c r="A1676" s="42" t="s">
        <v>1760</v>
      </c>
      <c r="B1676" s="42" t="s">
        <v>1895</v>
      </c>
      <c r="C1676" s="42" t="s">
        <v>7416</v>
      </c>
      <c r="D1676" s="43" t="s">
        <v>228</v>
      </c>
      <c r="E1676" s="43" t="s">
        <v>1430</v>
      </c>
      <c r="F1676" s="42" t="s">
        <v>11469</v>
      </c>
      <c r="G1676" t="s">
        <v>13197</v>
      </c>
    </row>
    <row r="1677" spans="1:7" x14ac:dyDescent="0.3">
      <c r="A1677" s="42" t="s">
        <v>1760</v>
      </c>
      <c r="B1677" s="42" t="s">
        <v>1896</v>
      </c>
      <c r="C1677" s="42" t="s">
        <v>7417</v>
      </c>
      <c r="D1677" s="43" t="s">
        <v>228</v>
      </c>
      <c r="E1677" s="43" t="s">
        <v>1430</v>
      </c>
      <c r="F1677" s="42" t="s">
        <v>11469</v>
      </c>
      <c r="G1677" t="s">
        <v>13197</v>
      </c>
    </row>
    <row r="1678" spans="1:7" x14ac:dyDescent="0.3">
      <c r="A1678" s="42" t="s">
        <v>1760</v>
      </c>
      <c r="B1678" s="42" t="s">
        <v>1897</v>
      </c>
      <c r="C1678" s="42" t="s">
        <v>7418</v>
      </c>
      <c r="D1678" s="43" t="s">
        <v>228</v>
      </c>
      <c r="E1678" s="43" t="s">
        <v>1430</v>
      </c>
      <c r="F1678" s="42" t="s">
        <v>11469</v>
      </c>
      <c r="G1678" t="s">
        <v>13197</v>
      </c>
    </row>
    <row r="1679" spans="1:7" x14ac:dyDescent="0.3">
      <c r="A1679" s="42" t="s">
        <v>1760</v>
      </c>
      <c r="B1679" s="42" t="s">
        <v>1898</v>
      </c>
      <c r="C1679" s="42" t="s">
        <v>7419</v>
      </c>
      <c r="D1679" s="43" t="s">
        <v>228</v>
      </c>
      <c r="E1679" s="43" t="s">
        <v>1430</v>
      </c>
      <c r="F1679" s="42" t="s">
        <v>192</v>
      </c>
      <c r="G1679" t="s">
        <v>13196</v>
      </c>
    </row>
    <row r="1680" spans="1:7" x14ac:dyDescent="0.3">
      <c r="A1680" s="42" t="s">
        <v>1760</v>
      </c>
      <c r="B1680" s="42" t="s">
        <v>1899</v>
      </c>
      <c r="C1680" s="42" t="s">
        <v>7420</v>
      </c>
      <c r="D1680" s="43" t="s">
        <v>228</v>
      </c>
      <c r="E1680" s="43" t="s">
        <v>1430</v>
      </c>
      <c r="F1680" s="42" t="s">
        <v>11469</v>
      </c>
      <c r="G1680" t="s">
        <v>13197</v>
      </c>
    </row>
    <row r="1681" spans="1:7" x14ac:dyDescent="0.3">
      <c r="A1681" s="42" t="s">
        <v>1760</v>
      </c>
      <c r="B1681" s="42" t="s">
        <v>1900</v>
      </c>
      <c r="C1681" s="42" t="s">
        <v>7421</v>
      </c>
      <c r="D1681" s="43" t="s">
        <v>228</v>
      </c>
      <c r="E1681" s="43" t="s">
        <v>1430</v>
      </c>
      <c r="F1681" s="42" t="s">
        <v>11469</v>
      </c>
      <c r="G1681" t="s">
        <v>13197</v>
      </c>
    </row>
    <row r="1682" spans="1:7" x14ac:dyDescent="0.3">
      <c r="A1682" s="42" t="s">
        <v>1760</v>
      </c>
      <c r="B1682" s="42" t="s">
        <v>1901</v>
      </c>
      <c r="C1682" s="42" t="s">
        <v>7422</v>
      </c>
      <c r="D1682" s="43" t="s">
        <v>228</v>
      </c>
      <c r="E1682" s="43" t="s">
        <v>1430</v>
      </c>
      <c r="F1682" s="42" t="s">
        <v>11469</v>
      </c>
      <c r="G1682" t="s">
        <v>13197</v>
      </c>
    </row>
    <row r="1683" spans="1:7" x14ac:dyDescent="0.3">
      <c r="A1683" s="42" t="s">
        <v>1760</v>
      </c>
      <c r="B1683" s="42" t="s">
        <v>1902</v>
      </c>
      <c r="C1683" s="42" t="s">
        <v>7423</v>
      </c>
      <c r="D1683" s="43" t="s">
        <v>228</v>
      </c>
      <c r="E1683" s="43" t="s">
        <v>1430</v>
      </c>
      <c r="F1683" s="42" t="s">
        <v>11469</v>
      </c>
      <c r="G1683" t="s">
        <v>13197</v>
      </c>
    </row>
    <row r="1684" spans="1:7" x14ac:dyDescent="0.3">
      <c r="A1684" s="42" t="s">
        <v>1760</v>
      </c>
      <c r="B1684" s="42" t="s">
        <v>1903</v>
      </c>
      <c r="C1684" s="42" t="s">
        <v>7424</v>
      </c>
      <c r="D1684" s="43" t="s">
        <v>228</v>
      </c>
      <c r="E1684" s="43" t="s">
        <v>1430</v>
      </c>
      <c r="F1684" s="42" t="s">
        <v>11469</v>
      </c>
      <c r="G1684" t="s">
        <v>13197</v>
      </c>
    </row>
    <row r="1685" spans="1:7" x14ac:dyDescent="0.3">
      <c r="A1685" s="42" t="s">
        <v>1760</v>
      </c>
      <c r="B1685" s="42" t="s">
        <v>1904</v>
      </c>
      <c r="C1685" s="42" t="s">
        <v>7425</v>
      </c>
      <c r="D1685" s="43" t="s">
        <v>228</v>
      </c>
      <c r="E1685" s="43" t="s">
        <v>1430</v>
      </c>
      <c r="F1685" s="42" t="s">
        <v>11469</v>
      </c>
      <c r="G1685" t="s">
        <v>13197</v>
      </c>
    </row>
    <row r="1686" spans="1:7" x14ac:dyDescent="0.3">
      <c r="A1686" s="42" t="s">
        <v>1760</v>
      </c>
      <c r="B1686" s="42" t="s">
        <v>1905</v>
      </c>
      <c r="C1686" s="42" t="s">
        <v>7426</v>
      </c>
      <c r="D1686" s="43" t="s">
        <v>228</v>
      </c>
      <c r="E1686" s="43" t="s">
        <v>1430</v>
      </c>
      <c r="F1686" s="42" t="s">
        <v>11469</v>
      </c>
      <c r="G1686" t="s">
        <v>13197</v>
      </c>
    </row>
    <row r="1687" spans="1:7" x14ac:dyDescent="0.3">
      <c r="A1687" s="42" t="s">
        <v>1760</v>
      </c>
      <c r="B1687" s="42" t="s">
        <v>1906</v>
      </c>
      <c r="C1687" s="42" t="s">
        <v>7427</v>
      </c>
      <c r="D1687" s="43" t="s">
        <v>228</v>
      </c>
      <c r="E1687" s="43" t="s">
        <v>1430</v>
      </c>
      <c r="F1687" s="42" t="s">
        <v>11469</v>
      </c>
      <c r="G1687" t="s">
        <v>13197</v>
      </c>
    </row>
    <row r="1688" spans="1:7" x14ac:dyDescent="0.3">
      <c r="A1688" s="42" t="s">
        <v>1760</v>
      </c>
      <c r="B1688" s="42" t="s">
        <v>1907</v>
      </c>
      <c r="C1688" s="42" t="s">
        <v>7428</v>
      </c>
      <c r="D1688" s="43" t="s">
        <v>228</v>
      </c>
      <c r="E1688" s="43" t="s">
        <v>1430</v>
      </c>
      <c r="F1688" s="42" t="s">
        <v>11469</v>
      </c>
      <c r="G1688" t="s">
        <v>13197</v>
      </c>
    </row>
    <row r="1689" spans="1:7" x14ac:dyDescent="0.3">
      <c r="A1689" s="42" t="s">
        <v>1760</v>
      </c>
      <c r="B1689" s="42" t="s">
        <v>1908</v>
      </c>
      <c r="C1689" s="42" t="s">
        <v>7429</v>
      </c>
      <c r="D1689" s="43" t="s">
        <v>228</v>
      </c>
      <c r="E1689" s="43" t="s">
        <v>1430</v>
      </c>
      <c r="F1689" s="42" t="s">
        <v>11469</v>
      </c>
      <c r="G1689" t="s">
        <v>13197</v>
      </c>
    </row>
    <row r="1690" spans="1:7" x14ac:dyDescent="0.3">
      <c r="A1690" s="42" t="s">
        <v>1760</v>
      </c>
      <c r="B1690" s="42" t="s">
        <v>1909</v>
      </c>
      <c r="C1690" s="42" t="s">
        <v>7430</v>
      </c>
      <c r="D1690" s="43" t="s">
        <v>228</v>
      </c>
      <c r="E1690" s="43" t="s">
        <v>1430</v>
      </c>
      <c r="F1690" s="42" t="s">
        <v>192</v>
      </c>
      <c r="G1690" t="s">
        <v>13196</v>
      </c>
    </row>
    <row r="1691" spans="1:7" x14ac:dyDescent="0.3">
      <c r="A1691" s="42" t="s">
        <v>1760</v>
      </c>
      <c r="B1691" s="42" t="s">
        <v>1910</v>
      </c>
      <c r="C1691" s="42" t="s">
        <v>7431</v>
      </c>
      <c r="D1691" s="43" t="s">
        <v>228</v>
      </c>
      <c r="E1691" s="43" t="s">
        <v>1430</v>
      </c>
      <c r="F1691" s="42" t="s">
        <v>11469</v>
      </c>
      <c r="G1691" t="s">
        <v>13197</v>
      </c>
    </row>
    <row r="1692" spans="1:7" x14ac:dyDescent="0.3">
      <c r="A1692" s="42" t="s">
        <v>1760</v>
      </c>
      <c r="B1692" s="42" t="s">
        <v>1911</v>
      </c>
      <c r="C1692" s="42" t="s">
        <v>7432</v>
      </c>
      <c r="D1692" s="43" t="s">
        <v>228</v>
      </c>
      <c r="E1692" s="43" t="s">
        <v>1430</v>
      </c>
      <c r="F1692" s="42" t="s">
        <v>11469</v>
      </c>
      <c r="G1692" t="s">
        <v>13197</v>
      </c>
    </row>
    <row r="1693" spans="1:7" x14ac:dyDescent="0.3">
      <c r="A1693" s="42" t="s">
        <v>1760</v>
      </c>
      <c r="B1693" s="42" t="s">
        <v>1912</v>
      </c>
      <c r="C1693" s="42" t="s">
        <v>7433</v>
      </c>
      <c r="D1693" s="43" t="s">
        <v>228</v>
      </c>
      <c r="E1693" s="43" t="s">
        <v>1430</v>
      </c>
      <c r="F1693" s="42" t="s">
        <v>11469</v>
      </c>
      <c r="G1693" t="s">
        <v>13197</v>
      </c>
    </row>
    <row r="1694" spans="1:7" x14ac:dyDescent="0.3">
      <c r="A1694" s="42" t="s">
        <v>1760</v>
      </c>
      <c r="B1694" s="42" t="s">
        <v>1913</v>
      </c>
      <c r="C1694" s="42" t="s">
        <v>7434</v>
      </c>
      <c r="D1694" s="43" t="s">
        <v>228</v>
      </c>
      <c r="E1694" s="43" t="s">
        <v>1430</v>
      </c>
      <c r="F1694" s="42" t="s">
        <v>11469</v>
      </c>
      <c r="G1694" t="s">
        <v>13197</v>
      </c>
    </row>
    <row r="1695" spans="1:7" x14ac:dyDescent="0.3">
      <c r="A1695" s="42" t="s">
        <v>1760</v>
      </c>
      <c r="B1695" s="42" t="s">
        <v>1914</v>
      </c>
      <c r="C1695" s="42" t="s">
        <v>7435</v>
      </c>
      <c r="D1695" s="43" t="s">
        <v>228</v>
      </c>
      <c r="E1695" s="43" t="s">
        <v>1430</v>
      </c>
      <c r="F1695" s="42" t="s">
        <v>192</v>
      </c>
      <c r="G1695" t="s">
        <v>13196</v>
      </c>
    </row>
    <row r="1696" spans="1:7" x14ac:dyDescent="0.3">
      <c r="A1696" s="42" t="s">
        <v>1760</v>
      </c>
      <c r="B1696" s="42" t="s">
        <v>1915</v>
      </c>
      <c r="C1696" s="42" t="s">
        <v>7436</v>
      </c>
      <c r="D1696" s="43" t="s">
        <v>228</v>
      </c>
      <c r="E1696" s="43" t="s">
        <v>1430</v>
      </c>
      <c r="F1696" s="42" t="s">
        <v>11469</v>
      </c>
      <c r="G1696" t="s">
        <v>13197</v>
      </c>
    </row>
    <row r="1697" spans="1:7" x14ac:dyDescent="0.3">
      <c r="A1697" s="42" t="s">
        <v>1760</v>
      </c>
      <c r="B1697" s="42" t="s">
        <v>1916</v>
      </c>
      <c r="C1697" s="42" t="s">
        <v>7437</v>
      </c>
      <c r="D1697" s="43" t="s">
        <v>228</v>
      </c>
      <c r="E1697" s="43" t="s">
        <v>1430</v>
      </c>
      <c r="F1697" s="42" t="s">
        <v>11469</v>
      </c>
      <c r="G1697" t="s">
        <v>13197</v>
      </c>
    </row>
    <row r="1698" spans="1:7" x14ac:dyDescent="0.3">
      <c r="A1698" s="42" t="s">
        <v>1760</v>
      </c>
      <c r="B1698" s="42" t="s">
        <v>1917</v>
      </c>
      <c r="C1698" s="42" t="s">
        <v>7438</v>
      </c>
      <c r="D1698" s="43" t="s">
        <v>228</v>
      </c>
      <c r="E1698" s="43" t="s">
        <v>1430</v>
      </c>
      <c r="F1698" s="42" t="s">
        <v>11469</v>
      </c>
      <c r="G1698" t="s">
        <v>13197</v>
      </c>
    </row>
    <row r="1699" spans="1:7" x14ac:dyDescent="0.3">
      <c r="A1699" s="42" t="s">
        <v>1760</v>
      </c>
      <c r="B1699" s="42" t="s">
        <v>1918</v>
      </c>
      <c r="C1699" s="42" t="s">
        <v>7439</v>
      </c>
      <c r="D1699" s="43" t="s">
        <v>228</v>
      </c>
      <c r="E1699" s="43" t="s">
        <v>1430</v>
      </c>
      <c r="F1699" s="42" t="s">
        <v>11469</v>
      </c>
      <c r="G1699" t="s">
        <v>13197</v>
      </c>
    </row>
    <row r="1700" spans="1:7" x14ac:dyDescent="0.3">
      <c r="A1700" s="42" t="s">
        <v>1760</v>
      </c>
      <c r="B1700" s="42" t="s">
        <v>1919</v>
      </c>
      <c r="C1700" s="42" t="s">
        <v>7440</v>
      </c>
      <c r="D1700" s="43" t="s">
        <v>228</v>
      </c>
      <c r="E1700" s="43" t="s">
        <v>1430</v>
      </c>
      <c r="F1700" s="42" t="s">
        <v>11469</v>
      </c>
      <c r="G1700" t="s">
        <v>13197</v>
      </c>
    </row>
    <row r="1701" spans="1:7" x14ac:dyDescent="0.3">
      <c r="A1701" s="42" t="s">
        <v>1760</v>
      </c>
      <c r="B1701" s="42" t="s">
        <v>1920</v>
      </c>
      <c r="C1701" s="42" t="s">
        <v>7441</v>
      </c>
      <c r="D1701" s="43" t="s">
        <v>228</v>
      </c>
      <c r="E1701" s="43" t="s">
        <v>1430</v>
      </c>
      <c r="F1701" s="42" t="s">
        <v>11469</v>
      </c>
      <c r="G1701" t="s">
        <v>13197</v>
      </c>
    </row>
    <row r="1702" spans="1:7" x14ac:dyDescent="0.3">
      <c r="A1702" s="42" t="s">
        <v>1760</v>
      </c>
      <c r="B1702" s="42" t="s">
        <v>1921</v>
      </c>
      <c r="C1702" s="42" t="s">
        <v>7442</v>
      </c>
      <c r="D1702" s="43" t="s">
        <v>228</v>
      </c>
      <c r="E1702" s="43" t="s">
        <v>1430</v>
      </c>
      <c r="F1702" s="42" t="s">
        <v>11469</v>
      </c>
      <c r="G1702" t="s">
        <v>13197</v>
      </c>
    </row>
    <row r="1703" spans="1:7" x14ac:dyDescent="0.3">
      <c r="A1703" s="42" t="s">
        <v>1760</v>
      </c>
      <c r="B1703" s="42" t="s">
        <v>1922</v>
      </c>
      <c r="C1703" s="42" t="s">
        <v>7443</v>
      </c>
      <c r="D1703" s="43" t="s">
        <v>228</v>
      </c>
      <c r="E1703" s="43" t="s">
        <v>1430</v>
      </c>
      <c r="F1703" s="42" t="s">
        <v>11469</v>
      </c>
      <c r="G1703" t="s">
        <v>13197</v>
      </c>
    </row>
    <row r="1704" spans="1:7" x14ac:dyDescent="0.3">
      <c r="A1704" s="42" t="s">
        <v>1760</v>
      </c>
      <c r="B1704" s="42" t="s">
        <v>1923</v>
      </c>
      <c r="C1704" s="42" t="s">
        <v>7444</v>
      </c>
      <c r="D1704" s="43" t="s">
        <v>228</v>
      </c>
      <c r="E1704" s="43" t="s">
        <v>1430</v>
      </c>
      <c r="F1704" s="42" t="s">
        <v>192</v>
      </c>
      <c r="G1704" t="s">
        <v>13196</v>
      </c>
    </row>
    <row r="1705" spans="1:7" x14ac:dyDescent="0.3">
      <c r="A1705" s="42" t="s">
        <v>1760</v>
      </c>
      <c r="B1705" s="42" t="s">
        <v>1924</v>
      </c>
      <c r="C1705" s="42" t="s">
        <v>7445</v>
      </c>
      <c r="D1705" s="43" t="s">
        <v>228</v>
      </c>
      <c r="E1705" s="43" t="s">
        <v>1430</v>
      </c>
      <c r="F1705" s="42" t="s">
        <v>11469</v>
      </c>
      <c r="G1705" t="s">
        <v>13197</v>
      </c>
    </row>
    <row r="1706" spans="1:7" x14ac:dyDescent="0.3">
      <c r="A1706" s="42" t="s">
        <v>1760</v>
      </c>
      <c r="B1706" s="42" t="s">
        <v>1925</v>
      </c>
      <c r="C1706" s="42" t="s">
        <v>7446</v>
      </c>
      <c r="D1706" s="43" t="s">
        <v>228</v>
      </c>
      <c r="E1706" s="43" t="s">
        <v>1430</v>
      </c>
      <c r="F1706" s="42" t="s">
        <v>11469</v>
      </c>
      <c r="G1706" t="s">
        <v>13197</v>
      </c>
    </row>
    <row r="1707" spans="1:7" x14ac:dyDescent="0.3">
      <c r="A1707" s="42" t="s">
        <v>1760</v>
      </c>
      <c r="B1707" s="42" t="s">
        <v>1926</v>
      </c>
      <c r="C1707" s="42" t="s">
        <v>7447</v>
      </c>
      <c r="D1707" s="43" t="s">
        <v>228</v>
      </c>
      <c r="E1707" s="43" t="s">
        <v>1430</v>
      </c>
      <c r="F1707" s="42" t="s">
        <v>11469</v>
      </c>
      <c r="G1707" t="s">
        <v>13197</v>
      </c>
    </row>
    <row r="1708" spans="1:7" x14ac:dyDescent="0.3">
      <c r="A1708" s="42" t="s">
        <v>1760</v>
      </c>
      <c r="B1708" s="42" t="s">
        <v>1927</v>
      </c>
      <c r="C1708" s="42" t="s">
        <v>7448</v>
      </c>
      <c r="D1708" s="43" t="s">
        <v>228</v>
      </c>
      <c r="E1708" s="43" t="s">
        <v>1430</v>
      </c>
      <c r="F1708" s="42" t="s">
        <v>11469</v>
      </c>
      <c r="G1708" t="s">
        <v>13197</v>
      </c>
    </row>
    <row r="1709" spans="1:7" x14ac:dyDescent="0.3">
      <c r="A1709" s="42" t="s">
        <v>1760</v>
      </c>
      <c r="B1709" s="42" t="s">
        <v>1928</v>
      </c>
      <c r="C1709" s="42" t="s">
        <v>7449</v>
      </c>
      <c r="D1709" s="43" t="s">
        <v>228</v>
      </c>
      <c r="E1709" s="43" t="s">
        <v>1430</v>
      </c>
      <c r="F1709" s="42" t="s">
        <v>11469</v>
      </c>
      <c r="G1709" t="s">
        <v>13197</v>
      </c>
    </row>
    <row r="1710" spans="1:7" x14ac:dyDescent="0.3">
      <c r="A1710" s="42" t="s">
        <v>1760</v>
      </c>
      <c r="B1710" s="42" t="s">
        <v>1929</v>
      </c>
      <c r="C1710" s="42" t="s">
        <v>7450</v>
      </c>
      <c r="D1710" s="43" t="s">
        <v>228</v>
      </c>
      <c r="E1710" s="43" t="s">
        <v>1430</v>
      </c>
      <c r="F1710" s="42" t="s">
        <v>11469</v>
      </c>
      <c r="G1710" t="s">
        <v>13197</v>
      </c>
    </row>
    <row r="1711" spans="1:7" x14ac:dyDescent="0.3">
      <c r="A1711" s="42" t="s">
        <v>1760</v>
      </c>
      <c r="B1711" s="42" t="s">
        <v>1930</v>
      </c>
      <c r="C1711" s="42" t="s">
        <v>7451</v>
      </c>
      <c r="D1711" s="43" t="s">
        <v>228</v>
      </c>
      <c r="E1711" s="43" t="s">
        <v>1430</v>
      </c>
      <c r="F1711" s="42" t="s">
        <v>11469</v>
      </c>
      <c r="G1711" t="s">
        <v>13198</v>
      </c>
    </row>
    <row r="1712" spans="1:7" x14ac:dyDescent="0.3">
      <c r="A1712" s="42" t="s">
        <v>1760</v>
      </c>
      <c r="B1712" s="42" t="s">
        <v>1931</v>
      </c>
      <c r="C1712" s="42" t="s">
        <v>7452</v>
      </c>
      <c r="D1712" s="43" t="s">
        <v>228</v>
      </c>
      <c r="E1712" s="43" t="s">
        <v>1430</v>
      </c>
      <c r="F1712" s="42" t="s">
        <v>11469</v>
      </c>
      <c r="G1712" t="s">
        <v>13197</v>
      </c>
    </row>
    <row r="1713" spans="1:7" x14ac:dyDescent="0.3">
      <c r="A1713" s="42" t="s">
        <v>1760</v>
      </c>
      <c r="B1713" s="42" t="s">
        <v>1932</v>
      </c>
      <c r="C1713" s="42" t="s">
        <v>7453</v>
      </c>
      <c r="D1713" s="43" t="s">
        <v>228</v>
      </c>
      <c r="E1713" s="43" t="s">
        <v>1430</v>
      </c>
      <c r="F1713" s="42" t="s">
        <v>11469</v>
      </c>
      <c r="G1713" t="s">
        <v>13197</v>
      </c>
    </row>
    <row r="1714" spans="1:7" x14ac:dyDescent="0.3">
      <c r="A1714" s="42" t="s">
        <v>1760</v>
      </c>
      <c r="B1714" s="42" t="s">
        <v>1933</v>
      </c>
      <c r="C1714" s="42" t="s">
        <v>7454</v>
      </c>
      <c r="D1714" s="43" t="s">
        <v>228</v>
      </c>
      <c r="E1714" s="43" t="s">
        <v>1430</v>
      </c>
      <c r="F1714" s="42" t="s">
        <v>11469</v>
      </c>
      <c r="G1714" t="s">
        <v>13197</v>
      </c>
    </row>
    <row r="1715" spans="1:7" x14ac:dyDescent="0.3">
      <c r="A1715" s="42" t="s">
        <v>1760</v>
      </c>
      <c r="B1715" s="42" t="s">
        <v>1934</v>
      </c>
      <c r="C1715" s="42" t="s">
        <v>7455</v>
      </c>
      <c r="D1715" s="43" t="s">
        <v>228</v>
      </c>
      <c r="E1715" s="43" t="s">
        <v>1430</v>
      </c>
      <c r="F1715" s="42" t="s">
        <v>11469</v>
      </c>
      <c r="G1715" t="s">
        <v>13197</v>
      </c>
    </row>
    <row r="1716" spans="1:7" x14ac:dyDescent="0.3">
      <c r="A1716" s="42" t="s">
        <v>1760</v>
      </c>
      <c r="B1716" s="42" t="s">
        <v>1935</v>
      </c>
      <c r="C1716" s="42" t="s">
        <v>7456</v>
      </c>
      <c r="D1716" s="43" t="s">
        <v>228</v>
      </c>
      <c r="E1716" s="43" t="s">
        <v>1430</v>
      </c>
      <c r="F1716" s="42" t="s">
        <v>11469</v>
      </c>
      <c r="G1716" t="s">
        <v>13197</v>
      </c>
    </row>
    <row r="1717" spans="1:7" x14ac:dyDescent="0.3">
      <c r="A1717" s="42" t="s">
        <v>1760</v>
      </c>
      <c r="B1717" s="42" t="s">
        <v>1936</v>
      </c>
      <c r="C1717" s="42" t="s">
        <v>7457</v>
      </c>
      <c r="D1717" s="43" t="s">
        <v>228</v>
      </c>
      <c r="E1717" s="43" t="s">
        <v>1430</v>
      </c>
      <c r="F1717" s="42" t="s">
        <v>11469</v>
      </c>
      <c r="G1717" t="s">
        <v>13197</v>
      </c>
    </row>
    <row r="1718" spans="1:7" x14ac:dyDescent="0.3">
      <c r="A1718" s="42" t="s">
        <v>1760</v>
      </c>
      <c r="B1718" s="42" t="s">
        <v>1937</v>
      </c>
      <c r="C1718" s="42" t="s">
        <v>7458</v>
      </c>
      <c r="D1718" s="43" t="s">
        <v>228</v>
      </c>
      <c r="E1718" s="43" t="s">
        <v>1430</v>
      </c>
      <c r="F1718" s="42" t="s">
        <v>11469</v>
      </c>
      <c r="G1718" t="s">
        <v>13197</v>
      </c>
    </row>
    <row r="1719" spans="1:7" x14ac:dyDescent="0.3">
      <c r="A1719" s="42" t="s">
        <v>1760</v>
      </c>
      <c r="B1719" s="42" t="s">
        <v>1938</v>
      </c>
      <c r="C1719" s="42" t="s">
        <v>7459</v>
      </c>
      <c r="D1719" s="43" t="s">
        <v>228</v>
      </c>
      <c r="E1719" s="43" t="s">
        <v>1430</v>
      </c>
      <c r="F1719" s="42" t="s">
        <v>11469</v>
      </c>
      <c r="G1719" t="s">
        <v>13197</v>
      </c>
    </row>
    <row r="1720" spans="1:7" x14ac:dyDescent="0.3">
      <c r="A1720" s="42" t="s">
        <v>1760</v>
      </c>
      <c r="B1720" s="42" t="s">
        <v>1939</v>
      </c>
      <c r="C1720" s="42" t="s">
        <v>7460</v>
      </c>
      <c r="D1720" s="43" t="s">
        <v>228</v>
      </c>
      <c r="E1720" s="43" t="s">
        <v>1430</v>
      </c>
      <c r="F1720" s="42" t="s">
        <v>11469</v>
      </c>
      <c r="G1720" t="s">
        <v>13197</v>
      </c>
    </row>
    <row r="1721" spans="1:7" x14ac:dyDescent="0.3">
      <c r="A1721" s="42" t="s">
        <v>1760</v>
      </c>
      <c r="B1721" s="42" t="s">
        <v>1940</v>
      </c>
      <c r="C1721" s="42" t="s">
        <v>7461</v>
      </c>
      <c r="D1721" s="43" t="s">
        <v>228</v>
      </c>
      <c r="E1721" s="43" t="s">
        <v>1430</v>
      </c>
      <c r="F1721" s="42" t="s">
        <v>11469</v>
      </c>
      <c r="G1721" t="s">
        <v>13197</v>
      </c>
    </row>
    <row r="1722" spans="1:7" x14ac:dyDescent="0.3">
      <c r="A1722" s="42" t="s">
        <v>1760</v>
      </c>
      <c r="B1722" s="42" t="s">
        <v>1941</v>
      </c>
      <c r="C1722" s="42" t="s">
        <v>7462</v>
      </c>
      <c r="D1722" s="43" t="s">
        <v>228</v>
      </c>
      <c r="E1722" s="43" t="s">
        <v>1430</v>
      </c>
      <c r="F1722" s="42" t="s">
        <v>11469</v>
      </c>
      <c r="G1722" t="s">
        <v>13197</v>
      </c>
    </row>
    <row r="1723" spans="1:7" x14ac:dyDescent="0.3">
      <c r="A1723" s="42" t="s">
        <v>1760</v>
      </c>
      <c r="B1723" s="42" t="s">
        <v>1942</v>
      </c>
      <c r="C1723" s="42" t="s">
        <v>7463</v>
      </c>
      <c r="D1723" s="43" t="s">
        <v>228</v>
      </c>
      <c r="E1723" s="43" t="s">
        <v>1430</v>
      </c>
      <c r="F1723" s="42" t="s">
        <v>11469</v>
      </c>
      <c r="G1723" t="s">
        <v>13197</v>
      </c>
    </row>
    <row r="1724" spans="1:7" x14ac:dyDescent="0.3">
      <c r="A1724" s="42" t="s">
        <v>1760</v>
      </c>
      <c r="B1724" s="42" t="s">
        <v>1943</v>
      </c>
      <c r="C1724" s="42" t="s">
        <v>7464</v>
      </c>
      <c r="D1724" s="43" t="s">
        <v>228</v>
      </c>
      <c r="E1724" s="43" t="s">
        <v>1430</v>
      </c>
      <c r="F1724" s="42" t="s">
        <v>11469</v>
      </c>
      <c r="G1724" t="s">
        <v>13197</v>
      </c>
    </row>
    <row r="1725" spans="1:7" x14ac:dyDescent="0.3">
      <c r="A1725" s="42" t="s">
        <v>1760</v>
      </c>
      <c r="B1725" s="42" t="s">
        <v>1944</v>
      </c>
      <c r="C1725" s="42" t="s">
        <v>7465</v>
      </c>
      <c r="D1725" s="43" t="s">
        <v>228</v>
      </c>
      <c r="E1725" s="43" t="s">
        <v>1430</v>
      </c>
      <c r="F1725" s="42" t="s">
        <v>11469</v>
      </c>
      <c r="G1725" t="s">
        <v>13197</v>
      </c>
    </row>
    <row r="1726" spans="1:7" x14ac:dyDescent="0.3">
      <c r="A1726" s="42" t="s">
        <v>1760</v>
      </c>
      <c r="B1726" s="42" t="s">
        <v>1945</v>
      </c>
      <c r="C1726" s="42" t="s">
        <v>7466</v>
      </c>
      <c r="D1726" s="43" t="s">
        <v>228</v>
      </c>
      <c r="E1726" s="43" t="s">
        <v>1430</v>
      </c>
      <c r="F1726" s="42" t="s">
        <v>192</v>
      </c>
      <c r="G1726" t="s">
        <v>13196</v>
      </c>
    </row>
    <row r="1727" spans="1:7" x14ac:dyDescent="0.3">
      <c r="A1727" s="42" t="s">
        <v>1760</v>
      </c>
      <c r="B1727" s="42" t="s">
        <v>1946</v>
      </c>
      <c r="C1727" s="42" t="s">
        <v>7467</v>
      </c>
      <c r="D1727" s="43" t="s">
        <v>228</v>
      </c>
      <c r="E1727" s="43" t="s">
        <v>1430</v>
      </c>
      <c r="F1727" s="42" t="s">
        <v>11469</v>
      </c>
      <c r="G1727" t="s">
        <v>13197</v>
      </c>
    </row>
    <row r="1728" spans="1:7" x14ac:dyDescent="0.3">
      <c r="A1728" s="42" t="s">
        <v>1760</v>
      </c>
      <c r="B1728" s="42" t="s">
        <v>1947</v>
      </c>
      <c r="C1728" s="42" t="s">
        <v>7468</v>
      </c>
      <c r="D1728" s="43" t="s">
        <v>228</v>
      </c>
      <c r="E1728" s="43" t="s">
        <v>1430</v>
      </c>
      <c r="F1728" s="42" t="s">
        <v>11469</v>
      </c>
      <c r="G1728" t="s">
        <v>13197</v>
      </c>
    </row>
    <row r="1729" spans="1:7" x14ac:dyDescent="0.3">
      <c r="A1729" s="42" t="s">
        <v>1760</v>
      </c>
      <c r="B1729" s="42" t="s">
        <v>1948</v>
      </c>
      <c r="C1729" s="42" t="s">
        <v>7469</v>
      </c>
      <c r="D1729" s="43" t="s">
        <v>228</v>
      </c>
      <c r="E1729" s="43" t="s">
        <v>1430</v>
      </c>
      <c r="F1729" s="42" t="s">
        <v>11469</v>
      </c>
      <c r="G1729" t="s">
        <v>13197</v>
      </c>
    </row>
    <row r="1730" spans="1:7" x14ac:dyDescent="0.3">
      <c r="A1730" s="42" t="s">
        <v>1760</v>
      </c>
      <c r="B1730" s="42" t="s">
        <v>1949</v>
      </c>
      <c r="C1730" s="42" t="s">
        <v>7470</v>
      </c>
      <c r="D1730" s="43" t="s">
        <v>228</v>
      </c>
      <c r="E1730" s="43" t="s">
        <v>1430</v>
      </c>
      <c r="F1730" s="42" t="s">
        <v>192</v>
      </c>
      <c r="G1730" t="s">
        <v>13196</v>
      </c>
    </row>
    <row r="1731" spans="1:7" x14ac:dyDescent="0.3">
      <c r="A1731" s="42" t="s">
        <v>1760</v>
      </c>
      <c r="B1731" s="42" t="s">
        <v>1950</v>
      </c>
      <c r="C1731" s="42" t="s">
        <v>7471</v>
      </c>
      <c r="D1731" s="43" t="s">
        <v>228</v>
      </c>
      <c r="E1731" s="43" t="s">
        <v>1430</v>
      </c>
      <c r="F1731" s="42" t="s">
        <v>11469</v>
      </c>
      <c r="G1731" t="s">
        <v>13197</v>
      </c>
    </row>
    <row r="1732" spans="1:7" x14ac:dyDescent="0.3">
      <c r="A1732" s="42" t="s">
        <v>1760</v>
      </c>
      <c r="B1732" s="42" t="s">
        <v>1062</v>
      </c>
      <c r="C1732" s="42" t="s">
        <v>7472</v>
      </c>
      <c r="D1732" s="43" t="s">
        <v>228</v>
      </c>
      <c r="E1732" s="43" t="s">
        <v>1430</v>
      </c>
      <c r="F1732" s="42" t="s">
        <v>192</v>
      </c>
      <c r="G1732" t="s">
        <v>13196</v>
      </c>
    </row>
    <row r="1733" spans="1:7" x14ac:dyDescent="0.3">
      <c r="A1733" s="42" t="s">
        <v>1760</v>
      </c>
      <c r="B1733" s="42" t="s">
        <v>1951</v>
      </c>
      <c r="C1733" s="42" t="s">
        <v>7473</v>
      </c>
      <c r="D1733" s="43" t="s">
        <v>228</v>
      </c>
      <c r="E1733" s="43" t="s">
        <v>1430</v>
      </c>
      <c r="F1733" s="42" t="s">
        <v>11469</v>
      </c>
      <c r="G1733" t="s">
        <v>13197</v>
      </c>
    </row>
    <row r="1734" spans="1:7" x14ac:dyDescent="0.3">
      <c r="A1734" s="42" t="s">
        <v>1760</v>
      </c>
      <c r="B1734" s="42" t="s">
        <v>1952</v>
      </c>
      <c r="C1734" s="42" t="s">
        <v>7474</v>
      </c>
      <c r="D1734" s="43" t="s">
        <v>228</v>
      </c>
      <c r="E1734" s="43" t="s">
        <v>1430</v>
      </c>
      <c r="F1734" s="42" t="s">
        <v>11469</v>
      </c>
      <c r="G1734" t="s">
        <v>13197</v>
      </c>
    </row>
    <row r="1735" spans="1:7" x14ac:dyDescent="0.3">
      <c r="A1735" s="42" t="s">
        <v>1760</v>
      </c>
      <c r="B1735" s="42" t="s">
        <v>1953</v>
      </c>
      <c r="C1735" s="42" t="s">
        <v>7475</v>
      </c>
      <c r="D1735" s="43" t="s">
        <v>228</v>
      </c>
      <c r="E1735" s="43" t="s">
        <v>1430</v>
      </c>
      <c r="F1735" s="42" t="s">
        <v>11469</v>
      </c>
      <c r="G1735" t="s">
        <v>13197</v>
      </c>
    </row>
    <row r="1736" spans="1:7" x14ac:dyDescent="0.3">
      <c r="A1736" s="42" t="s">
        <v>1760</v>
      </c>
      <c r="B1736" s="42" t="s">
        <v>1954</v>
      </c>
      <c r="C1736" s="42" t="s">
        <v>7476</v>
      </c>
      <c r="D1736" s="43" t="s">
        <v>228</v>
      </c>
      <c r="E1736" s="43" t="s">
        <v>1430</v>
      </c>
      <c r="F1736" s="42" t="s">
        <v>11469</v>
      </c>
      <c r="G1736" t="s">
        <v>13197</v>
      </c>
    </row>
    <row r="1737" spans="1:7" x14ac:dyDescent="0.3">
      <c r="A1737" s="42" t="s">
        <v>1760</v>
      </c>
      <c r="B1737" s="42" t="s">
        <v>1955</v>
      </c>
      <c r="C1737" s="42" t="s">
        <v>7477</v>
      </c>
      <c r="D1737" s="43" t="s">
        <v>228</v>
      </c>
      <c r="E1737" s="43" t="s">
        <v>1430</v>
      </c>
      <c r="F1737" s="42" t="s">
        <v>11469</v>
      </c>
      <c r="G1737" t="s">
        <v>13197</v>
      </c>
    </row>
    <row r="1738" spans="1:7" x14ac:dyDescent="0.3">
      <c r="A1738" s="42" t="s">
        <v>1760</v>
      </c>
      <c r="B1738" s="42" t="s">
        <v>1956</v>
      </c>
      <c r="C1738" s="42" t="s">
        <v>7478</v>
      </c>
      <c r="D1738" s="43" t="s">
        <v>228</v>
      </c>
      <c r="E1738" s="43" t="s">
        <v>1430</v>
      </c>
      <c r="F1738" s="42" t="s">
        <v>11469</v>
      </c>
      <c r="G1738" t="s">
        <v>13197</v>
      </c>
    </row>
    <row r="1739" spans="1:7" x14ac:dyDescent="0.3">
      <c r="A1739" s="42" t="s">
        <v>1760</v>
      </c>
      <c r="B1739" s="42" t="s">
        <v>1957</v>
      </c>
      <c r="C1739" s="42" t="s">
        <v>7479</v>
      </c>
      <c r="D1739" s="43" t="s">
        <v>228</v>
      </c>
      <c r="E1739" s="43" t="s">
        <v>1430</v>
      </c>
      <c r="F1739" s="42" t="s">
        <v>11469</v>
      </c>
      <c r="G1739" t="s">
        <v>13197</v>
      </c>
    </row>
    <row r="1740" spans="1:7" x14ac:dyDescent="0.3">
      <c r="A1740" s="42" t="s">
        <v>1760</v>
      </c>
      <c r="B1740" s="42" t="s">
        <v>1958</v>
      </c>
      <c r="C1740" s="42" t="s">
        <v>7480</v>
      </c>
      <c r="D1740" s="43" t="s">
        <v>228</v>
      </c>
      <c r="E1740" s="43" t="s">
        <v>1430</v>
      </c>
      <c r="F1740" s="42" t="s">
        <v>11469</v>
      </c>
      <c r="G1740" t="s">
        <v>13197</v>
      </c>
    </row>
    <row r="1741" spans="1:7" x14ac:dyDescent="0.3">
      <c r="A1741" s="42" t="s">
        <v>1760</v>
      </c>
      <c r="B1741" s="42" t="s">
        <v>1959</v>
      </c>
      <c r="C1741" s="42" t="s">
        <v>7481</v>
      </c>
      <c r="D1741" s="43" t="s">
        <v>228</v>
      </c>
      <c r="E1741" s="43" t="s">
        <v>1430</v>
      </c>
      <c r="F1741" s="42" t="s">
        <v>11469</v>
      </c>
      <c r="G1741" t="s">
        <v>13197</v>
      </c>
    </row>
    <row r="1742" spans="1:7" x14ac:dyDescent="0.3">
      <c r="A1742" s="42" t="s">
        <v>1760</v>
      </c>
      <c r="B1742" s="42" t="s">
        <v>1960</v>
      </c>
      <c r="C1742" s="42" t="s">
        <v>7482</v>
      </c>
      <c r="D1742" s="43" t="s">
        <v>228</v>
      </c>
      <c r="E1742" s="43" t="s">
        <v>1430</v>
      </c>
      <c r="F1742" s="42" t="s">
        <v>11469</v>
      </c>
      <c r="G1742" t="s">
        <v>13197</v>
      </c>
    </row>
    <row r="1743" spans="1:7" x14ac:dyDescent="0.3">
      <c r="A1743" s="42" t="s">
        <v>1760</v>
      </c>
      <c r="B1743" s="42" t="s">
        <v>1961</v>
      </c>
      <c r="C1743" s="42" t="s">
        <v>7483</v>
      </c>
      <c r="D1743" s="43" t="s">
        <v>228</v>
      </c>
      <c r="E1743" s="43" t="s">
        <v>1430</v>
      </c>
      <c r="F1743" s="42" t="s">
        <v>11469</v>
      </c>
      <c r="G1743" t="s">
        <v>13197</v>
      </c>
    </row>
    <row r="1744" spans="1:7" x14ac:dyDescent="0.3">
      <c r="A1744" s="42" t="s">
        <v>1760</v>
      </c>
      <c r="B1744" s="42" t="s">
        <v>1390</v>
      </c>
      <c r="C1744" s="42" t="s">
        <v>7484</v>
      </c>
      <c r="D1744" s="43" t="s">
        <v>228</v>
      </c>
      <c r="E1744" s="43" t="s">
        <v>1430</v>
      </c>
      <c r="F1744" s="42" t="s">
        <v>11469</v>
      </c>
      <c r="G1744" t="s">
        <v>13197</v>
      </c>
    </row>
    <row r="1745" spans="1:7" x14ac:dyDescent="0.3">
      <c r="A1745" s="42" t="s">
        <v>1760</v>
      </c>
      <c r="B1745" s="42" t="s">
        <v>1962</v>
      </c>
      <c r="C1745" s="42" t="s">
        <v>7485</v>
      </c>
      <c r="D1745" s="43" t="s">
        <v>228</v>
      </c>
      <c r="E1745" s="43" t="s">
        <v>1430</v>
      </c>
      <c r="F1745" s="42" t="s">
        <v>11469</v>
      </c>
      <c r="G1745" t="s">
        <v>13197</v>
      </c>
    </row>
    <row r="1746" spans="1:7" x14ac:dyDescent="0.3">
      <c r="A1746" s="42" t="s">
        <v>1760</v>
      </c>
      <c r="B1746" s="42" t="s">
        <v>1963</v>
      </c>
      <c r="C1746" s="42" t="s">
        <v>7486</v>
      </c>
      <c r="D1746" s="43" t="s">
        <v>228</v>
      </c>
      <c r="E1746" s="43" t="s">
        <v>1430</v>
      </c>
      <c r="F1746" s="42" t="s">
        <v>192</v>
      </c>
      <c r="G1746" t="s">
        <v>13196</v>
      </c>
    </row>
    <row r="1747" spans="1:7" x14ac:dyDescent="0.3">
      <c r="A1747" s="42" t="s">
        <v>1760</v>
      </c>
      <c r="B1747" s="42" t="s">
        <v>1964</v>
      </c>
      <c r="C1747" s="42" t="s">
        <v>7487</v>
      </c>
      <c r="D1747" s="43" t="s">
        <v>228</v>
      </c>
      <c r="E1747" s="43" t="s">
        <v>1430</v>
      </c>
      <c r="F1747" s="42" t="s">
        <v>11469</v>
      </c>
      <c r="G1747" t="s">
        <v>13197</v>
      </c>
    </row>
    <row r="1748" spans="1:7" x14ac:dyDescent="0.3">
      <c r="A1748" s="42" t="s">
        <v>1760</v>
      </c>
      <c r="B1748" s="42" t="s">
        <v>1965</v>
      </c>
      <c r="C1748" s="42" t="s">
        <v>7488</v>
      </c>
      <c r="D1748" s="43" t="s">
        <v>228</v>
      </c>
      <c r="E1748" s="43" t="s">
        <v>1430</v>
      </c>
      <c r="F1748" s="42" t="s">
        <v>192</v>
      </c>
      <c r="G1748" t="s">
        <v>13196</v>
      </c>
    </row>
    <row r="1749" spans="1:7" x14ac:dyDescent="0.3">
      <c r="A1749" s="42" t="s">
        <v>1760</v>
      </c>
      <c r="B1749" s="42" t="s">
        <v>1966</v>
      </c>
      <c r="C1749" s="42" t="s">
        <v>7489</v>
      </c>
      <c r="D1749" s="43" t="s">
        <v>228</v>
      </c>
      <c r="E1749" s="43" t="s">
        <v>1430</v>
      </c>
      <c r="F1749" s="42" t="s">
        <v>11469</v>
      </c>
      <c r="G1749" t="s">
        <v>13197</v>
      </c>
    </row>
    <row r="1750" spans="1:7" x14ac:dyDescent="0.3">
      <c r="A1750" s="42" t="s">
        <v>1760</v>
      </c>
      <c r="B1750" s="42" t="s">
        <v>1967</v>
      </c>
      <c r="C1750" s="42" t="s">
        <v>7490</v>
      </c>
      <c r="D1750" s="43" t="s">
        <v>228</v>
      </c>
      <c r="E1750" s="43" t="s">
        <v>1430</v>
      </c>
      <c r="F1750" s="42" t="s">
        <v>11469</v>
      </c>
      <c r="G1750" t="s">
        <v>13197</v>
      </c>
    </row>
    <row r="1751" spans="1:7" x14ac:dyDescent="0.3">
      <c r="A1751" s="42" t="s">
        <v>1760</v>
      </c>
      <c r="B1751" s="42" t="s">
        <v>1968</v>
      </c>
      <c r="C1751" s="42" t="s">
        <v>7491</v>
      </c>
      <c r="D1751" s="43" t="s">
        <v>228</v>
      </c>
      <c r="E1751" s="43" t="s">
        <v>1430</v>
      </c>
      <c r="F1751" s="42" t="s">
        <v>11469</v>
      </c>
      <c r="G1751" t="s">
        <v>13197</v>
      </c>
    </row>
    <row r="1752" spans="1:7" x14ac:dyDescent="0.3">
      <c r="A1752" s="42" t="s">
        <v>1760</v>
      </c>
      <c r="B1752" s="42" t="s">
        <v>1969</v>
      </c>
      <c r="C1752" s="42" t="s">
        <v>7492</v>
      </c>
      <c r="D1752" s="43" t="s">
        <v>228</v>
      </c>
      <c r="E1752" s="43" t="s">
        <v>1430</v>
      </c>
      <c r="F1752" s="42" t="s">
        <v>11469</v>
      </c>
      <c r="G1752" t="s">
        <v>13197</v>
      </c>
    </row>
    <row r="1753" spans="1:7" x14ac:dyDescent="0.3">
      <c r="A1753" s="42" t="s">
        <v>1760</v>
      </c>
      <c r="B1753" s="42" t="s">
        <v>1970</v>
      </c>
      <c r="C1753" s="42" t="s">
        <v>7493</v>
      </c>
      <c r="D1753" s="43" t="s">
        <v>228</v>
      </c>
      <c r="E1753" s="43" t="s">
        <v>1430</v>
      </c>
      <c r="F1753" s="42" t="s">
        <v>11469</v>
      </c>
      <c r="G1753" t="s">
        <v>13197</v>
      </c>
    </row>
    <row r="1754" spans="1:7" x14ac:dyDescent="0.3">
      <c r="A1754" s="42" t="s">
        <v>1760</v>
      </c>
      <c r="B1754" s="42" t="s">
        <v>1971</v>
      </c>
      <c r="C1754" s="42" t="s">
        <v>7494</v>
      </c>
      <c r="D1754" s="43" t="s">
        <v>228</v>
      </c>
      <c r="E1754" s="43" t="s">
        <v>1430</v>
      </c>
      <c r="F1754" s="42" t="s">
        <v>11469</v>
      </c>
      <c r="G1754" t="s">
        <v>13197</v>
      </c>
    </row>
    <row r="1755" spans="1:7" x14ac:dyDescent="0.3">
      <c r="A1755" s="42" t="s">
        <v>1760</v>
      </c>
      <c r="B1755" s="42" t="s">
        <v>1972</v>
      </c>
      <c r="C1755" s="42" t="s">
        <v>7495</v>
      </c>
      <c r="D1755" s="43" t="s">
        <v>228</v>
      </c>
      <c r="E1755" s="43" t="s">
        <v>1430</v>
      </c>
      <c r="F1755" s="42" t="s">
        <v>11469</v>
      </c>
      <c r="G1755" t="s">
        <v>13197</v>
      </c>
    </row>
    <row r="1756" spans="1:7" x14ac:dyDescent="0.3">
      <c r="A1756" s="42" t="s">
        <v>1760</v>
      </c>
      <c r="B1756" s="42" t="s">
        <v>1973</v>
      </c>
      <c r="C1756" s="42" t="s">
        <v>7496</v>
      </c>
      <c r="D1756" s="43" t="s">
        <v>228</v>
      </c>
      <c r="E1756" s="43" t="s">
        <v>1430</v>
      </c>
      <c r="F1756" s="42" t="s">
        <v>11469</v>
      </c>
      <c r="G1756" t="s">
        <v>13197</v>
      </c>
    </row>
    <row r="1757" spans="1:7" x14ac:dyDescent="0.3">
      <c r="A1757" s="42" t="s">
        <v>1760</v>
      </c>
      <c r="B1757" s="42" t="s">
        <v>1974</v>
      </c>
      <c r="C1757" s="42" t="s">
        <v>7497</v>
      </c>
      <c r="D1757" s="43" t="s">
        <v>228</v>
      </c>
      <c r="E1757" s="43" t="s">
        <v>1430</v>
      </c>
      <c r="F1757" s="42" t="s">
        <v>11469</v>
      </c>
      <c r="G1757" t="s">
        <v>13197</v>
      </c>
    </row>
    <row r="1758" spans="1:7" x14ac:dyDescent="0.3">
      <c r="A1758" s="42" t="s">
        <v>1553</v>
      </c>
      <c r="B1758" s="42" t="s">
        <v>1761</v>
      </c>
      <c r="C1758" s="42" t="s">
        <v>7498</v>
      </c>
      <c r="D1758" s="43" t="s">
        <v>91</v>
      </c>
      <c r="E1758" s="43" t="s">
        <v>91</v>
      </c>
      <c r="F1758" s="42" t="s">
        <v>11469</v>
      </c>
      <c r="G1758" t="s">
        <v>13196</v>
      </c>
    </row>
    <row r="1759" spans="1:7" x14ac:dyDescent="0.3">
      <c r="A1759" s="42" t="s">
        <v>1975</v>
      </c>
      <c r="B1759" s="42" t="s">
        <v>1976</v>
      </c>
      <c r="C1759" s="42" t="s">
        <v>7499</v>
      </c>
      <c r="D1759" s="43" t="s">
        <v>228</v>
      </c>
      <c r="E1759" s="43" t="s">
        <v>1430</v>
      </c>
      <c r="F1759" s="42" t="s">
        <v>11469</v>
      </c>
      <c r="G1759" t="s">
        <v>13197</v>
      </c>
    </row>
    <row r="1760" spans="1:7" x14ac:dyDescent="0.3">
      <c r="A1760" s="42" t="s">
        <v>1975</v>
      </c>
      <c r="B1760" s="42" t="s">
        <v>1977</v>
      </c>
      <c r="C1760" s="42" t="s">
        <v>7500</v>
      </c>
      <c r="D1760" s="43" t="s">
        <v>228</v>
      </c>
      <c r="E1760" s="43" t="s">
        <v>1430</v>
      </c>
      <c r="F1760" s="42" t="s">
        <v>192</v>
      </c>
      <c r="G1760" t="s">
        <v>13196</v>
      </c>
    </row>
    <row r="1761" spans="1:7" x14ac:dyDescent="0.3">
      <c r="A1761" s="42" t="s">
        <v>1975</v>
      </c>
      <c r="B1761" s="42" t="s">
        <v>1978</v>
      </c>
      <c r="C1761" s="42" t="s">
        <v>7501</v>
      </c>
      <c r="D1761" s="43" t="s">
        <v>228</v>
      </c>
      <c r="E1761" s="43" t="s">
        <v>1430</v>
      </c>
      <c r="F1761" s="42" t="s">
        <v>11469</v>
      </c>
      <c r="G1761" t="s">
        <v>13197</v>
      </c>
    </row>
    <row r="1762" spans="1:7" x14ac:dyDescent="0.3">
      <c r="A1762" s="42" t="s">
        <v>1975</v>
      </c>
      <c r="B1762" s="42" t="s">
        <v>1979</v>
      </c>
      <c r="C1762" s="42" t="s">
        <v>7502</v>
      </c>
      <c r="D1762" s="43" t="s">
        <v>228</v>
      </c>
      <c r="E1762" s="43" t="s">
        <v>1430</v>
      </c>
      <c r="F1762" s="42" t="s">
        <v>11469</v>
      </c>
      <c r="G1762" t="s">
        <v>13197</v>
      </c>
    </row>
    <row r="1763" spans="1:7" x14ac:dyDescent="0.3">
      <c r="A1763" s="42" t="s">
        <v>1975</v>
      </c>
      <c r="B1763" s="42" t="s">
        <v>1980</v>
      </c>
      <c r="C1763" s="42" t="s">
        <v>7503</v>
      </c>
      <c r="D1763" s="43" t="s">
        <v>228</v>
      </c>
      <c r="E1763" s="43" t="s">
        <v>1430</v>
      </c>
      <c r="F1763" s="42" t="s">
        <v>11469</v>
      </c>
      <c r="G1763" t="s">
        <v>13197</v>
      </c>
    </row>
    <row r="1764" spans="1:7" x14ac:dyDescent="0.3">
      <c r="A1764" s="42" t="s">
        <v>1975</v>
      </c>
      <c r="B1764" s="42" t="s">
        <v>1981</v>
      </c>
      <c r="C1764" s="42" t="s">
        <v>7504</v>
      </c>
      <c r="D1764" s="43" t="s">
        <v>228</v>
      </c>
      <c r="E1764" s="43" t="s">
        <v>1430</v>
      </c>
      <c r="F1764" s="42" t="s">
        <v>11469</v>
      </c>
      <c r="G1764" t="s">
        <v>13197</v>
      </c>
    </row>
    <row r="1765" spans="1:7" x14ac:dyDescent="0.3">
      <c r="A1765" s="42" t="s">
        <v>1975</v>
      </c>
      <c r="B1765" s="42" t="s">
        <v>1982</v>
      </c>
      <c r="C1765" s="42" t="s">
        <v>7505</v>
      </c>
      <c r="D1765" s="43" t="s">
        <v>228</v>
      </c>
      <c r="E1765" s="43" t="s">
        <v>1430</v>
      </c>
      <c r="F1765" s="42" t="s">
        <v>11469</v>
      </c>
      <c r="G1765" t="s">
        <v>13197</v>
      </c>
    </row>
    <row r="1766" spans="1:7" x14ac:dyDescent="0.3">
      <c r="A1766" s="42" t="s">
        <v>1975</v>
      </c>
      <c r="B1766" s="42" t="s">
        <v>1983</v>
      </c>
      <c r="C1766" s="42" t="s">
        <v>7506</v>
      </c>
      <c r="D1766" s="43" t="s">
        <v>228</v>
      </c>
      <c r="E1766" s="43" t="s">
        <v>1430</v>
      </c>
      <c r="F1766" s="42" t="s">
        <v>11469</v>
      </c>
      <c r="G1766" t="s">
        <v>13197</v>
      </c>
    </row>
    <row r="1767" spans="1:7" x14ac:dyDescent="0.3">
      <c r="A1767" s="42" t="s">
        <v>1975</v>
      </c>
      <c r="B1767" s="42" t="s">
        <v>1984</v>
      </c>
      <c r="C1767" s="42" t="s">
        <v>7507</v>
      </c>
      <c r="D1767" s="43" t="s">
        <v>228</v>
      </c>
      <c r="E1767" s="43" t="s">
        <v>1430</v>
      </c>
      <c r="F1767" s="42" t="s">
        <v>11469</v>
      </c>
      <c r="G1767" t="s">
        <v>13197</v>
      </c>
    </row>
    <row r="1768" spans="1:7" x14ac:dyDescent="0.3">
      <c r="A1768" s="42" t="s">
        <v>1975</v>
      </c>
      <c r="B1768" s="42" t="s">
        <v>1985</v>
      </c>
      <c r="C1768" s="42" t="s">
        <v>7508</v>
      </c>
      <c r="D1768" s="43" t="s">
        <v>228</v>
      </c>
      <c r="E1768" s="43" t="s">
        <v>1430</v>
      </c>
      <c r="F1768" s="42" t="s">
        <v>11469</v>
      </c>
      <c r="G1768" t="s">
        <v>13197</v>
      </c>
    </row>
    <row r="1769" spans="1:7" x14ac:dyDescent="0.3">
      <c r="A1769" s="42" t="s">
        <v>1975</v>
      </c>
      <c r="B1769" s="42" t="s">
        <v>1986</v>
      </c>
      <c r="C1769" s="42" t="s">
        <v>7509</v>
      </c>
      <c r="D1769" s="43" t="s">
        <v>228</v>
      </c>
      <c r="E1769" s="43" t="s">
        <v>1430</v>
      </c>
      <c r="F1769" s="42" t="s">
        <v>11469</v>
      </c>
      <c r="G1769" t="s">
        <v>13197</v>
      </c>
    </row>
    <row r="1770" spans="1:7" x14ac:dyDescent="0.3">
      <c r="A1770" s="42" t="s">
        <v>1975</v>
      </c>
      <c r="B1770" s="42" t="s">
        <v>1987</v>
      </c>
      <c r="C1770" s="42" t="s">
        <v>7510</v>
      </c>
      <c r="D1770" s="43" t="s">
        <v>228</v>
      </c>
      <c r="E1770" s="43" t="s">
        <v>1430</v>
      </c>
      <c r="F1770" s="42" t="s">
        <v>11469</v>
      </c>
      <c r="G1770" t="s">
        <v>13197</v>
      </c>
    </row>
    <row r="1771" spans="1:7" x14ac:dyDescent="0.3">
      <c r="A1771" s="42" t="s">
        <v>1975</v>
      </c>
      <c r="B1771" s="42" t="s">
        <v>1988</v>
      </c>
      <c r="C1771" s="42" t="s">
        <v>7511</v>
      </c>
      <c r="D1771" s="43" t="s">
        <v>228</v>
      </c>
      <c r="E1771" s="43" t="s">
        <v>1430</v>
      </c>
      <c r="F1771" s="42" t="s">
        <v>11469</v>
      </c>
      <c r="G1771" t="s">
        <v>13197</v>
      </c>
    </row>
    <row r="1772" spans="1:7" x14ac:dyDescent="0.3">
      <c r="A1772" s="42" t="s">
        <v>1975</v>
      </c>
      <c r="B1772" s="42" t="s">
        <v>1989</v>
      </c>
      <c r="C1772" s="42" t="s">
        <v>7512</v>
      </c>
      <c r="D1772" s="43" t="s">
        <v>228</v>
      </c>
      <c r="E1772" s="43" t="s">
        <v>1430</v>
      </c>
      <c r="F1772" s="42" t="s">
        <v>11469</v>
      </c>
      <c r="G1772" t="s">
        <v>13197</v>
      </c>
    </row>
    <row r="1773" spans="1:7" x14ac:dyDescent="0.3">
      <c r="A1773" s="42" t="s">
        <v>1975</v>
      </c>
      <c r="B1773" s="42" t="s">
        <v>1990</v>
      </c>
      <c r="C1773" s="42" t="s">
        <v>7513</v>
      </c>
      <c r="D1773" s="43" t="s">
        <v>228</v>
      </c>
      <c r="E1773" s="43" t="s">
        <v>1430</v>
      </c>
      <c r="F1773" s="42" t="s">
        <v>11469</v>
      </c>
      <c r="G1773" t="s">
        <v>13197</v>
      </c>
    </row>
    <row r="1774" spans="1:7" x14ac:dyDescent="0.3">
      <c r="A1774" s="42" t="s">
        <v>1975</v>
      </c>
      <c r="B1774" s="42" t="s">
        <v>1991</v>
      </c>
      <c r="C1774" s="42" t="s">
        <v>7514</v>
      </c>
      <c r="D1774" s="43" t="s">
        <v>228</v>
      </c>
      <c r="E1774" s="43" t="s">
        <v>1430</v>
      </c>
      <c r="F1774" s="42" t="s">
        <v>11469</v>
      </c>
      <c r="G1774" t="s">
        <v>13197</v>
      </c>
    </row>
    <row r="1775" spans="1:7" x14ac:dyDescent="0.3">
      <c r="A1775" s="42" t="s">
        <v>1975</v>
      </c>
      <c r="B1775" s="42" t="s">
        <v>1992</v>
      </c>
      <c r="C1775" s="42" t="s">
        <v>7515</v>
      </c>
      <c r="D1775" s="43" t="s">
        <v>228</v>
      </c>
      <c r="E1775" s="43" t="s">
        <v>1430</v>
      </c>
      <c r="F1775" s="42" t="s">
        <v>11469</v>
      </c>
      <c r="G1775" t="s">
        <v>13197</v>
      </c>
    </row>
    <row r="1776" spans="1:7" x14ac:dyDescent="0.3">
      <c r="A1776" s="42" t="s">
        <v>1975</v>
      </c>
      <c r="B1776" s="42" t="s">
        <v>1993</v>
      </c>
      <c r="C1776" s="42" t="s">
        <v>7516</v>
      </c>
      <c r="D1776" s="43" t="s">
        <v>228</v>
      </c>
      <c r="E1776" s="43" t="s">
        <v>1430</v>
      </c>
      <c r="F1776" s="42" t="s">
        <v>11469</v>
      </c>
      <c r="G1776" t="s">
        <v>13197</v>
      </c>
    </row>
    <row r="1777" spans="1:7" x14ac:dyDescent="0.3">
      <c r="A1777" s="42" t="s">
        <v>1975</v>
      </c>
      <c r="B1777" s="42" t="s">
        <v>1994</v>
      </c>
      <c r="C1777" s="42" t="s">
        <v>7517</v>
      </c>
      <c r="D1777" s="43" t="s">
        <v>228</v>
      </c>
      <c r="E1777" s="43" t="s">
        <v>1430</v>
      </c>
      <c r="F1777" s="42" t="s">
        <v>11469</v>
      </c>
      <c r="G1777" t="s">
        <v>13197</v>
      </c>
    </row>
    <row r="1778" spans="1:7" x14ac:dyDescent="0.3">
      <c r="A1778" s="42" t="s">
        <v>1975</v>
      </c>
      <c r="B1778" s="42" t="s">
        <v>1995</v>
      </c>
      <c r="C1778" s="42" t="s">
        <v>7518</v>
      </c>
      <c r="D1778" s="43" t="s">
        <v>228</v>
      </c>
      <c r="E1778" s="43" t="s">
        <v>1430</v>
      </c>
      <c r="F1778" s="42" t="s">
        <v>11469</v>
      </c>
      <c r="G1778" t="s">
        <v>13197</v>
      </c>
    </row>
    <row r="1779" spans="1:7" x14ac:dyDescent="0.3">
      <c r="A1779" s="42" t="s">
        <v>1975</v>
      </c>
      <c r="B1779" s="42" t="s">
        <v>1996</v>
      </c>
      <c r="C1779" s="42" t="s">
        <v>7519</v>
      </c>
      <c r="D1779" s="43" t="s">
        <v>228</v>
      </c>
      <c r="E1779" s="43" t="s">
        <v>1430</v>
      </c>
      <c r="F1779" s="42" t="s">
        <v>11469</v>
      </c>
      <c r="G1779" t="s">
        <v>13197</v>
      </c>
    </row>
    <row r="1780" spans="1:7" x14ac:dyDescent="0.3">
      <c r="A1780" s="42" t="s">
        <v>1975</v>
      </c>
      <c r="B1780" s="42" t="s">
        <v>1997</v>
      </c>
      <c r="C1780" s="42" t="s">
        <v>7520</v>
      </c>
      <c r="D1780" s="43" t="s">
        <v>228</v>
      </c>
      <c r="E1780" s="43" t="s">
        <v>1430</v>
      </c>
      <c r="F1780" s="42" t="s">
        <v>11469</v>
      </c>
      <c r="G1780" t="s">
        <v>13197</v>
      </c>
    </row>
    <row r="1781" spans="1:7" x14ac:dyDescent="0.3">
      <c r="A1781" s="42" t="s">
        <v>1975</v>
      </c>
      <c r="B1781" s="42" t="s">
        <v>1998</v>
      </c>
      <c r="C1781" s="42" t="s">
        <v>7521</v>
      </c>
      <c r="D1781" s="43" t="s">
        <v>228</v>
      </c>
      <c r="E1781" s="43" t="s">
        <v>1430</v>
      </c>
      <c r="F1781" s="42" t="s">
        <v>11469</v>
      </c>
      <c r="G1781" t="s">
        <v>13197</v>
      </c>
    </row>
    <row r="1782" spans="1:7" x14ac:dyDescent="0.3">
      <c r="A1782" s="42" t="s">
        <v>1975</v>
      </c>
      <c r="B1782" s="42" t="s">
        <v>1999</v>
      </c>
      <c r="C1782" s="42" t="s">
        <v>7522</v>
      </c>
      <c r="D1782" s="43" t="s">
        <v>228</v>
      </c>
      <c r="E1782" s="43" t="s">
        <v>1430</v>
      </c>
      <c r="F1782" s="42" t="s">
        <v>11469</v>
      </c>
      <c r="G1782" t="s">
        <v>13197</v>
      </c>
    </row>
    <row r="1783" spans="1:7" x14ac:dyDescent="0.3">
      <c r="A1783" s="42" t="s">
        <v>1975</v>
      </c>
      <c r="B1783" s="42" t="s">
        <v>2000</v>
      </c>
      <c r="C1783" s="42" t="s">
        <v>7523</v>
      </c>
      <c r="D1783" s="43" t="s">
        <v>228</v>
      </c>
      <c r="E1783" s="43" t="s">
        <v>1430</v>
      </c>
      <c r="F1783" s="42" t="s">
        <v>11469</v>
      </c>
      <c r="G1783" t="s">
        <v>13197</v>
      </c>
    </row>
    <row r="1784" spans="1:7" x14ac:dyDescent="0.3">
      <c r="A1784" s="42" t="s">
        <v>1975</v>
      </c>
      <c r="B1784" s="42" t="s">
        <v>2001</v>
      </c>
      <c r="C1784" s="42" t="s">
        <v>7524</v>
      </c>
      <c r="D1784" s="43" t="s">
        <v>228</v>
      </c>
      <c r="E1784" s="43" t="s">
        <v>1430</v>
      </c>
      <c r="F1784" s="42" t="s">
        <v>11469</v>
      </c>
      <c r="G1784" t="s">
        <v>13197</v>
      </c>
    </row>
    <row r="1785" spans="1:7" x14ac:dyDescent="0.3">
      <c r="A1785" s="42" t="s">
        <v>1975</v>
      </c>
      <c r="B1785" s="42" t="s">
        <v>2002</v>
      </c>
      <c r="C1785" s="42" t="s">
        <v>7525</v>
      </c>
      <c r="D1785" s="43" t="s">
        <v>228</v>
      </c>
      <c r="E1785" s="43" t="s">
        <v>1430</v>
      </c>
      <c r="F1785" s="42" t="s">
        <v>11469</v>
      </c>
      <c r="G1785" t="s">
        <v>13197</v>
      </c>
    </row>
    <row r="1786" spans="1:7" x14ac:dyDescent="0.3">
      <c r="A1786" s="42" t="s">
        <v>1975</v>
      </c>
      <c r="B1786" s="42" t="s">
        <v>2003</v>
      </c>
      <c r="C1786" s="42" t="s">
        <v>7526</v>
      </c>
      <c r="D1786" s="43" t="s">
        <v>228</v>
      </c>
      <c r="E1786" s="43" t="s">
        <v>1430</v>
      </c>
      <c r="F1786" s="42" t="s">
        <v>11469</v>
      </c>
      <c r="G1786" t="s">
        <v>13197</v>
      </c>
    </row>
    <row r="1787" spans="1:7" x14ac:dyDescent="0.3">
      <c r="A1787" s="42" t="s">
        <v>1975</v>
      </c>
      <c r="B1787" s="42" t="s">
        <v>2004</v>
      </c>
      <c r="C1787" s="42" t="s">
        <v>7527</v>
      </c>
      <c r="D1787" s="43" t="s">
        <v>228</v>
      </c>
      <c r="E1787" s="43" t="s">
        <v>1430</v>
      </c>
      <c r="F1787" s="42" t="s">
        <v>11469</v>
      </c>
      <c r="G1787" t="s">
        <v>13197</v>
      </c>
    </row>
    <row r="1788" spans="1:7" x14ac:dyDescent="0.3">
      <c r="A1788" s="42" t="s">
        <v>1975</v>
      </c>
      <c r="B1788" s="42" t="s">
        <v>2005</v>
      </c>
      <c r="C1788" s="42" t="s">
        <v>7528</v>
      </c>
      <c r="D1788" s="43" t="s">
        <v>228</v>
      </c>
      <c r="E1788" s="43" t="s">
        <v>1430</v>
      </c>
      <c r="F1788" s="42" t="s">
        <v>11469</v>
      </c>
      <c r="G1788" t="s">
        <v>13197</v>
      </c>
    </row>
    <row r="1789" spans="1:7" x14ac:dyDescent="0.3">
      <c r="A1789" s="42" t="s">
        <v>1975</v>
      </c>
      <c r="B1789" s="42" t="s">
        <v>2006</v>
      </c>
      <c r="C1789" s="42" t="s">
        <v>7529</v>
      </c>
      <c r="D1789" s="43" t="s">
        <v>228</v>
      </c>
      <c r="E1789" s="43" t="s">
        <v>1430</v>
      </c>
      <c r="F1789" s="42" t="s">
        <v>11469</v>
      </c>
      <c r="G1789" t="s">
        <v>13197</v>
      </c>
    </row>
    <row r="1790" spans="1:7" x14ac:dyDescent="0.3">
      <c r="A1790" s="42" t="s">
        <v>1975</v>
      </c>
      <c r="B1790" s="42" t="s">
        <v>2007</v>
      </c>
      <c r="C1790" s="42" t="s">
        <v>7530</v>
      </c>
      <c r="D1790" s="43" t="s">
        <v>228</v>
      </c>
      <c r="E1790" s="43" t="s">
        <v>1430</v>
      </c>
      <c r="F1790" s="42" t="s">
        <v>11469</v>
      </c>
      <c r="G1790" t="s">
        <v>13197</v>
      </c>
    </row>
    <row r="1791" spans="1:7" x14ac:dyDescent="0.3">
      <c r="A1791" s="42" t="s">
        <v>1975</v>
      </c>
      <c r="B1791" s="42" t="s">
        <v>2008</v>
      </c>
      <c r="C1791" s="42" t="s">
        <v>7531</v>
      </c>
      <c r="D1791" s="43" t="s">
        <v>228</v>
      </c>
      <c r="E1791" s="43" t="s">
        <v>1430</v>
      </c>
      <c r="F1791" s="42" t="s">
        <v>11469</v>
      </c>
      <c r="G1791" t="s">
        <v>13197</v>
      </c>
    </row>
    <row r="1792" spans="1:7" x14ac:dyDescent="0.3">
      <c r="A1792" s="42" t="s">
        <v>1975</v>
      </c>
      <c r="B1792" s="42" t="s">
        <v>2009</v>
      </c>
      <c r="C1792" s="42" t="s">
        <v>7532</v>
      </c>
      <c r="D1792" s="43" t="s">
        <v>228</v>
      </c>
      <c r="E1792" s="43" t="s">
        <v>1430</v>
      </c>
      <c r="F1792" s="42" t="s">
        <v>11469</v>
      </c>
      <c r="G1792" t="s">
        <v>13197</v>
      </c>
    </row>
    <row r="1793" spans="1:7" x14ac:dyDescent="0.3">
      <c r="A1793" s="42" t="s">
        <v>1975</v>
      </c>
      <c r="B1793" s="42" t="s">
        <v>2010</v>
      </c>
      <c r="C1793" s="42" t="s">
        <v>7533</v>
      </c>
      <c r="D1793" s="43" t="s">
        <v>228</v>
      </c>
      <c r="E1793" s="43" t="s">
        <v>1430</v>
      </c>
      <c r="F1793" s="42" t="s">
        <v>11469</v>
      </c>
      <c r="G1793" t="s">
        <v>13197</v>
      </c>
    </row>
    <row r="1794" spans="1:7" x14ac:dyDescent="0.3">
      <c r="A1794" s="42" t="s">
        <v>1975</v>
      </c>
      <c r="B1794" s="42" t="s">
        <v>2011</v>
      </c>
      <c r="C1794" s="42" t="s">
        <v>7534</v>
      </c>
      <c r="D1794" s="43" t="s">
        <v>228</v>
      </c>
      <c r="E1794" s="43" t="s">
        <v>1430</v>
      </c>
      <c r="F1794" s="42" t="s">
        <v>192</v>
      </c>
      <c r="G1794" t="s">
        <v>13196</v>
      </c>
    </row>
    <row r="1795" spans="1:7" x14ac:dyDescent="0.3">
      <c r="A1795" s="42" t="s">
        <v>1975</v>
      </c>
      <c r="B1795" s="42" t="s">
        <v>2012</v>
      </c>
      <c r="C1795" s="42" t="s">
        <v>7535</v>
      </c>
      <c r="D1795" s="43" t="s">
        <v>228</v>
      </c>
      <c r="E1795" s="43" t="s">
        <v>1430</v>
      </c>
      <c r="F1795" s="42" t="s">
        <v>11469</v>
      </c>
      <c r="G1795" t="s">
        <v>13197</v>
      </c>
    </row>
    <row r="1796" spans="1:7" x14ac:dyDescent="0.3">
      <c r="A1796" s="42" t="s">
        <v>1975</v>
      </c>
      <c r="B1796" s="42" t="s">
        <v>2013</v>
      </c>
      <c r="C1796" s="42" t="s">
        <v>7536</v>
      </c>
      <c r="D1796" s="43" t="s">
        <v>228</v>
      </c>
      <c r="E1796" s="43" t="s">
        <v>1430</v>
      </c>
      <c r="F1796" s="42" t="s">
        <v>11469</v>
      </c>
      <c r="G1796" t="s">
        <v>13197</v>
      </c>
    </row>
    <row r="1797" spans="1:7" x14ac:dyDescent="0.3">
      <c r="A1797" s="42" t="s">
        <v>1975</v>
      </c>
      <c r="B1797" s="42" t="s">
        <v>2014</v>
      </c>
      <c r="C1797" s="42" t="s">
        <v>7537</v>
      </c>
      <c r="D1797" s="43" t="s">
        <v>228</v>
      </c>
      <c r="E1797" s="43" t="s">
        <v>1430</v>
      </c>
      <c r="F1797" s="42" t="s">
        <v>11469</v>
      </c>
      <c r="G1797" t="s">
        <v>13197</v>
      </c>
    </row>
    <row r="1798" spans="1:7" x14ac:dyDescent="0.3">
      <c r="A1798" s="42" t="s">
        <v>1975</v>
      </c>
      <c r="B1798" s="42" t="s">
        <v>2015</v>
      </c>
      <c r="C1798" s="42" t="s">
        <v>7538</v>
      </c>
      <c r="D1798" s="43" t="s">
        <v>228</v>
      </c>
      <c r="E1798" s="43" t="s">
        <v>1430</v>
      </c>
      <c r="F1798" s="42" t="s">
        <v>11469</v>
      </c>
      <c r="G1798" t="s">
        <v>13197</v>
      </c>
    </row>
    <row r="1799" spans="1:7" x14ac:dyDescent="0.3">
      <c r="A1799" s="42" t="s">
        <v>1975</v>
      </c>
      <c r="B1799" s="42" t="s">
        <v>2016</v>
      </c>
      <c r="C1799" s="42" t="s">
        <v>7539</v>
      </c>
      <c r="D1799" s="43" t="s">
        <v>228</v>
      </c>
      <c r="E1799" s="43" t="s">
        <v>1430</v>
      </c>
      <c r="F1799" s="42" t="s">
        <v>11469</v>
      </c>
      <c r="G1799" t="s">
        <v>13197</v>
      </c>
    </row>
    <row r="1800" spans="1:7" x14ac:dyDescent="0.3">
      <c r="A1800" s="42" t="s">
        <v>1975</v>
      </c>
      <c r="B1800" s="42" t="s">
        <v>2017</v>
      </c>
      <c r="C1800" s="42" t="s">
        <v>7540</v>
      </c>
      <c r="D1800" s="43" t="s">
        <v>228</v>
      </c>
      <c r="E1800" s="43" t="s">
        <v>1430</v>
      </c>
      <c r="F1800" s="42" t="s">
        <v>11469</v>
      </c>
      <c r="G1800" t="s">
        <v>13197</v>
      </c>
    </row>
    <row r="1801" spans="1:7" x14ac:dyDescent="0.3">
      <c r="A1801" s="42" t="s">
        <v>1975</v>
      </c>
      <c r="B1801" s="42" t="s">
        <v>2018</v>
      </c>
      <c r="C1801" s="42" t="s">
        <v>7541</v>
      </c>
      <c r="D1801" s="43" t="s">
        <v>228</v>
      </c>
      <c r="E1801" s="43" t="s">
        <v>1430</v>
      </c>
      <c r="F1801" s="42" t="s">
        <v>11469</v>
      </c>
      <c r="G1801" t="s">
        <v>13197</v>
      </c>
    </row>
    <row r="1802" spans="1:7" x14ac:dyDescent="0.3">
      <c r="A1802" s="42" t="s">
        <v>1975</v>
      </c>
      <c r="B1802" s="42" t="s">
        <v>2019</v>
      </c>
      <c r="C1802" s="42" t="s">
        <v>7542</v>
      </c>
      <c r="D1802" s="43" t="s">
        <v>228</v>
      </c>
      <c r="E1802" s="43" t="s">
        <v>1430</v>
      </c>
      <c r="F1802" s="42" t="s">
        <v>11469</v>
      </c>
      <c r="G1802" t="s">
        <v>13197</v>
      </c>
    </row>
    <row r="1803" spans="1:7" x14ac:dyDescent="0.3">
      <c r="A1803" s="42" t="s">
        <v>1975</v>
      </c>
      <c r="B1803" s="42" t="s">
        <v>2020</v>
      </c>
      <c r="C1803" s="42" t="s">
        <v>7543</v>
      </c>
      <c r="D1803" s="43" t="s">
        <v>228</v>
      </c>
      <c r="E1803" s="43" t="s">
        <v>1430</v>
      </c>
      <c r="F1803" s="42" t="s">
        <v>11469</v>
      </c>
      <c r="G1803" t="s">
        <v>13197</v>
      </c>
    </row>
    <row r="1804" spans="1:7" x14ac:dyDescent="0.3">
      <c r="A1804" s="42" t="s">
        <v>1975</v>
      </c>
      <c r="B1804" s="42" t="s">
        <v>2021</v>
      </c>
      <c r="C1804" s="42" t="s">
        <v>7544</v>
      </c>
      <c r="D1804" s="43" t="s">
        <v>228</v>
      </c>
      <c r="E1804" s="43" t="s">
        <v>1430</v>
      </c>
      <c r="F1804" s="42" t="s">
        <v>11469</v>
      </c>
      <c r="G1804" t="s">
        <v>13197</v>
      </c>
    </row>
    <row r="1805" spans="1:7" x14ac:dyDescent="0.3">
      <c r="A1805" s="42" t="s">
        <v>1975</v>
      </c>
      <c r="B1805" s="42" t="s">
        <v>2022</v>
      </c>
      <c r="C1805" s="42" t="s">
        <v>7545</v>
      </c>
      <c r="D1805" s="43" t="s">
        <v>228</v>
      </c>
      <c r="E1805" s="43" t="s">
        <v>1430</v>
      </c>
      <c r="F1805" s="42" t="s">
        <v>11469</v>
      </c>
      <c r="G1805" t="s">
        <v>13197</v>
      </c>
    </row>
    <row r="1806" spans="1:7" x14ac:dyDescent="0.3">
      <c r="A1806" s="42" t="s">
        <v>1975</v>
      </c>
      <c r="B1806" s="42" t="s">
        <v>2023</v>
      </c>
      <c r="C1806" s="42" t="s">
        <v>7546</v>
      </c>
      <c r="D1806" s="43" t="s">
        <v>228</v>
      </c>
      <c r="E1806" s="43" t="s">
        <v>1430</v>
      </c>
      <c r="F1806" s="42" t="s">
        <v>11469</v>
      </c>
      <c r="G1806" t="s">
        <v>13197</v>
      </c>
    </row>
    <row r="1807" spans="1:7" x14ac:dyDescent="0.3">
      <c r="A1807" s="42" t="s">
        <v>1975</v>
      </c>
      <c r="B1807" s="42" t="s">
        <v>2024</v>
      </c>
      <c r="C1807" s="42" t="s">
        <v>7547</v>
      </c>
      <c r="D1807" s="43" t="s">
        <v>228</v>
      </c>
      <c r="E1807" s="43" t="s">
        <v>1430</v>
      </c>
      <c r="F1807" s="42" t="s">
        <v>11469</v>
      </c>
      <c r="G1807" t="s">
        <v>13197</v>
      </c>
    </row>
    <row r="1808" spans="1:7" x14ac:dyDescent="0.3">
      <c r="A1808" s="42" t="s">
        <v>1975</v>
      </c>
      <c r="B1808" s="42" t="s">
        <v>2025</v>
      </c>
      <c r="C1808" s="42" t="s">
        <v>7548</v>
      </c>
      <c r="D1808" s="43" t="s">
        <v>228</v>
      </c>
      <c r="E1808" s="43" t="s">
        <v>1430</v>
      </c>
      <c r="F1808" s="42" t="s">
        <v>11469</v>
      </c>
      <c r="G1808" t="s">
        <v>13197</v>
      </c>
    </row>
    <row r="1809" spans="1:7" x14ac:dyDescent="0.3">
      <c r="A1809" s="42" t="s">
        <v>1975</v>
      </c>
      <c r="B1809" s="42" t="s">
        <v>2026</v>
      </c>
      <c r="C1809" s="42" t="s">
        <v>7549</v>
      </c>
      <c r="D1809" s="43" t="s">
        <v>228</v>
      </c>
      <c r="E1809" s="43" t="s">
        <v>1430</v>
      </c>
      <c r="F1809" s="42" t="s">
        <v>11469</v>
      </c>
      <c r="G1809" t="s">
        <v>13197</v>
      </c>
    </row>
    <row r="1810" spans="1:7" x14ac:dyDescent="0.3">
      <c r="A1810" s="42" t="s">
        <v>1975</v>
      </c>
      <c r="B1810" s="42" t="s">
        <v>2027</v>
      </c>
      <c r="C1810" s="42" t="s">
        <v>7550</v>
      </c>
      <c r="D1810" s="43" t="s">
        <v>228</v>
      </c>
      <c r="E1810" s="43" t="s">
        <v>1430</v>
      </c>
      <c r="F1810" s="42" t="s">
        <v>11469</v>
      </c>
      <c r="G1810" t="s">
        <v>13197</v>
      </c>
    </row>
    <row r="1811" spans="1:7" x14ac:dyDescent="0.3">
      <c r="A1811" s="42" t="s">
        <v>1975</v>
      </c>
      <c r="B1811" s="42" t="s">
        <v>2028</v>
      </c>
      <c r="C1811" s="42" t="s">
        <v>7551</v>
      </c>
      <c r="D1811" s="43" t="s">
        <v>228</v>
      </c>
      <c r="E1811" s="43" t="s">
        <v>1430</v>
      </c>
      <c r="F1811" s="42" t="s">
        <v>11469</v>
      </c>
      <c r="G1811" t="s">
        <v>13197</v>
      </c>
    </row>
    <row r="1812" spans="1:7" x14ac:dyDescent="0.3">
      <c r="A1812" s="42" t="s">
        <v>1975</v>
      </c>
      <c r="B1812" s="42" t="s">
        <v>2029</v>
      </c>
      <c r="C1812" s="42" t="s">
        <v>7552</v>
      </c>
      <c r="D1812" s="43" t="s">
        <v>228</v>
      </c>
      <c r="E1812" s="43" t="s">
        <v>1430</v>
      </c>
      <c r="F1812" s="42" t="s">
        <v>11469</v>
      </c>
      <c r="G1812" t="s">
        <v>13197</v>
      </c>
    </row>
    <row r="1813" spans="1:7" x14ac:dyDescent="0.3">
      <c r="A1813" s="42" t="s">
        <v>1975</v>
      </c>
      <c r="B1813" s="42" t="s">
        <v>2030</v>
      </c>
      <c r="C1813" s="42" t="s">
        <v>7553</v>
      </c>
      <c r="D1813" s="43" t="s">
        <v>228</v>
      </c>
      <c r="E1813" s="43" t="s">
        <v>1430</v>
      </c>
      <c r="F1813" s="42" t="s">
        <v>11469</v>
      </c>
      <c r="G1813" t="s">
        <v>13197</v>
      </c>
    </row>
    <row r="1814" spans="1:7" x14ac:dyDescent="0.3">
      <c r="A1814" s="42" t="s">
        <v>1975</v>
      </c>
      <c r="B1814" s="42" t="s">
        <v>2031</v>
      </c>
      <c r="C1814" s="42" t="s">
        <v>7554</v>
      </c>
      <c r="D1814" s="43" t="s">
        <v>228</v>
      </c>
      <c r="E1814" s="43" t="s">
        <v>1430</v>
      </c>
      <c r="F1814" s="42" t="s">
        <v>11469</v>
      </c>
      <c r="G1814" t="s">
        <v>13197</v>
      </c>
    </row>
    <row r="1815" spans="1:7" x14ac:dyDescent="0.3">
      <c r="A1815" s="42" t="s">
        <v>1975</v>
      </c>
      <c r="B1815" s="42" t="s">
        <v>2032</v>
      </c>
      <c r="C1815" s="42" t="s">
        <v>7555</v>
      </c>
      <c r="D1815" s="43" t="s">
        <v>228</v>
      </c>
      <c r="E1815" s="43" t="s">
        <v>1430</v>
      </c>
      <c r="F1815" s="42" t="s">
        <v>192</v>
      </c>
      <c r="G1815" t="s">
        <v>13196</v>
      </c>
    </row>
    <row r="1816" spans="1:7" x14ac:dyDescent="0.3">
      <c r="A1816" s="42" t="s">
        <v>1975</v>
      </c>
      <c r="B1816" s="42" t="s">
        <v>2033</v>
      </c>
      <c r="C1816" s="42" t="s">
        <v>7556</v>
      </c>
      <c r="D1816" s="43" t="s">
        <v>228</v>
      </c>
      <c r="E1816" s="43" t="s">
        <v>1430</v>
      </c>
      <c r="F1816" s="42" t="s">
        <v>11469</v>
      </c>
      <c r="G1816" t="s">
        <v>13197</v>
      </c>
    </row>
    <row r="1817" spans="1:7" x14ac:dyDescent="0.3">
      <c r="A1817" s="42" t="s">
        <v>1975</v>
      </c>
      <c r="B1817" s="42" t="s">
        <v>2034</v>
      </c>
      <c r="C1817" s="42" t="s">
        <v>7557</v>
      </c>
      <c r="D1817" s="43" t="s">
        <v>228</v>
      </c>
      <c r="E1817" s="43" t="s">
        <v>1430</v>
      </c>
      <c r="F1817" s="42" t="s">
        <v>11469</v>
      </c>
      <c r="G1817" t="s">
        <v>13197</v>
      </c>
    </row>
    <row r="1818" spans="1:7" x14ac:dyDescent="0.3">
      <c r="A1818" s="42" t="s">
        <v>1975</v>
      </c>
      <c r="B1818" s="42" t="s">
        <v>1357</v>
      </c>
      <c r="C1818" s="42" t="s">
        <v>7558</v>
      </c>
      <c r="D1818" s="43" t="s">
        <v>228</v>
      </c>
      <c r="E1818" s="43" t="s">
        <v>1430</v>
      </c>
      <c r="F1818" s="42" t="s">
        <v>11469</v>
      </c>
      <c r="G1818" t="s">
        <v>13197</v>
      </c>
    </row>
    <row r="1819" spans="1:7" x14ac:dyDescent="0.3">
      <c r="A1819" s="42" t="s">
        <v>1975</v>
      </c>
      <c r="B1819" s="42" t="s">
        <v>2035</v>
      </c>
      <c r="C1819" s="42" t="s">
        <v>7559</v>
      </c>
      <c r="D1819" s="43" t="s">
        <v>228</v>
      </c>
      <c r="E1819" s="43" t="s">
        <v>1430</v>
      </c>
      <c r="F1819" s="42" t="s">
        <v>11469</v>
      </c>
      <c r="G1819" t="s">
        <v>13197</v>
      </c>
    </row>
    <row r="1820" spans="1:7" x14ac:dyDescent="0.3">
      <c r="A1820" s="42" t="s">
        <v>1975</v>
      </c>
      <c r="B1820" s="42" t="s">
        <v>2036</v>
      </c>
      <c r="C1820" s="42" t="s">
        <v>7560</v>
      </c>
      <c r="D1820" s="43" t="s">
        <v>228</v>
      </c>
      <c r="E1820" s="43" t="s">
        <v>1430</v>
      </c>
      <c r="F1820" s="42" t="s">
        <v>11469</v>
      </c>
      <c r="G1820" t="s">
        <v>13197</v>
      </c>
    </row>
    <row r="1821" spans="1:7" x14ac:dyDescent="0.3">
      <c r="A1821" s="42" t="s">
        <v>1975</v>
      </c>
      <c r="B1821" s="42" t="s">
        <v>2037</v>
      </c>
      <c r="C1821" s="42" t="s">
        <v>7561</v>
      </c>
      <c r="D1821" s="43" t="s">
        <v>228</v>
      </c>
      <c r="E1821" s="43" t="s">
        <v>1430</v>
      </c>
      <c r="F1821" s="42" t="s">
        <v>11469</v>
      </c>
      <c r="G1821" t="s">
        <v>13197</v>
      </c>
    </row>
    <row r="1822" spans="1:7" x14ac:dyDescent="0.3">
      <c r="A1822" s="42" t="s">
        <v>1975</v>
      </c>
      <c r="B1822" s="42" t="s">
        <v>2038</v>
      </c>
      <c r="C1822" s="42" t="s">
        <v>7562</v>
      </c>
      <c r="D1822" s="43" t="s">
        <v>228</v>
      </c>
      <c r="E1822" s="43" t="s">
        <v>1430</v>
      </c>
      <c r="F1822" s="42" t="s">
        <v>11469</v>
      </c>
      <c r="G1822" t="s">
        <v>13197</v>
      </c>
    </row>
    <row r="1823" spans="1:7" x14ac:dyDescent="0.3">
      <c r="A1823" s="42" t="s">
        <v>1975</v>
      </c>
      <c r="B1823" s="42" t="s">
        <v>2039</v>
      </c>
      <c r="C1823" s="42" t="s">
        <v>7563</v>
      </c>
      <c r="D1823" s="43" t="s">
        <v>228</v>
      </c>
      <c r="E1823" s="43" t="s">
        <v>1430</v>
      </c>
      <c r="F1823" s="42" t="s">
        <v>11469</v>
      </c>
      <c r="G1823" t="s">
        <v>13197</v>
      </c>
    </row>
    <row r="1824" spans="1:7" x14ac:dyDescent="0.3">
      <c r="A1824" s="42" t="s">
        <v>1975</v>
      </c>
      <c r="B1824" s="42" t="s">
        <v>2040</v>
      </c>
      <c r="C1824" s="42" t="s">
        <v>7564</v>
      </c>
      <c r="D1824" s="43" t="s">
        <v>228</v>
      </c>
      <c r="E1824" s="43" t="s">
        <v>1430</v>
      </c>
      <c r="F1824" s="42" t="s">
        <v>11469</v>
      </c>
      <c r="G1824" t="s">
        <v>13197</v>
      </c>
    </row>
    <row r="1825" spans="1:7" x14ac:dyDescent="0.3">
      <c r="A1825" s="42" t="s">
        <v>1975</v>
      </c>
      <c r="B1825" s="42" t="s">
        <v>2041</v>
      </c>
      <c r="C1825" s="42" t="s">
        <v>7565</v>
      </c>
      <c r="D1825" s="43" t="s">
        <v>228</v>
      </c>
      <c r="E1825" s="43" t="s">
        <v>1430</v>
      </c>
      <c r="F1825" s="42" t="s">
        <v>11469</v>
      </c>
      <c r="G1825" t="s">
        <v>13197</v>
      </c>
    </row>
    <row r="1826" spans="1:7" x14ac:dyDescent="0.3">
      <c r="A1826" s="42" t="s">
        <v>1975</v>
      </c>
      <c r="B1826" s="42" t="s">
        <v>2042</v>
      </c>
      <c r="C1826" s="42" t="s">
        <v>7566</v>
      </c>
      <c r="D1826" s="43" t="s">
        <v>228</v>
      </c>
      <c r="E1826" s="43" t="s">
        <v>1430</v>
      </c>
      <c r="F1826" s="42" t="s">
        <v>192</v>
      </c>
      <c r="G1826" t="s">
        <v>13196</v>
      </c>
    </row>
    <row r="1827" spans="1:7" x14ac:dyDescent="0.3">
      <c r="A1827" s="42" t="s">
        <v>1975</v>
      </c>
      <c r="B1827" s="42" t="s">
        <v>2043</v>
      </c>
      <c r="C1827" s="42" t="s">
        <v>7567</v>
      </c>
      <c r="D1827" s="43" t="s">
        <v>228</v>
      </c>
      <c r="E1827" s="43" t="s">
        <v>1430</v>
      </c>
      <c r="F1827" s="42" t="s">
        <v>137</v>
      </c>
      <c r="G1827" t="s">
        <v>13199</v>
      </c>
    </row>
    <row r="1828" spans="1:7" x14ac:dyDescent="0.3">
      <c r="A1828" s="42" t="s">
        <v>1975</v>
      </c>
      <c r="B1828" s="42" t="s">
        <v>2044</v>
      </c>
      <c r="C1828" s="42" t="s">
        <v>7568</v>
      </c>
      <c r="D1828" s="43" t="s">
        <v>228</v>
      </c>
      <c r="E1828" s="43" t="s">
        <v>1430</v>
      </c>
      <c r="F1828" s="42" t="s">
        <v>11469</v>
      </c>
      <c r="G1828" t="s">
        <v>13197</v>
      </c>
    </row>
    <row r="1829" spans="1:7" x14ac:dyDescent="0.3">
      <c r="A1829" s="42" t="s">
        <v>1975</v>
      </c>
      <c r="B1829" s="42" t="s">
        <v>2045</v>
      </c>
      <c r="C1829" s="42" t="s">
        <v>7569</v>
      </c>
      <c r="D1829" s="43" t="s">
        <v>228</v>
      </c>
      <c r="E1829" s="43" t="s">
        <v>1430</v>
      </c>
      <c r="F1829" s="42" t="s">
        <v>11469</v>
      </c>
      <c r="G1829" t="s">
        <v>13197</v>
      </c>
    </row>
    <row r="1830" spans="1:7" x14ac:dyDescent="0.3">
      <c r="A1830" s="42" t="s">
        <v>1975</v>
      </c>
      <c r="B1830" s="42" t="s">
        <v>2046</v>
      </c>
      <c r="C1830" s="42" t="s">
        <v>7570</v>
      </c>
      <c r="D1830" s="43" t="s">
        <v>228</v>
      </c>
      <c r="E1830" s="43" t="s">
        <v>1430</v>
      </c>
      <c r="F1830" s="42" t="s">
        <v>11469</v>
      </c>
      <c r="G1830" t="s">
        <v>13197</v>
      </c>
    </row>
    <row r="1831" spans="1:7" x14ac:dyDescent="0.3">
      <c r="A1831" s="42" t="s">
        <v>1975</v>
      </c>
      <c r="B1831" s="42" t="s">
        <v>2047</v>
      </c>
      <c r="C1831" s="42" t="s">
        <v>7571</v>
      </c>
      <c r="D1831" s="43" t="s">
        <v>228</v>
      </c>
      <c r="E1831" s="43" t="s">
        <v>1430</v>
      </c>
      <c r="F1831" s="42" t="s">
        <v>11469</v>
      </c>
      <c r="G1831" t="s">
        <v>13197</v>
      </c>
    </row>
    <row r="1832" spans="1:7" x14ac:dyDescent="0.3">
      <c r="A1832" s="42" t="s">
        <v>1975</v>
      </c>
      <c r="B1832" s="42" t="s">
        <v>2048</v>
      </c>
      <c r="C1832" s="42" t="s">
        <v>7572</v>
      </c>
      <c r="D1832" s="43" t="s">
        <v>228</v>
      </c>
      <c r="E1832" s="43" t="s">
        <v>1430</v>
      </c>
      <c r="F1832" s="42" t="s">
        <v>11469</v>
      </c>
      <c r="G1832" t="s">
        <v>13197</v>
      </c>
    </row>
    <row r="1833" spans="1:7" x14ac:dyDescent="0.3">
      <c r="A1833" s="42" t="s">
        <v>1975</v>
      </c>
      <c r="B1833" s="42" t="s">
        <v>2049</v>
      </c>
      <c r="C1833" s="42" t="s">
        <v>7573</v>
      </c>
      <c r="D1833" s="43" t="s">
        <v>228</v>
      </c>
      <c r="E1833" s="43" t="s">
        <v>1430</v>
      </c>
      <c r="F1833" s="42" t="s">
        <v>192</v>
      </c>
      <c r="G1833" t="s">
        <v>13196</v>
      </c>
    </row>
    <row r="1834" spans="1:7" x14ac:dyDescent="0.3">
      <c r="A1834" s="42" t="s">
        <v>1975</v>
      </c>
      <c r="B1834" s="42" t="s">
        <v>2050</v>
      </c>
      <c r="C1834" s="42" t="s">
        <v>7574</v>
      </c>
      <c r="D1834" s="43" t="s">
        <v>228</v>
      </c>
      <c r="E1834" s="43" t="s">
        <v>1430</v>
      </c>
      <c r="F1834" s="42" t="s">
        <v>11469</v>
      </c>
      <c r="G1834" t="s">
        <v>13197</v>
      </c>
    </row>
    <row r="1835" spans="1:7" x14ac:dyDescent="0.3">
      <c r="A1835" s="42" t="s">
        <v>1975</v>
      </c>
      <c r="B1835" s="42" t="s">
        <v>2051</v>
      </c>
      <c r="C1835" s="42" t="s">
        <v>7575</v>
      </c>
      <c r="D1835" s="43" t="s">
        <v>228</v>
      </c>
      <c r="E1835" s="43" t="s">
        <v>1430</v>
      </c>
      <c r="F1835" s="42" t="s">
        <v>11469</v>
      </c>
      <c r="G1835" t="s">
        <v>13197</v>
      </c>
    </row>
    <row r="1836" spans="1:7" x14ac:dyDescent="0.3">
      <c r="A1836" s="42" t="s">
        <v>1975</v>
      </c>
      <c r="B1836" s="42" t="s">
        <v>2052</v>
      </c>
      <c r="C1836" s="42" t="s">
        <v>7576</v>
      </c>
      <c r="D1836" s="43" t="s">
        <v>228</v>
      </c>
      <c r="E1836" s="43" t="s">
        <v>1430</v>
      </c>
      <c r="F1836" s="42" t="s">
        <v>11469</v>
      </c>
      <c r="G1836" t="s">
        <v>13197</v>
      </c>
    </row>
    <row r="1837" spans="1:7" x14ac:dyDescent="0.3">
      <c r="A1837" s="42" t="s">
        <v>1975</v>
      </c>
      <c r="B1837" s="42" t="s">
        <v>2053</v>
      </c>
      <c r="C1837" s="42" t="s">
        <v>7577</v>
      </c>
      <c r="D1837" s="43" t="s">
        <v>228</v>
      </c>
      <c r="E1837" s="43" t="s">
        <v>1430</v>
      </c>
      <c r="F1837" s="42" t="s">
        <v>11469</v>
      </c>
      <c r="G1837" t="s">
        <v>13197</v>
      </c>
    </row>
    <row r="1838" spans="1:7" x14ac:dyDescent="0.3">
      <c r="A1838" s="42" t="s">
        <v>1975</v>
      </c>
      <c r="B1838" s="42" t="s">
        <v>2054</v>
      </c>
      <c r="C1838" s="42" t="s">
        <v>7578</v>
      </c>
      <c r="D1838" s="43" t="s">
        <v>228</v>
      </c>
      <c r="E1838" s="43" t="s">
        <v>1430</v>
      </c>
      <c r="F1838" s="42" t="s">
        <v>11469</v>
      </c>
      <c r="G1838" t="s">
        <v>13197</v>
      </c>
    </row>
    <row r="1839" spans="1:7" x14ac:dyDescent="0.3">
      <c r="A1839" s="42" t="s">
        <v>2055</v>
      </c>
      <c r="B1839" s="42">
        <v>13</v>
      </c>
      <c r="C1839" s="42" t="s">
        <v>7579</v>
      </c>
      <c r="D1839" s="43" t="s">
        <v>136</v>
      </c>
      <c r="E1839" s="43" t="s">
        <v>92</v>
      </c>
      <c r="F1839" s="42" t="s">
        <v>11469</v>
      </c>
      <c r="G1839" t="s">
        <v>13197</v>
      </c>
    </row>
    <row r="1840" spans="1:7" x14ac:dyDescent="0.3">
      <c r="A1840" s="42" t="s">
        <v>2055</v>
      </c>
      <c r="B1840" s="42" t="s">
        <v>2056</v>
      </c>
      <c r="C1840" s="42" t="s">
        <v>7580</v>
      </c>
      <c r="D1840" s="43" t="s">
        <v>136</v>
      </c>
      <c r="E1840" s="43" t="s">
        <v>92</v>
      </c>
      <c r="F1840" s="42" t="s">
        <v>11469</v>
      </c>
      <c r="G1840" t="s">
        <v>13197</v>
      </c>
    </row>
    <row r="1841" spans="1:7" x14ac:dyDescent="0.3">
      <c r="A1841" s="42" t="s">
        <v>2055</v>
      </c>
      <c r="B1841" s="42" t="s">
        <v>2057</v>
      </c>
      <c r="C1841" s="42" t="s">
        <v>7581</v>
      </c>
      <c r="D1841" s="43" t="s">
        <v>136</v>
      </c>
      <c r="E1841" s="43" t="s">
        <v>92</v>
      </c>
      <c r="F1841" s="42" t="s">
        <v>11469</v>
      </c>
      <c r="G1841" t="s">
        <v>13197</v>
      </c>
    </row>
    <row r="1842" spans="1:7" x14ac:dyDescent="0.3">
      <c r="A1842" s="42" t="s">
        <v>2055</v>
      </c>
      <c r="B1842" s="42" t="s">
        <v>2058</v>
      </c>
      <c r="C1842" s="42" t="s">
        <v>7582</v>
      </c>
      <c r="D1842" s="43" t="s">
        <v>136</v>
      </c>
      <c r="E1842" s="43" t="s">
        <v>92</v>
      </c>
      <c r="F1842" s="42" t="s">
        <v>11469</v>
      </c>
      <c r="G1842" t="s">
        <v>13197</v>
      </c>
    </row>
    <row r="1843" spans="1:7" x14ac:dyDescent="0.3">
      <c r="A1843" s="42" t="s">
        <v>2055</v>
      </c>
      <c r="B1843" s="42" t="s">
        <v>2059</v>
      </c>
      <c r="C1843" s="42" t="s">
        <v>7583</v>
      </c>
      <c r="D1843" s="43" t="s">
        <v>136</v>
      </c>
      <c r="E1843" s="43" t="s">
        <v>92</v>
      </c>
      <c r="F1843" s="42" t="s">
        <v>192</v>
      </c>
      <c r="G1843" t="s">
        <v>13196</v>
      </c>
    </row>
    <row r="1844" spans="1:7" x14ac:dyDescent="0.3">
      <c r="A1844" s="42" t="s">
        <v>2055</v>
      </c>
      <c r="B1844" s="42" t="s">
        <v>2060</v>
      </c>
      <c r="C1844" s="42" t="s">
        <v>7584</v>
      </c>
      <c r="D1844" s="43" t="s">
        <v>136</v>
      </c>
      <c r="E1844" s="43" t="s">
        <v>92</v>
      </c>
      <c r="F1844" s="42" t="s">
        <v>11469</v>
      </c>
      <c r="G1844" t="s">
        <v>13197</v>
      </c>
    </row>
    <row r="1845" spans="1:7" x14ac:dyDescent="0.3">
      <c r="A1845" s="42" t="s">
        <v>2055</v>
      </c>
      <c r="B1845" s="42" t="s">
        <v>2061</v>
      </c>
      <c r="C1845" s="42" t="s">
        <v>7585</v>
      </c>
      <c r="D1845" s="43" t="s">
        <v>136</v>
      </c>
      <c r="E1845" s="43" t="s">
        <v>92</v>
      </c>
      <c r="F1845" s="42" t="s">
        <v>11469</v>
      </c>
      <c r="G1845" t="s">
        <v>13197</v>
      </c>
    </row>
    <row r="1846" spans="1:7" x14ac:dyDescent="0.3">
      <c r="A1846" s="42" t="s">
        <v>2055</v>
      </c>
      <c r="B1846" s="42" t="s">
        <v>2062</v>
      </c>
      <c r="C1846" s="42" t="s">
        <v>7586</v>
      </c>
      <c r="D1846" s="43" t="s">
        <v>136</v>
      </c>
      <c r="E1846" s="43" t="s">
        <v>92</v>
      </c>
      <c r="F1846" s="42" t="s">
        <v>11469</v>
      </c>
      <c r="G1846" t="s">
        <v>13197</v>
      </c>
    </row>
    <row r="1847" spans="1:7" x14ac:dyDescent="0.3">
      <c r="A1847" s="42" t="s">
        <v>2055</v>
      </c>
      <c r="B1847" s="42" t="s">
        <v>2063</v>
      </c>
      <c r="C1847" s="42" t="s">
        <v>7587</v>
      </c>
      <c r="D1847" s="43" t="s">
        <v>136</v>
      </c>
      <c r="E1847" s="43" t="s">
        <v>92</v>
      </c>
      <c r="F1847" s="42" t="s">
        <v>11469</v>
      </c>
      <c r="G1847" t="s">
        <v>13197</v>
      </c>
    </row>
    <row r="1848" spans="1:7" x14ac:dyDescent="0.3">
      <c r="A1848" s="42" t="s">
        <v>2055</v>
      </c>
      <c r="B1848" s="42" t="s">
        <v>2064</v>
      </c>
      <c r="C1848" s="42" t="s">
        <v>7588</v>
      </c>
      <c r="D1848" s="43" t="s">
        <v>136</v>
      </c>
      <c r="E1848" s="43" t="s">
        <v>92</v>
      </c>
      <c r="F1848" s="42" t="s">
        <v>11469</v>
      </c>
      <c r="G1848" t="s">
        <v>13197</v>
      </c>
    </row>
    <row r="1849" spans="1:7" x14ac:dyDescent="0.3">
      <c r="A1849" s="42" t="s">
        <v>2055</v>
      </c>
      <c r="B1849" s="42" t="s">
        <v>2065</v>
      </c>
      <c r="C1849" s="42" t="s">
        <v>7589</v>
      </c>
      <c r="D1849" s="43" t="s">
        <v>136</v>
      </c>
      <c r="E1849" s="43" t="s">
        <v>92</v>
      </c>
      <c r="F1849" s="42" t="s">
        <v>11469</v>
      </c>
      <c r="G1849" t="s">
        <v>13197</v>
      </c>
    </row>
    <row r="1850" spans="1:7" x14ac:dyDescent="0.3">
      <c r="A1850" s="42" t="s">
        <v>2055</v>
      </c>
      <c r="B1850" s="42" t="s">
        <v>2066</v>
      </c>
      <c r="C1850" s="42" t="s">
        <v>7590</v>
      </c>
      <c r="D1850" s="43" t="s">
        <v>136</v>
      </c>
      <c r="E1850" s="43" t="s">
        <v>92</v>
      </c>
      <c r="F1850" s="42" t="s">
        <v>11469</v>
      </c>
      <c r="G1850" t="s">
        <v>13197</v>
      </c>
    </row>
    <row r="1851" spans="1:7" x14ac:dyDescent="0.3">
      <c r="A1851" s="42" t="s">
        <v>2055</v>
      </c>
      <c r="B1851" s="42" t="s">
        <v>2067</v>
      </c>
      <c r="C1851" s="42" t="s">
        <v>7591</v>
      </c>
      <c r="D1851" s="43" t="s">
        <v>136</v>
      </c>
      <c r="E1851" s="43" t="s">
        <v>92</v>
      </c>
      <c r="F1851" s="42" t="s">
        <v>11469</v>
      </c>
      <c r="G1851" t="s">
        <v>13197</v>
      </c>
    </row>
    <row r="1852" spans="1:7" x14ac:dyDescent="0.3">
      <c r="A1852" s="42" t="s">
        <v>2055</v>
      </c>
      <c r="B1852" s="42" t="s">
        <v>2068</v>
      </c>
      <c r="C1852" s="42" t="s">
        <v>7592</v>
      </c>
      <c r="D1852" s="43" t="s">
        <v>136</v>
      </c>
      <c r="E1852" s="43" t="s">
        <v>92</v>
      </c>
      <c r="F1852" s="42" t="s">
        <v>11469</v>
      </c>
      <c r="G1852" t="s">
        <v>13197</v>
      </c>
    </row>
    <row r="1853" spans="1:7" x14ac:dyDescent="0.3">
      <c r="A1853" s="42" t="s">
        <v>2055</v>
      </c>
      <c r="B1853" s="42" t="s">
        <v>2069</v>
      </c>
      <c r="C1853" s="42" t="s">
        <v>7593</v>
      </c>
      <c r="D1853" s="43" t="s">
        <v>136</v>
      </c>
      <c r="E1853" s="43" t="s">
        <v>92</v>
      </c>
      <c r="F1853" s="42" t="s">
        <v>11469</v>
      </c>
      <c r="G1853" t="s">
        <v>13197</v>
      </c>
    </row>
    <row r="1854" spans="1:7" x14ac:dyDescent="0.3">
      <c r="A1854" s="42" t="s">
        <v>2055</v>
      </c>
      <c r="B1854" s="42" t="s">
        <v>2070</v>
      </c>
      <c r="C1854" s="42" t="s">
        <v>7594</v>
      </c>
      <c r="D1854" s="43" t="s">
        <v>136</v>
      </c>
      <c r="E1854" s="43" t="s">
        <v>92</v>
      </c>
      <c r="F1854" s="42" t="s">
        <v>11469</v>
      </c>
      <c r="G1854" t="s">
        <v>13197</v>
      </c>
    </row>
    <row r="1855" spans="1:7" x14ac:dyDescent="0.3">
      <c r="A1855" s="42" t="s">
        <v>2055</v>
      </c>
      <c r="B1855" s="42" t="s">
        <v>2071</v>
      </c>
      <c r="C1855" s="42" t="s">
        <v>7595</v>
      </c>
      <c r="D1855" s="43" t="s">
        <v>136</v>
      </c>
      <c r="E1855" s="43" t="s">
        <v>92</v>
      </c>
      <c r="F1855" s="42" t="s">
        <v>11469</v>
      </c>
      <c r="G1855" t="s">
        <v>13197</v>
      </c>
    </row>
    <row r="1856" spans="1:7" x14ac:dyDescent="0.3">
      <c r="A1856" s="42" t="s">
        <v>2055</v>
      </c>
      <c r="B1856" s="42" t="s">
        <v>2072</v>
      </c>
      <c r="C1856" s="42" t="s">
        <v>7596</v>
      </c>
      <c r="D1856" s="43" t="s">
        <v>136</v>
      </c>
      <c r="E1856" s="43" t="s">
        <v>92</v>
      </c>
      <c r="F1856" s="42" t="s">
        <v>11469</v>
      </c>
      <c r="G1856" t="s">
        <v>13197</v>
      </c>
    </row>
    <row r="1857" spans="1:7" x14ac:dyDescent="0.3">
      <c r="A1857" s="42" t="s">
        <v>2055</v>
      </c>
      <c r="B1857" s="42" t="s">
        <v>2073</v>
      </c>
      <c r="C1857" s="42" t="s">
        <v>7597</v>
      </c>
      <c r="D1857" s="43" t="s">
        <v>136</v>
      </c>
      <c r="E1857" s="43" t="s">
        <v>92</v>
      </c>
      <c r="F1857" s="42" t="s">
        <v>11469</v>
      </c>
      <c r="G1857" t="s">
        <v>13197</v>
      </c>
    </row>
    <row r="1858" spans="1:7" x14ac:dyDescent="0.3">
      <c r="A1858" s="42" t="s">
        <v>2055</v>
      </c>
      <c r="B1858" s="42" t="s">
        <v>2074</v>
      </c>
      <c r="C1858" s="42" t="s">
        <v>7598</v>
      </c>
      <c r="D1858" s="43" t="s">
        <v>136</v>
      </c>
      <c r="E1858" s="43" t="s">
        <v>92</v>
      </c>
      <c r="F1858" s="42" t="s">
        <v>11469</v>
      </c>
      <c r="G1858" t="s">
        <v>13197</v>
      </c>
    </row>
    <row r="1859" spans="1:7" x14ac:dyDescent="0.3">
      <c r="A1859" s="42" t="s">
        <v>2055</v>
      </c>
      <c r="B1859" s="42" t="s">
        <v>2075</v>
      </c>
      <c r="C1859" s="42" t="s">
        <v>7599</v>
      </c>
      <c r="D1859" s="43" t="s">
        <v>136</v>
      </c>
      <c r="E1859" s="43" t="s">
        <v>92</v>
      </c>
      <c r="F1859" s="42" t="s">
        <v>11469</v>
      </c>
      <c r="G1859" t="s">
        <v>13197</v>
      </c>
    </row>
    <row r="1860" spans="1:7" x14ac:dyDescent="0.3">
      <c r="A1860" s="42" t="s">
        <v>2055</v>
      </c>
      <c r="B1860" s="42" t="s">
        <v>2076</v>
      </c>
      <c r="C1860" s="42" t="s">
        <v>7600</v>
      </c>
      <c r="D1860" s="43" t="s">
        <v>136</v>
      </c>
      <c r="E1860" s="43" t="s">
        <v>92</v>
      </c>
      <c r="F1860" s="42" t="s">
        <v>11469</v>
      </c>
      <c r="G1860" t="s">
        <v>13197</v>
      </c>
    </row>
    <row r="1861" spans="1:7" x14ac:dyDescent="0.3">
      <c r="A1861" s="42" t="s">
        <v>2055</v>
      </c>
      <c r="B1861" s="42" t="s">
        <v>2077</v>
      </c>
      <c r="C1861" s="42" t="s">
        <v>7601</v>
      </c>
      <c r="D1861" s="43" t="s">
        <v>136</v>
      </c>
      <c r="E1861" s="43" t="s">
        <v>92</v>
      </c>
      <c r="F1861" s="42" t="s">
        <v>11469</v>
      </c>
      <c r="G1861" t="s">
        <v>13197</v>
      </c>
    </row>
    <row r="1862" spans="1:7" x14ac:dyDescent="0.3">
      <c r="A1862" s="42" t="s">
        <v>2055</v>
      </c>
      <c r="B1862" s="42" t="s">
        <v>2078</v>
      </c>
      <c r="C1862" s="42" t="s">
        <v>7602</v>
      </c>
      <c r="D1862" s="43" t="s">
        <v>136</v>
      </c>
      <c r="E1862" s="43" t="s">
        <v>92</v>
      </c>
      <c r="F1862" s="42" t="s">
        <v>11469</v>
      </c>
      <c r="G1862" t="s">
        <v>13197</v>
      </c>
    </row>
    <row r="1863" spans="1:7" x14ac:dyDescent="0.3">
      <c r="A1863" s="42" t="s">
        <v>2055</v>
      </c>
      <c r="B1863" s="42" t="s">
        <v>2079</v>
      </c>
      <c r="C1863" s="42" t="s">
        <v>7603</v>
      </c>
      <c r="D1863" s="43" t="s">
        <v>136</v>
      </c>
      <c r="E1863" s="43" t="s">
        <v>92</v>
      </c>
      <c r="F1863" s="42" t="s">
        <v>192</v>
      </c>
      <c r="G1863" t="s">
        <v>13196</v>
      </c>
    </row>
    <row r="1864" spans="1:7" x14ac:dyDescent="0.3">
      <c r="A1864" s="42" t="s">
        <v>2055</v>
      </c>
      <c r="B1864" s="42" t="s">
        <v>2080</v>
      </c>
      <c r="C1864" s="42" t="s">
        <v>7604</v>
      </c>
      <c r="D1864" s="43" t="s">
        <v>136</v>
      </c>
      <c r="E1864" s="43" t="s">
        <v>92</v>
      </c>
      <c r="F1864" s="42" t="s">
        <v>11469</v>
      </c>
      <c r="G1864" t="s">
        <v>13197</v>
      </c>
    </row>
    <row r="1865" spans="1:7" x14ac:dyDescent="0.3">
      <c r="A1865" s="42" t="s">
        <v>2055</v>
      </c>
      <c r="B1865" s="42" t="s">
        <v>2081</v>
      </c>
      <c r="C1865" s="42" t="s">
        <v>7605</v>
      </c>
      <c r="D1865" s="43" t="s">
        <v>136</v>
      </c>
      <c r="E1865" s="43" t="s">
        <v>92</v>
      </c>
      <c r="F1865" s="42" t="s">
        <v>11469</v>
      </c>
      <c r="G1865" t="s">
        <v>13197</v>
      </c>
    </row>
    <row r="1866" spans="1:7" x14ac:dyDescent="0.3">
      <c r="A1866" s="42" t="s">
        <v>2055</v>
      </c>
      <c r="B1866" s="42" t="s">
        <v>2082</v>
      </c>
      <c r="C1866" s="42" t="s">
        <v>7606</v>
      </c>
      <c r="D1866" s="43" t="s">
        <v>136</v>
      </c>
      <c r="E1866" s="43" t="s">
        <v>92</v>
      </c>
      <c r="F1866" s="42" t="s">
        <v>11469</v>
      </c>
      <c r="G1866" t="s">
        <v>13197</v>
      </c>
    </row>
    <row r="1867" spans="1:7" x14ac:dyDescent="0.3">
      <c r="A1867" s="42" t="s">
        <v>2055</v>
      </c>
      <c r="B1867" s="42" t="s">
        <v>2083</v>
      </c>
      <c r="C1867" s="42" t="s">
        <v>7607</v>
      </c>
      <c r="D1867" s="43" t="s">
        <v>136</v>
      </c>
      <c r="E1867" s="43" t="s">
        <v>92</v>
      </c>
      <c r="F1867" s="42" t="s">
        <v>11469</v>
      </c>
      <c r="G1867" t="s">
        <v>13197</v>
      </c>
    </row>
    <row r="1868" spans="1:7" x14ac:dyDescent="0.3">
      <c r="A1868" s="42" t="s">
        <v>2055</v>
      </c>
      <c r="B1868" s="42" t="s">
        <v>2084</v>
      </c>
      <c r="C1868" s="42" t="s">
        <v>7608</v>
      </c>
      <c r="D1868" s="43" t="s">
        <v>136</v>
      </c>
      <c r="E1868" s="43" t="s">
        <v>92</v>
      </c>
      <c r="F1868" s="42" t="s">
        <v>11469</v>
      </c>
      <c r="G1868" t="s">
        <v>13197</v>
      </c>
    </row>
    <row r="1869" spans="1:7" x14ac:dyDescent="0.3">
      <c r="A1869" s="42" t="s">
        <v>2055</v>
      </c>
      <c r="B1869" s="42" t="s">
        <v>2085</v>
      </c>
      <c r="C1869" s="42" t="s">
        <v>7609</v>
      </c>
      <c r="D1869" s="43" t="s">
        <v>136</v>
      </c>
      <c r="E1869" s="43" t="s">
        <v>92</v>
      </c>
      <c r="F1869" s="42" t="s">
        <v>11469</v>
      </c>
      <c r="G1869" t="s">
        <v>13197</v>
      </c>
    </row>
    <row r="1870" spans="1:7" x14ac:dyDescent="0.3">
      <c r="A1870" s="42" t="s">
        <v>2055</v>
      </c>
      <c r="B1870" s="42" t="s">
        <v>2086</v>
      </c>
      <c r="C1870" s="42" t="s">
        <v>7610</v>
      </c>
      <c r="D1870" s="43" t="s">
        <v>136</v>
      </c>
      <c r="E1870" s="43" t="s">
        <v>92</v>
      </c>
      <c r="F1870" s="42" t="s">
        <v>192</v>
      </c>
      <c r="G1870" t="s">
        <v>13196</v>
      </c>
    </row>
    <row r="1871" spans="1:7" x14ac:dyDescent="0.3">
      <c r="A1871" s="42" t="s">
        <v>2055</v>
      </c>
      <c r="B1871" s="42" t="s">
        <v>2087</v>
      </c>
      <c r="C1871" s="42" t="s">
        <v>7611</v>
      </c>
      <c r="D1871" s="43" t="s">
        <v>136</v>
      </c>
      <c r="E1871" s="43" t="s">
        <v>92</v>
      </c>
      <c r="F1871" s="42" t="s">
        <v>11469</v>
      </c>
      <c r="G1871" t="s">
        <v>13197</v>
      </c>
    </row>
    <row r="1872" spans="1:7" x14ac:dyDescent="0.3">
      <c r="A1872" s="42" t="s">
        <v>2055</v>
      </c>
      <c r="B1872" s="42" t="s">
        <v>2088</v>
      </c>
      <c r="C1872" s="42" t="s">
        <v>7612</v>
      </c>
      <c r="D1872" s="43" t="s">
        <v>136</v>
      </c>
      <c r="E1872" s="43" t="s">
        <v>92</v>
      </c>
      <c r="F1872" s="42" t="s">
        <v>11469</v>
      </c>
      <c r="G1872" t="s">
        <v>13197</v>
      </c>
    </row>
    <row r="1873" spans="1:7" x14ac:dyDescent="0.3">
      <c r="A1873" s="42" t="s">
        <v>2055</v>
      </c>
      <c r="B1873" s="42" t="s">
        <v>2089</v>
      </c>
      <c r="C1873" s="42" t="s">
        <v>7613</v>
      </c>
      <c r="D1873" s="43" t="s">
        <v>136</v>
      </c>
      <c r="E1873" s="43" t="s">
        <v>92</v>
      </c>
      <c r="F1873" s="42" t="s">
        <v>192</v>
      </c>
      <c r="G1873" t="s">
        <v>13196</v>
      </c>
    </row>
    <row r="1874" spans="1:7" x14ac:dyDescent="0.3">
      <c r="A1874" s="42" t="s">
        <v>2055</v>
      </c>
      <c r="B1874" s="42" t="s">
        <v>2090</v>
      </c>
      <c r="C1874" s="42" t="s">
        <v>7614</v>
      </c>
      <c r="D1874" s="43" t="s">
        <v>136</v>
      </c>
      <c r="E1874" s="43" t="s">
        <v>92</v>
      </c>
      <c r="F1874" s="42" t="s">
        <v>11469</v>
      </c>
      <c r="G1874" t="s">
        <v>13197</v>
      </c>
    </row>
    <row r="1875" spans="1:7" x14ac:dyDescent="0.3">
      <c r="A1875" s="42" t="s">
        <v>2055</v>
      </c>
      <c r="B1875" s="42" t="s">
        <v>2091</v>
      </c>
      <c r="C1875" s="42" t="s">
        <v>7615</v>
      </c>
      <c r="D1875" s="43" t="s">
        <v>136</v>
      </c>
      <c r="E1875" s="43" t="s">
        <v>92</v>
      </c>
      <c r="F1875" s="42" t="s">
        <v>11469</v>
      </c>
      <c r="G1875" t="s">
        <v>13197</v>
      </c>
    </row>
    <row r="1876" spans="1:7" x14ac:dyDescent="0.3">
      <c r="A1876" s="42" t="s">
        <v>2055</v>
      </c>
      <c r="B1876" s="42" t="s">
        <v>2092</v>
      </c>
      <c r="C1876" s="42" t="s">
        <v>7616</v>
      </c>
      <c r="D1876" s="43" t="s">
        <v>136</v>
      </c>
      <c r="E1876" s="43" t="s">
        <v>92</v>
      </c>
      <c r="F1876" s="42" t="s">
        <v>11469</v>
      </c>
      <c r="G1876" t="s">
        <v>13197</v>
      </c>
    </row>
    <row r="1877" spans="1:7" x14ac:dyDescent="0.3">
      <c r="A1877" s="42" t="s">
        <v>2055</v>
      </c>
      <c r="B1877" s="42" t="s">
        <v>2093</v>
      </c>
      <c r="C1877" s="42" t="s">
        <v>7617</v>
      </c>
      <c r="D1877" s="43" t="s">
        <v>136</v>
      </c>
      <c r="E1877" s="43" t="s">
        <v>92</v>
      </c>
      <c r="F1877" s="42" t="s">
        <v>11469</v>
      </c>
      <c r="G1877" t="s">
        <v>13197</v>
      </c>
    </row>
    <row r="1878" spans="1:7" x14ac:dyDescent="0.3">
      <c r="A1878" s="42" t="s">
        <v>2055</v>
      </c>
      <c r="B1878" s="42" t="s">
        <v>2094</v>
      </c>
      <c r="C1878" s="42" t="s">
        <v>7618</v>
      </c>
      <c r="D1878" s="43" t="s">
        <v>136</v>
      </c>
      <c r="E1878" s="43" t="s">
        <v>92</v>
      </c>
      <c r="F1878" s="42" t="s">
        <v>192</v>
      </c>
      <c r="G1878" t="s">
        <v>13196</v>
      </c>
    </row>
    <row r="1879" spans="1:7" x14ac:dyDescent="0.3">
      <c r="A1879" s="42" t="s">
        <v>2055</v>
      </c>
      <c r="B1879" s="42" t="s">
        <v>2095</v>
      </c>
      <c r="C1879" s="42" t="s">
        <v>7619</v>
      </c>
      <c r="D1879" s="43" t="s">
        <v>136</v>
      </c>
      <c r="E1879" s="43" t="s">
        <v>92</v>
      </c>
      <c r="F1879" s="42" t="s">
        <v>11469</v>
      </c>
      <c r="G1879" t="s">
        <v>13197</v>
      </c>
    </row>
    <row r="1880" spans="1:7" x14ac:dyDescent="0.3">
      <c r="A1880" s="42" t="s">
        <v>2055</v>
      </c>
      <c r="B1880" s="42" t="s">
        <v>2096</v>
      </c>
      <c r="C1880" s="42" t="s">
        <v>7620</v>
      </c>
      <c r="D1880" s="43" t="s">
        <v>136</v>
      </c>
      <c r="E1880" s="43" t="s">
        <v>92</v>
      </c>
      <c r="F1880" s="42" t="s">
        <v>11469</v>
      </c>
      <c r="G1880" t="s">
        <v>13197</v>
      </c>
    </row>
    <row r="1881" spans="1:7" x14ac:dyDescent="0.3">
      <c r="A1881" s="42" t="s">
        <v>2055</v>
      </c>
      <c r="B1881" s="42" t="s">
        <v>2097</v>
      </c>
      <c r="C1881" s="42" t="s">
        <v>7621</v>
      </c>
      <c r="D1881" s="43" t="s">
        <v>136</v>
      </c>
      <c r="E1881" s="43" t="s">
        <v>92</v>
      </c>
      <c r="F1881" s="42" t="s">
        <v>11469</v>
      </c>
      <c r="G1881" t="s">
        <v>13197</v>
      </c>
    </row>
    <row r="1882" spans="1:7" x14ac:dyDescent="0.3">
      <c r="A1882" s="42" t="s">
        <v>2055</v>
      </c>
      <c r="B1882" s="42" t="s">
        <v>2098</v>
      </c>
      <c r="C1882" s="42" t="s">
        <v>7622</v>
      </c>
      <c r="D1882" s="43" t="s">
        <v>136</v>
      </c>
      <c r="E1882" s="43" t="s">
        <v>92</v>
      </c>
      <c r="F1882" s="42" t="s">
        <v>11469</v>
      </c>
      <c r="G1882" t="s">
        <v>13197</v>
      </c>
    </row>
    <row r="1883" spans="1:7" x14ac:dyDescent="0.3">
      <c r="A1883" s="42" t="s">
        <v>2055</v>
      </c>
      <c r="B1883" s="42" t="s">
        <v>2099</v>
      </c>
      <c r="C1883" s="42" t="s">
        <v>7623</v>
      </c>
      <c r="D1883" s="43" t="s">
        <v>136</v>
      </c>
      <c r="E1883" s="43" t="s">
        <v>92</v>
      </c>
      <c r="F1883" s="42" t="s">
        <v>192</v>
      </c>
      <c r="G1883" t="s">
        <v>13196</v>
      </c>
    </row>
    <row r="1884" spans="1:7" x14ac:dyDescent="0.3">
      <c r="A1884" s="42" t="s">
        <v>2055</v>
      </c>
      <c r="B1884" s="42" t="s">
        <v>2100</v>
      </c>
      <c r="C1884" s="42" t="s">
        <v>7624</v>
      </c>
      <c r="D1884" s="43" t="s">
        <v>136</v>
      </c>
      <c r="E1884" s="43" t="s">
        <v>92</v>
      </c>
      <c r="F1884" s="42" t="s">
        <v>11469</v>
      </c>
      <c r="G1884" t="s">
        <v>13197</v>
      </c>
    </row>
    <row r="1885" spans="1:7" x14ac:dyDescent="0.3">
      <c r="A1885" s="42" t="s">
        <v>2055</v>
      </c>
      <c r="B1885" s="42" t="s">
        <v>2101</v>
      </c>
      <c r="C1885" s="42" t="s">
        <v>7625</v>
      </c>
      <c r="D1885" s="43" t="s">
        <v>136</v>
      </c>
      <c r="E1885" s="43" t="s">
        <v>92</v>
      </c>
      <c r="F1885" s="42" t="s">
        <v>11469</v>
      </c>
      <c r="G1885" t="s">
        <v>13197</v>
      </c>
    </row>
    <row r="1886" spans="1:7" x14ac:dyDescent="0.3">
      <c r="A1886" s="42" t="s">
        <v>2055</v>
      </c>
      <c r="B1886" s="42" t="s">
        <v>2102</v>
      </c>
      <c r="C1886" s="42" t="s">
        <v>7626</v>
      </c>
      <c r="D1886" s="43" t="s">
        <v>136</v>
      </c>
      <c r="E1886" s="43" t="s">
        <v>92</v>
      </c>
      <c r="F1886" s="42" t="s">
        <v>11469</v>
      </c>
      <c r="G1886" t="s">
        <v>13197</v>
      </c>
    </row>
    <row r="1887" spans="1:7" x14ac:dyDescent="0.3">
      <c r="A1887" s="42" t="s">
        <v>2055</v>
      </c>
      <c r="B1887" s="42" t="s">
        <v>2103</v>
      </c>
      <c r="C1887" s="42" t="s">
        <v>7627</v>
      </c>
      <c r="D1887" s="43" t="s">
        <v>136</v>
      </c>
      <c r="E1887" s="43" t="s">
        <v>92</v>
      </c>
      <c r="F1887" s="42" t="s">
        <v>11469</v>
      </c>
      <c r="G1887" t="s">
        <v>13197</v>
      </c>
    </row>
    <row r="1888" spans="1:7" x14ac:dyDescent="0.3">
      <c r="A1888" s="42" t="s">
        <v>2055</v>
      </c>
      <c r="B1888" s="42" t="s">
        <v>2104</v>
      </c>
      <c r="C1888" s="42" t="s">
        <v>7628</v>
      </c>
      <c r="D1888" s="43" t="s">
        <v>136</v>
      </c>
      <c r="E1888" s="43" t="s">
        <v>92</v>
      </c>
      <c r="F1888" s="42" t="s">
        <v>11469</v>
      </c>
      <c r="G1888" t="s">
        <v>13197</v>
      </c>
    </row>
    <row r="1889" spans="1:7" x14ac:dyDescent="0.3">
      <c r="A1889" s="42" t="s">
        <v>2055</v>
      </c>
      <c r="B1889" s="42" t="s">
        <v>2105</v>
      </c>
      <c r="C1889" s="42" t="s">
        <v>7629</v>
      </c>
      <c r="D1889" s="43" t="s">
        <v>136</v>
      </c>
      <c r="E1889" s="43" t="s">
        <v>92</v>
      </c>
      <c r="F1889" s="42" t="s">
        <v>11469</v>
      </c>
      <c r="G1889" t="s">
        <v>13197</v>
      </c>
    </row>
    <row r="1890" spans="1:7" x14ac:dyDescent="0.3">
      <c r="A1890" s="42" t="s">
        <v>2055</v>
      </c>
      <c r="B1890" s="42" t="s">
        <v>2106</v>
      </c>
      <c r="C1890" s="42" t="s">
        <v>7630</v>
      </c>
      <c r="D1890" s="43" t="s">
        <v>136</v>
      </c>
      <c r="E1890" s="43" t="s">
        <v>92</v>
      </c>
      <c r="F1890" s="42" t="s">
        <v>192</v>
      </c>
      <c r="G1890" t="s">
        <v>13196</v>
      </c>
    </row>
    <row r="1891" spans="1:7" x14ac:dyDescent="0.3">
      <c r="A1891" s="42" t="s">
        <v>2055</v>
      </c>
      <c r="B1891" s="42" t="s">
        <v>2107</v>
      </c>
      <c r="C1891" s="42" t="s">
        <v>7631</v>
      </c>
      <c r="D1891" s="43" t="s">
        <v>136</v>
      </c>
      <c r="E1891" s="43" t="s">
        <v>92</v>
      </c>
      <c r="F1891" s="42" t="s">
        <v>11469</v>
      </c>
      <c r="G1891" t="s">
        <v>13197</v>
      </c>
    </row>
    <row r="1892" spans="1:7" x14ac:dyDescent="0.3">
      <c r="A1892" s="42" t="s">
        <v>2055</v>
      </c>
      <c r="B1892" s="42" t="s">
        <v>2108</v>
      </c>
      <c r="C1892" s="42" t="s">
        <v>7632</v>
      </c>
      <c r="D1892" s="43" t="s">
        <v>136</v>
      </c>
      <c r="E1892" s="43" t="s">
        <v>92</v>
      </c>
      <c r="F1892" s="42" t="s">
        <v>11469</v>
      </c>
      <c r="G1892" t="s">
        <v>13197</v>
      </c>
    </row>
    <row r="1893" spans="1:7" x14ac:dyDescent="0.3">
      <c r="A1893" s="42" t="s">
        <v>2055</v>
      </c>
      <c r="B1893" s="42" t="s">
        <v>2109</v>
      </c>
      <c r="C1893" s="42" t="s">
        <v>7633</v>
      </c>
      <c r="D1893" s="43" t="s">
        <v>136</v>
      </c>
      <c r="E1893" s="43" t="s">
        <v>92</v>
      </c>
      <c r="F1893" s="42" t="s">
        <v>11469</v>
      </c>
      <c r="G1893" t="s">
        <v>13197</v>
      </c>
    </row>
    <row r="1894" spans="1:7" x14ac:dyDescent="0.3">
      <c r="A1894" s="42" t="s">
        <v>2055</v>
      </c>
      <c r="B1894" s="42" t="s">
        <v>2110</v>
      </c>
      <c r="C1894" s="42" t="s">
        <v>7634</v>
      </c>
      <c r="D1894" s="43" t="s">
        <v>136</v>
      </c>
      <c r="E1894" s="43" t="s">
        <v>92</v>
      </c>
      <c r="F1894" s="42" t="s">
        <v>11469</v>
      </c>
      <c r="G1894" t="s">
        <v>13197</v>
      </c>
    </row>
    <row r="1895" spans="1:7" x14ac:dyDescent="0.3">
      <c r="A1895" s="42" t="s">
        <v>2055</v>
      </c>
      <c r="B1895" s="42" t="s">
        <v>2111</v>
      </c>
      <c r="C1895" s="42" t="s">
        <v>7635</v>
      </c>
      <c r="D1895" s="43" t="s">
        <v>136</v>
      </c>
      <c r="E1895" s="43" t="s">
        <v>92</v>
      </c>
      <c r="F1895" s="42" t="s">
        <v>192</v>
      </c>
      <c r="G1895" t="s">
        <v>13196</v>
      </c>
    </row>
    <row r="1896" spans="1:7" x14ac:dyDescent="0.3">
      <c r="A1896" s="42" t="s">
        <v>2055</v>
      </c>
      <c r="B1896" s="42" t="s">
        <v>2112</v>
      </c>
      <c r="C1896" s="42" t="s">
        <v>7636</v>
      </c>
      <c r="D1896" s="43" t="s">
        <v>136</v>
      </c>
      <c r="E1896" s="43" t="s">
        <v>92</v>
      </c>
      <c r="F1896" s="42" t="s">
        <v>11469</v>
      </c>
      <c r="G1896" t="s">
        <v>13197</v>
      </c>
    </row>
    <row r="1897" spans="1:7" x14ac:dyDescent="0.3">
      <c r="A1897" s="42" t="s">
        <v>2055</v>
      </c>
      <c r="B1897" s="42" t="s">
        <v>2113</v>
      </c>
      <c r="C1897" s="42" t="s">
        <v>7637</v>
      </c>
      <c r="D1897" s="43" t="s">
        <v>136</v>
      </c>
      <c r="E1897" s="43" t="s">
        <v>92</v>
      </c>
      <c r="F1897" s="42" t="s">
        <v>11469</v>
      </c>
      <c r="G1897" t="s">
        <v>13197</v>
      </c>
    </row>
    <row r="1898" spans="1:7" x14ac:dyDescent="0.3">
      <c r="A1898" s="42" t="s">
        <v>2055</v>
      </c>
      <c r="B1898" s="42" t="s">
        <v>2114</v>
      </c>
      <c r="C1898" s="42" t="s">
        <v>7638</v>
      </c>
      <c r="D1898" s="43" t="s">
        <v>136</v>
      </c>
      <c r="E1898" s="43" t="s">
        <v>92</v>
      </c>
      <c r="F1898" s="42" t="s">
        <v>11469</v>
      </c>
      <c r="G1898" t="s">
        <v>13197</v>
      </c>
    </row>
    <row r="1899" spans="1:7" x14ac:dyDescent="0.3">
      <c r="A1899" s="42" t="s">
        <v>2055</v>
      </c>
      <c r="B1899" s="42" t="s">
        <v>2115</v>
      </c>
      <c r="C1899" s="42" t="s">
        <v>7639</v>
      </c>
      <c r="D1899" s="43" t="s">
        <v>136</v>
      </c>
      <c r="E1899" s="43" t="s">
        <v>92</v>
      </c>
      <c r="F1899" s="42" t="s">
        <v>192</v>
      </c>
      <c r="G1899" t="s">
        <v>13196</v>
      </c>
    </row>
    <row r="1900" spans="1:7" x14ac:dyDescent="0.3">
      <c r="A1900" s="42" t="s">
        <v>2055</v>
      </c>
      <c r="B1900" s="42" t="s">
        <v>2116</v>
      </c>
      <c r="C1900" s="42" t="s">
        <v>7640</v>
      </c>
      <c r="D1900" s="43" t="s">
        <v>136</v>
      </c>
      <c r="E1900" s="43" t="s">
        <v>92</v>
      </c>
      <c r="F1900" s="42" t="s">
        <v>11469</v>
      </c>
      <c r="G1900" t="s">
        <v>13197</v>
      </c>
    </row>
    <row r="1901" spans="1:7" x14ac:dyDescent="0.3">
      <c r="A1901" s="42" t="s">
        <v>2055</v>
      </c>
      <c r="B1901" s="42" t="s">
        <v>2117</v>
      </c>
      <c r="C1901" s="42" t="s">
        <v>7641</v>
      </c>
      <c r="D1901" s="43" t="s">
        <v>136</v>
      </c>
      <c r="E1901" s="43" t="s">
        <v>92</v>
      </c>
      <c r="F1901" s="42" t="s">
        <v>192</v>
      </c>
      <c r="G1901" t="s">
        <v>13196</v>
      </c>
    </row>
    <row r="1902" spans="1:7" x14ac:dyDescent="0.3">
      <c r="A1902" s="42" t="s">
        <v>2055</v>
      </c>
      <c r="B1902" s="42" t="s">
        <v>2118</v>
      </c>
      <c r="C1902" s="42" t="s">
        <v>7642</v>
      </c>
      <c r="D1902" s="43" t="s">
        <v>136</v>
      </c>
      <c r="E1902" s="43" t="s">
        <v>92</v>
      </c>
      <c r="F1902" s="42" t="s">
        <v>11469</v>
      </c>
      <c r="G1902" t="s">
        <v>13197</v>
      </c>
    </row>
    <row r="1903" spans="1:7" x14ac:dyDescent="0.3">
      <c r="A1903" s="42" t="s">
        <v>2055</v>
      </c>
      <c r="B1903" s="42" t="s">
        <v>2119</v>
      </c>
      <c r="C1903" s="42" t="s">
        <v>7643</v>
      </c>
      <c r="D1903" s="43" t="s">
        <v>136</v>
      </c>
      <c r="E1903" s="43" t="s">
        <v>92</v>
      </c>
      <c r="F1903" s="42" t="s">
        <v>11469</v>
      </c>
      <c r="G1903" t="s">
        <v>13197</v>
      </c>
    </row>
    <row r="1904" spans="1:7" x14ac:dyDescent="0.3">
      <c r="A1904" s="42" t="s">
        <v>2055</v>
      </c>
      <c r="B1904" s="42" t="s">
        <v>2120</v>
      </c>
      <c r="C1904" s="42" t="s">
        <v>7644</v>
      </c>
      <c r="D1904" s="43" t="s">
        <v>136</v>
      </c>
      <c r="E1904" s="43" t="s">
        <v>92</v>
      </c>
      <c r="F1904" s="42" t="s">
        <v>11469</v>
      </c>
      <c r="G1904" t="s">
        <v>13197</v>
      </c>
    </row>
    <row r="1905" spans="1:7" x14ac:dyDescent="0.3">
      <c r="A1905" s="42" t="s">
        <v>2055</v>
      </c>
      <c r="B1905" s="42" t="s">
        <v>2121</v>
      </c>
      <c r="C1905" s="42" t="s">
        <v>7645</v>
      </c>
      <c r="D1905" s="43" t="s">
        <v>136</v>
      </c>
      <c r="E1905" s="43" t="s">
        <v>92</v>
      </c>
      <c r="F1905" s="42" t="s">
        <v>11469</v>
      </c>
      <c r="G1905" t="s">
        <v>13197</v>
      </c>
    </row>
    <row r="1906" spans="1:7" x14ac:dyDescent="0.3">
      <c r="A1906" s="42" t="s">
        <v>2055</v>
      </c>
      <c r="B1906" s="42" t="s">
        <v>2122</v>
      </c>
      <c r="C1906" s="42" t="s">
        <v>7646</v>
      </c>
      <c r="D1906" s="43" t="s">
        <v>136</v>
      </c>
      <c r="E1906" s="43" t="s">
        <v>92</v>
      </c>
      <c r="F1906" s="42" t="s">
        <v>192</v>
      </c>
      <c r="G1906" t="s">
        <v>13196</v>
      </c>
    </row>
    <row r="1907" spans="1:7" x14ac:dyDescent="0.3">
      <c r="A1907" s="42" t="s">
        <v>2055</v>
      </c>
      <c r="B1907" s="42" t="s">
        <v>2123</v>
      </c>
      <c r="C1907" s="42" t="s">
        <v>7647</v>
      </c>
      <c r="D1907" s="43" t="s">
        <v>136</v>
      </c>
      <c r="E1907" s="43" t="s">
        <v>92</v>
      </c>
      <c r="F1907" s="42" t="s">
        <v>11469</v>
      </c>
      <c r="G1907" t="s">
        <v>13197</v>
      </c>
    </row>
    <row r="1908" spans="1:7" x14ac:dyDescent="0.3">
      <c r="A1908" s="42" t="s">
        <v>2055</v>
      </c>
      <c r="B1908" s="42" t="s">
        <v>2124</v>
      </c>
      <c r="C1908" s="42" t="s">
        <v>7648</v>
      </c>
      <c r="D1908" s="43" t="s">
        <v>136</v>
      </c>
      <c r="E1908" s="43" t="s">
        <v>92</v>
      </c>
      <c r="F1908" s="42" t="s">
        <v>192</v>
      </c>
      <c r="G1908" t="s">
        <v>13196</v>
      </c>
    </row>
    <row r="1909" spans="1:7" x14ac:dyDescent="0.3">
      <c r="A1909" s="42" t="s">
        <v>2055</v>
      </c>
      <c r="B1909" s="42" t="s">
        <v>2125</v>
      </c>
      <c r="C1909" s="42" t="s">
        <v>7649</v>
      </c>
      <c r="D1909" s="43" t="s">
        <v>136</v>
      </c>
      <c r="E1909" s="43" t="s">
        <v>92</v>
      </c>
      <c r="F1909" s="42" t="s">
        <v>11469</v>
      </c>
      <c r="G1909" t="s">
        <v>13197</v>
      </c>
    </row>
    <row r="1910" spans="1:7" x14ac:dyDescent="0.3">
      <c r="A1910" s="42" t="s">
        <v>2055</v>
      </c>
      <c r="B1910" s="42" t="s">
        <v>2126</v>
      </c>
      <c r="C1910" s="42" t="s">
        <v>7650</v>
      </c>
      <c r="D1910" s="43" t="s">
        <v>136</v>
      </c>
      <c r="E1910" s="43" t="s">
        <v>92</v>
      </c>
      <c r="F1910" s="42" t="s">
        <v>11469</v>
      </c>
      <c r="G1910" t="s">
        <v>13197</v>
      </c>
    </row>
    <row r="1911" spans="1:7" x14ac:dyDescent="0.3">
      <c r="A1911" s="42" t="s">
        <v>2055</v>
      </c>
      <c r="B1911" s="42" t="s">
        <v>2127</v>
      </c>
      <c r="C1911" s="42" t="s">
        <v>7651</v>
      </c>
      <c r="D1911" s="43" t="s">
        <v>136</v>
      </c>
      <c r="E1911" s="43" t="s">
        <v>92</v>
      </c>
      <c r="F1911" s="42" t="s">
        <v>11469</v>
      </c>
      <c r="G1911" t="s">
        <v>13197</v>
      </c>
    </row>
    <row r="1912" spans="1:7" x14ac:dyDescent="0.3">
      <c r="A1912" s="42" t="s">
        <v>2055</v>
      </c>
      <c r="B1912" s="42" t="s">
        <v>2128</v>
      </c>
      <c r="C1912" s="42" t="s">
        <v>7652</v>
      </c>
      <c r="D1912" s="43" t="s">
        <v>136</v>
      </c>
      <c r="E1912" s="43" t="s">
        <v>92</v>
      </c>
      <c r="F1912" s="42" t="s">
        <v>11469</v>
      </c>
      <c r="G1912" t="s">
        <v>13197</v>
      </c>
    </row>
    <row r="1913" spans="1:7" x14ac:dyDescent="0.3">
      <c r="A1913" s="42" t="s">
        <v>2055</v>
      </c>
      <c r="B1913" s="42" t="s">
        <v>1236</v>
      </c>
      <c r="C1913" s="42" t="s">
        <v>7653</v>
      </c>
      <c r="D1913" s="43" t="s">
        <v>136</v>
      </c>
      <c r="E1913" s="43" t="s">
        <v>92</v>
      </c>
      <c r="F1913" s="42" t="s">
        <v>192</v>
      </c>
      <c r="G1913" t="s">
        <v>13196</v>
      </c>
    </row>
    <row r="1914" spans="1:7" x14ac:dyDescent="0.3">
      <c r="A1914" s="42" t="s">
        <v>2055</v>
      </c>
      <c r="B1914" s="42" t="s">
        <v>2129</v>
      </c>
      <c r="C1914" s="42" t="s">
        <v>7654</v>
      </c>
      <c r="D1914" s="43" t="s">
        <v>136</v>
      </c>
      <c r="E1914" s="43" t="s">
        <v>92</v>
      </c>
      <c r="F1914" s="42" t="s">
        <v>11469</v>
      </c>
      <c r="G1914" t="s">
        <v>13197</v>
      </c>
    </row>
    <row r="1915" spans="1:7" x14ac:dyDescent="0.3">
      <c r="A1915" s="42" t="s">
        <v>2055</v>
      </c>
      <c r="B1915" s="42" t="s">
        <v>2130</v>
      </c>
      <c r="C1915" s="42" t="s">
        <v>7655</v>
      </c>
      <c r="D1915" s="43" t="s">
        <v>136</v>
      </c>
      <c r="E1915" s="43" t="s">
        <v>92</v>
      </c>
      <c r="F1915" s="42" t="s">
        <v>11469</v>
      </c>
      <c r="G1915" t="s">
        <v>13200</v>
      </c>
    </row>
    <row r="1916" spans="1:7" x14ac:dyDescent="0.3">
      <c r="A1916" s="42" t="s">
        <v>2055</v>
      </c>
      <c r="B1916" s="42" t="s">
        <v>2131</v>
      </c>
      <c r="C1916" s="42" t="s">
        <v>7656</v>
      </c>
      <c r="D1916" s="43" t="s">
        <v>136</v>
      </c>
      <c r="E1916" s="43" t="s">
        <v>92</v>
      </c>
      <c r="F1916" s="42" t="s">
        <v>192</v>
      </c>
      <c r="G1916" t="s">
        <v>13196</v>
      </c>
    </row>
    <row r="1917" spans="1:7" x14ac:dyDescent="0.3">
      <c r="A1917" s="42" t="s">
        <v>2055</v>
      </c>
      <c r="B1917" s="42" t="s">
        <v>2132</v>
      </c>
      <c r="C1917" s="42" t="s">
        <v>7657</v>
      </c>
      <c r="D1917" s="43" t="s">
        <v>136</v>
      </c>
      <c r="E1917" s="43" t="s">
        <v>92</v>
      </c>
      <c r="F1917" s="42" t="s">
        <v>11469</v>
      </c>
      <c r="G1917" t="s">
        <v>13197</v>
      </c>
    </row>
    <row r="1918" spans="1:7" x14ac:dyDescent="0.3">
      <c r="A1918" s="42" t="s">
        <v>2055</v>
      </c>
      <c r="B1918" s="42" t="s">
        <v>2133</v>
      </c>
      <c r="C1918" s="42" t="s">
        <v>7658</v>
      </c>
      <c r="D1918" s="43" t="s">
        <v>136</v>
      </c>
      <c r="E1918" s="43" t="s">
        <v>92</v>
      </c>
      <c r="F1918" s="42" t="s">
        <v>11469</v>
      </c>
      <c r="G1918" t="s">
        <v>13197</v>
      </c>
    </row>
    <row r="1919" spans="1:7" x14ac:dyDescent="0.3">
      <c r="A1919" s="42" t="s">
        <v>2055</v>
      </c>
      <c r="B1919" s="42" t="s">
        <v>2134</v>
      </c>
      <c r="C1919" s="42" t="s">
        <v>7659</v>
      </c>
      <c r="D1919" s="43" t="s">
        <v>136</v>
      </c>
      <c r="E1919" s="43" t="s">
        <v>92</v>
      </c>
      <c r="F1919" s="42" t="s">
        <v>11469</v>
      </c>
      <c r="G1919" t="s">
        <v>13197</v>
      </c>
    </row>
    <row r="1920" spans="1:7" x14ac:dyDescent="0.3">
      <c r="A1920" s="42" t="s">
        <v>2055</v>
      </c>
      <c r="B1920" s="42" t="s">
        <v>2135</v>
      </c>
      <c r="C1920" s="42" t="s">
        <v>7660</v>
      </c>
      <c r="D1920" s="43" t="s">
        <v>136</v>
      </c>
      <c r="E1920" s="43" t="s">
        <v>92</v>
      </c>
      <c r="F1920" s="42" t="s">
        <v>11469</v>
      </c>
      <c r="G1920" t="s">
        <v>13197</v>
      </c>
    </row>
    <row r="1921" spans="1:7" x14ac:dyDescent="0.3">
      <c r="A1921" s="42" t="s">
        <v>2055</v>
      </c>
      <c r="B1921" s="42" t="s">
        <v>2136</v>
      </c>
      <c r="C1921" s="42" t="s">
        <v>7661</v>
      </c>
      <c r="D1921" s="43" t="s">
        <v>136</v>
      </c>
      <c r="E1921" s="43" t="s">
        <v>92</v>
      </c>
      <c r="F1921" s="42" t="s">
        <v>11469</v>
      </c>
      <c r="G1921" t="s">
        <v>13197</v>
      </c>
    </row>
    <row r="1922" spans="1:7" x14ac:dyDescent="0.3">
      <c r="A1922" s="42" t="s">
        <v>2055</v>
      </c>
      <c r="B1922" s="42" t="s">
        <v>2137</v>
      </c>
      <c r="C1922" s="42" t="s">
        <v>7662</v>
      </c>
      <c r="D1922" s="43" t="s">
        <v>136</v>
      </c>
      <c r="E1922" s="43" t="s">
        <v>92</v>
      </c>
      <c r="F1922" s="42" t="s">
        <v>11469</v>
      </c>
      <c r="G1922" t="s">
        <v>13197</v>
      </c>
    </row>
    <row r="1923" spans="1:7" x14ac:dyDescent="0.3">
      <c r="A1923" s="42" t="s">
        <v>2055</v>
      </c>
      <c r="B1923" s="42" t="s">
        <v>2138</v>
      </c>
      <c r="C1923" s="42" t="s">
        <v>7663</v>
      </c>
      <c r="D1923" s="43" t="s">
        <v>136</v>
      </c>
      <c r="E1923" s="43" t="s">
        <v>92</v>
      </c>
      <c r="F1923" s="42" t="s">
        <v>11469</v>
      </c>
      <c r="G1923" t="s">
        <v>13197</v>
      </c>
    </row>
    <row r="1924" spans="1:7" x14ac:dyDescent="0.3">
      <c r="A1924" s="42" t="s">
        <v>2055</v>
      </c>
      <c r="B1924" s="42" t="s">
        <v>2139</v>
      </c>
      <c r="C1924" s="42" t="s">
        <v>7664</v>
      </c>
      <c r="D1924" s="43" t="s">
        <v>136</v>
      </c>
      <c r="E1924" s="43" t="s">
        <v>92</v>
      </c>
      <c r="F1924" s="42" t="s">
        <v>11469</v>
      </c>
      <c r="G1924" t="s">
        <v>13197</v>
      </c>
    </row>
    <row r="1925" spans="1:7" x14ac:dyDescent="0.3">
      <c r="A1925" s="42" t="s">
        <v>2055</v>
      </c>
      <c r="B1925" s="42" t="s">
        <v>2140</v>
      </c>
      <c r="C1925" s="42" t="s">
        <v>7665</v>
      </c>
      <c r="D1925" s="43" t="s">
        <v>136</v>
      </c>
      <c r="E1925" s="43" t="s">
        <v>92</v>
      </c>
      <c r="F1925" s="42" t="s">
        <v>11469</v>
      </c>
      <c r="G1925" t="s">
        <v>13197</v>
      </c>
    </row>
    <row r="1926" spans="1:7" x14ac:dyDescent="0.3">
      <c r="A1926" s="42" t="s">
        <v>2055</v>
      </c>
      <c r="B1926" s="42" t="s">
        <v>2141</v>
      </c>
      <c r="C1926" s="42" t="s">
        <v>7666</v>
      </c>
      <c r="D1926" s="43" t="s">
        <v>136</v>
      </c>
      <c r="E1926" s="43" t="s">
        <v>92</v>
      </c>
      <c r="F1926" s="42" t="s">
        <v>11469</v>
      </c>
      <c r="G1926" t="s">
        <v>13197</v>
      </c>
    </row>
    <row r="1927" spans="1:7" x14ac:dyDescent="0.3">
      <c r="A1927" s="42" t="s">
        <v>2055</v>
      </c>
      <c r="B1927" s="42" t="s">
        <v>2142</v>
      </c>
      <c r="C1927" s="42" t="s">
        <v>7667</v>
      </c>
      <c r="D1927" s="43" t="s">
        <v>136</v>
      </c>
      <c r="E1927" s="43" t="s">
        <v>92</v>
      </c>
      <c r="F1927" s="42" t="s">
        <v>11469</v>
      </c>
      <c r="G1927" t="s">
        <v>13197</v>
      </c>
    </row>
    <row r="1928" spans="1:7" x14ac:dyDescent="0.3">
      <c r="A1928" s="42" t="s">
        <v>2055</v>
      </c>
      <c r="B1928" s="42" t="s">
        <v>2143</v>
      </c>
      <c r="C1928" s="42" t="s">
        <v>7668</v>
      </c>
      <c r="D1928" s="43" t="s">
        <v>136</v>
      </c>
      <c r="E1928" s="43" t="s">
        <v>92</v>
      </c>
      <c r="F1928" s="42" t="s">
        <v>11469</v>
      </c>
      <c r="G1928" t="s">
        <v>13197</v>
      </c>
    </row>
    <row r="1929" spans="1:7" x14ac:dyDescent="0.3">
      <c r="A1929" s="42" t="s">
        <v>2055</v>
      </c>
      <c r="B1929" s="42" t="s">
        <v>2144</v>
      </c>
      <c r="C1929" s="42" t="s">
        <v>7669</v>
      </c>
      <c r="D1929" s="43" t="s">
        <v>136</v>
      </c>
      <c r="E1929" s="43" t="s">
        <v>92</v>
      </c>
      <c r="F1929" s="42" t="s">
        <v>11469</v>
      </c>
      <c r="G1929" t="s">
        <v>13197</v>
      </c>
    </row>
    <row r="1930" spans="1:7" x14ac:dyDescent="0.3">
      <c r="A1930" s="42" t="s">
        <v>2055</v>
      </c>
      <c r="B1930" s="42" t="s">
        <v>2145</v>
      </c>
      <c r="C1930" s="42" t="s">
        <v>7670</v>
      </c>
      <c r="D1930" s="43" t="s">
        <v>136</v>
      </c>
      <c r="E1930" s="43" t="s">
        <v>92</v>
      </c>
      <c r="F1930" s="42" t="s">
        <v>192</v>
      </c>
      <c r="G1930" t="s">
        <v>13196</v>
      </c>
    </row>
    <row r="1931" spans="1:7" x14ac:dyDescent="0.3">
      <c r="A1931" s="42" t="s">
        <v>2055</v>
      </c>
      <c r="B1931" s="42" t="s">
        <v>2146</v>
      </c>
      <c r="C1931" s="42" t="s">
        <v>7671</v>
      </c>
      <c r="D1931" s="43" t="s">
        <v>136</v>
      </c>
      <c r="E1931" s="43" t="s">
        <v>92</v>
      </c>
      <c r="F1931" s="42" t="s">
        <v>11469</v>
      </c>
      <c r="G1931" t="s">
        <v>13197</v>
      </c>
    </row>
    <row r="1932" spans="1:7" x14ac:dyDescent="0.3">
      <c r="A1932" s="42" t="s">
        <v>2055</v>
      </c>
      <c r="B1932" s="42" t="s">
        <v>2147</v>
      </c>
      <c r="C1932" s="42" t="s">
        <v>7672</v>
      </c>
      <c r="D1932" s="43" t="s">
        <v>136</v>
      </c>
      <c r="E1932" s="43" t="s">
        <v>92</v>
      </c>
      <c r="F1932" s="42" t="s">
        <v>11469</v>
      </c>
      <c r="G1932" t="s">
        <v>13197</v>
      </c>
    </row>
    <row r="1933" spans="1:7" x14ac:dyDescent="0.3">
      <c r="A1933" s="42" t="s">
        <v>2055</v>
      </c>
      <c r="B1933" s="42" t="s">
        <v>2148</v>
      </c>
      <c r="C1933" s="42" t="s">
        <v>7673</v>
      </c>
      <c r="D1933" s="43" t="s">
        <v>136</v>
      </c>
      <c r="E1933" s="43" t="s">
        <v>92</v>
      </c>
      <c r="F1933" s="42" t="s">
        <v>192</v>
      </c>
      <c r="G1933" t="s">
        <v>13196</v>
      </c>
    </row>
    <row r="1934" spans="1:7" x14ac:dyDescent="0.3">
      <c r="A1934" s="42" t="s">
        <v>2055</v>
      </c>
      <c r="B1934" s="42" t="s">
        <v>2149</v>
      </c>
      <c r="C1934" s="42" t="s">
        <v>7674</v>
      </c>
      <c r="D1934" s="43" t="s">
        <v>136</v>
      </c>
      <c r="E1934" s="43" t="s">
        <v>92</v>
      </c>
      <c r="F1934" s="42" t="s">
        <v>11469</v>
      </c>
      <c r="G1934" t="s">
        <v>13197</v>
      </c>
    </row>
    <row r="1935" spans="1:7" x14ac:dyDescent="0.3">
      <c r="A1935" s="42" t="s">
        <v>2055</v>
      </c>
      <c r="B1935" s="42" t="s">
        <v>2150</v>
      </c>
      <c r="C1935" s="42" t="s">
        <v>7675</v>
      </c>
      <c r="D1935" s="43" t="s">
        <v>136</v>
      </c>
      <c r="E1935" s="43" t="s">
        <v>92</v>
      </c>
      <c r="F1935" s="42" t="s">
        <v>11469</v>
      </c>
      <c r="G1935" t="s">
        <v>13197</v>
      </c>
    </row>
    <row r="1936" spans="1:7" x14ac:dyDescent="0.3">
      <c r="A1936" s="42" t="s">
        <v>2055</v>
      </c>
      <c r="B1936" s="42" t="s">
        <v>2151</v>
      </c>
      <c r="C1936" s="42" t="s">
        <v>7676</v>
      </c>
      <c r="D1936" s="43" t="s">
        <v>136</v>
      </c>
      <c r="E1936" s="43" t="s">
        <v>92</v>
      </c>
      <c r="F1936" s="42" t="s">
        <v>11469</v>
      </c>
      <c r="G1936" t="s">
        <v>13197</v>
      </c>
    </row>
    <row r="1937" spans="1:7" x14ac:dyDescent="0.3">
      <c r="A1937" s="42" t="s">
        <v>2055</v>
      </c>
      <c r="B1937" s="42" t="s">
        <v>2152</v>
      </c>
      <c r="C1937" s="42" t="s">
        <v>7677</v>
      </c>
      <c r="D1937" s="43" t="s">
        <v>136</v>
      </c>
      <c r="E1937" s="43" t="s">
        <v>92</v>
      </c>
      <c r="F1937" s="42" t="s">
        <v>11469</v>
      </c>
      <c r="G1937" t="s">
        <v>13197</v>
      </c>
    </row>
    <row r="1938" spans="1:7" x14ac:dyDescent="0.3">
      <c r="A1938" s="42" t="s">
        <v>2055</v>
      </c>
      <c r="B1938" s="42" t="s">
        <v>2153</v>
      </c>
      <c r="C1938" s="42" t="s">
        <v>7678</v>
      </c>
      <c r="D1938" s="43" t="s">
        <v>136</v>
      </c>
      <c r="E1938" s="43" t="s">
        <v>92</v>
      </c>
      <c r="F1938" s="42" t="s">
        <v>11469</v>
      </c>
      <c r="G1938" t="s">
        <v>13197</v>
      </c>
    </row>
    <row r="1939" spans="1:7" x14ac:dyDescent="0.3">
      <c r="A1939" s="42" t="s">
        <v>2055</v>
      </c>
      <c r="B1939" s="42" t="s">
        <v>2154</v>
      </c>
      <c r="C1939" s="42" t="s">
        <v>7679</v>
      </c>
      <c r="D1939" s="43" t="s">
        <v>136</v>
      </c>
      <c r="E1939" s="43" t="s">
        <v>92</v>
      </c>
      <c r="F1939" s="42" t="s">
        <v>11469</v>
      </c>
      <c r="G1939" t="s">
        <v>13197</v>
      </c>
    </row>
    <row r="1940" spans="1:7" x14ac:dyDescent="0.3">
      <c r="A1940" s="42" t="s">
        <v>2055</v>
      </c>
      <c r="B1940" s="42" t="s">
        <v>2155</v>
      </c>
      <c r="C1940" s="42" t="s">
        <v>7680</v>
      </c>
      <c r="D1940" s="43" t="s">
        <v>136</v>
      </c>
      <c r="E1940" s="43" t="s">
        <v>92</v>
      </c>
      <c r="F1940" s="42" t="s">
        <v>192</v>
      </c>
      <c r="G1940" t="s">
        <v>13196</v>
      </c>
    </row>
    <row r="1941" spans="1:7" x14ac:dyDescent="0.3">
      <c r="A1941" s="42" t="s">
        <v>2055</v>
      </c>
      <c r="B1941" s="42" t="s">
        <v>2156</v>
      </c>
      <c r="C1941" s="42" t="s">
        <v>7681</v>
      </c>
      <c r="D1941" s="43" t="s">
        <v>136</v>
      </c>
      <c r="E1941" s="43" t="s">
        <v>92</v>
      </c>
      <c r="F1941" s="42" t="s">
        <v>11469</v>
      </c>
      <c r="G1941" t="s">
        <v>13197</v>
      </c>
    </row>
    <row r="1942" spans="1:7" x14ac:dyDescent="0.3">
      <c r="A1942" s="42" t="s">
        <v>2055</v>
      </c>
      <c r="B1942" s="42" t="s">
        <v>2157</v>
      </c>
      <c r="C1942" s="42" t="s">
        <v>7682</v>
      </c>
      <c r="D1942" s="43" t="s">
        <v>136</v>
      </c>
      <c r="E1942" s="43" t="s">
        <v>92</v>
      </c>
      <c r="F1942" s="42" t="s">
        <v>192</v>
      </c>
      <c r="G1942" t="s">
        <v>13196</v>
      </c>
    </row>
    <row r="1943" spans="1:7" x14ac:dyDescent="0.3">
      <c r="A1943" s="42" t="s">
        <v>2055</v>
      </c>
      <c r="B1943" s="42" t="s">
        <v>2158</v>
      </c>
      <c r="C1943" s="42" t="s">
        <v>7683</v>
      </c>
      <c r="D1943" s="43" t="s">
        <v>136</v>
      </c>
      <c r="E1943" s="43" t="s">
        <v>92</v>
      </c>
      <c r="F1943" s="42" t="s">
        <v>11469</v>
      </c>
      <c r="G1943" t="s">
        <v>13197</v>
      </c>
    </row>
    <row r="1944" spans="1:7" x14ac:dyDescent="0.3">
      <c r="A1944" s="42" t="s">
        <v>2055</v>
      </c>
      <c r="B1944" s="42" t="s">
        <v>2159</v>
      </c>
      <c r="C1944" s="42" t="s">
        <v>7684</v>
      </c>
      <c r="D1944" s="43" t="s">
        <v>136</v>
      </c>
      <c r="E1944" s="43" t="s">
        <v>92</v>
      </c>
      <c r="F1944" s="42" t="s">
        <v>11469</v>
      </c>
      <c r="G1944" t="s">
        <v>13197</v>
      </c>
    </row>
    <row r="1945" spans="1:7" x14ac:dyDescent="0.3">
      <c r="A1945" s="42" t="s">
        <v>2055</v>
      </c>
      <c r="B1945" s="42" t="s">
        <v>2160</v>
      </c>
      <c r="C1945" s="42" t="s">
        <v>7685</v>
      </c>
      <c r="D1945" s="43" t="s">
        <v>136</v>
      </c>
      <c r="E1945" s="43" t="s">
        <v>92</v>
      </c>
      <c r="F1945" s="42" t="s">
        <v>11469</v>
      </c>
      <c r="G1945" t="s">
        <v>13197</v>
      </c>
    </row>
    <row r="1946" spans="1:7" x14ac:dyDescent="0.3">
      <c r="A1946" s="42" t="s">
        <v>2055</v>
      </c>
      <c r="B1946" s="42" t="s">
        <v>2161</v>
      </c>
      <c r="C1946" s="42" t="s">
        <v>7686</v>
      </c>
      <c r="D1946" s="43" t="s">
        <v>136</v>
      </c>
      <c r="E1946" s="43" t="s">
        <v>92</v>
      </c>
      <c r="F1946" s="42" t="s">
        <v>11469</v>
      </c>
      <c r="G1946" t="s">
        <v>13197</v>
      </c>
    </row>
    <row r="1947" spans="1:7" x14ac:dyDescent="0.3">
      <c r="A1947" s="42" t="s">
        <v>2055</v>
      </c>
      <c r="B1947" s="42" t="s">
        <v>2162</v>
      </c>
      <c r="C1947" s="42" t="s">
        <v>7687</v>
      </c>
      <c r="D1947" s="43" t="s">
        <v>136</v>
      </c>
      <c r="E1947" s="43" t="s">
        <v>92</v>
      </c>
      <c r="F1947" s="42" t="s">
        <v>11469</v>
      </c>
      <c r="G1947" t="s">
        <v>13197</v>
      </c>
    </row>
    <row r="1948" spans="1:7" x14ac:dyDescent="0.3">
      <c r="A1948" s="42" t="s">
        <v>2055</v>
      </c>
      <c r="B1948" s="42" t="s">
        <v>2163</v>
      </c>
      <c r="C1948" s="42" t="s">
        <v>7688</v>
      </c>
      <c r="D1948" s="43" t="s">
        <v>136</v>
      </c>
      <c r="E1948" s="43" t="s">
        <v>92</v>
      </c>
      <c r="F1948" s="42" t="s">
        <v>11469</v>
      </c>
      <c r="G1948" t="s">
        <v>13197</v>
      </c>
    </row>
    <row r="1949" spans="1:7" x14ac:dyDescent="0.3">
      <c r="A1949" s="42" t="s">
        <v>2055</v>
      </c>
      <c r="B1949" s="42" t="s">
        <v>2164</v>
      </c>
      <c r="C1949" s="42" t="s">
        <v>7689</v>
      </c>
      <c r="D1949" s="43" t="s">
        <v>136</v>
      </c>
      <c r="E1949" s="43" t="s">
        <v>92</v>
      </c>
      <c r="F1949" s="42" t="s">
        <v>11469</v>
      </c>
      <c r="G1949" t="s">
        <v>13197</v>
      </c>
    </row>
    <row r="1950" spans="1:7" x14ac:dyDescent="0.3">
      <c r="A1950" s="42" t="s">
        <v>2055</v>
      </c>
      <c r="B1950" s="42" t="s">
        <v>2165</v>
      </c>
      <c r="C1950" s="42" t="s">
        <v>7690</v>
      </c>
      <c r="D1950" s="43" t="s">
        <v>136</v>
      </c>
      <c r="E1950" s="43" t="s">
        <v>92</v>
      </c>
      <c r="F1950" s="42" t="s">
        <v>11469</v>
      </c>
      <c r="G1950" t="s">
        <v>13197</v>
      </c>
    </row>
    <row r="1951" spans="1:7" x14ac:dyDescent="0.3">
      <c r="A1951" s="42" t="s">
        <v>2055</v>
      </c>
      <c r="B1951" s="42" t="s">
        <v>2166</v>
      </c>
      <c r="C1951" s="42" t="s">
        <v>7691</v>
      </c>
      <c r="D1951" s="43" t="s">
        <v>136</v>
      </c>
      <c r="E1951" s="43" t="s">
        <v>92</v>
      </c>
      <c r="F1951" s="42" t="s">
        <v>11469</v>
      </c>
      <c r="G1951" t="s">
        <v>13197</v>
      </c>
    </row>
    <row r="1952" spans="1:7" x14ac:dyDescent="0.3">
      <c r="A1952" s="42" t="s">
        <v>2055</v>
      </c>
      <c r="B1952" s="42" t="s">
        <v>2167</v>
      </c>
      <c r="C1952" s="42" t="s">
        <v>7692</v>
      </c>
      <c r="D1952" s="43" t="s">
        <v>136</v>
      </c>
      <c r="E1952" s="43" t="s">
        <v>92</v>
      </c>
      <c r="F1952" s="42" t="s">
        <v>11469</v>
      </c>
      <c r="G1952" t="s">
        <v>13197</v>
      </c>
    </row>
    <row r="1953" spans="1:7" x14ac:dyDescent="0.3">
      <c r="A1953" s="42" t="s">
        <v>2055</v>
      </c>
      <c r="B1953" s="42" t="s">
        <v>2168</v>
      </c>
      <c r="C1953" s="42" t="s">
        <v>7693</v>
      </c>
      <c r="D1953" s="43" t="s">
        <v>136</v>
      </c>
      <c r="E1953" s="43" t="s">
        <v>92</v>
      </c>
      <c r="F1953" s="42" t="s">
        <v>11469</v>
      </c>
      <c r="G1953" t="s">
        <v>13197</v>
      </c>
    </row>
    <row r="1954" spans="1:7" x14ac:dyDescent="0.3">
      <c r="A1954" s="42" t="s">
        <v>2055</v>
      </c>
      <c r="B1954" s="42" t="s">
        <v>2169</v>
      </c>
      <c r="C1954" s="42" t="s">
        <v>7694</v>
      </c>
      <c r="D1954" s="43" t="s">
        <v>136</v>
      </c>
      <c r="E1954" s="43" t="s">
        <v>92</v>
      </c>
      <c r="F1954" s="42" t="s">
        <v>11469</v>
      </c>
      <c r="G1954" t="s">
        <v>13197</v>
      </c>
    </row>
    <row r="1955" spans="1:7" x14ac:dyDescent="0.3">
      <c r="A1955" s="42" t="s">
        <v>2055</v>
      </c>
      <c r="B1955" s="42" t="s">
        <v>2170</v>
      </c>
      <c r="C1955" s="42" t="s">
        <v>7695</v>
      </c>
      <c r="D1955" s="43" t="s">
        <v>136</v>
      </c>
      <c r="E1955" s="43" t="s">
        <v>92</v>
      </c>
      <c r="F1955" s="42" t="s">
        <v>11469</v>
      </c>
      <c r="G1955" t="s">
        <v>13197</v>
      </c>
    </row>
    <row r="1956" spans="1:7" x14ac:dyDescent="0.3">
      <c r="A1956" s="42" t="s">
        <v>2055</v>
      </c>
      <c r="B1956" s="42" t="s">
        <v>2171</v>
      </c>
      <c r="C1956" s="42" t="s">
        <v>7696</v>
      </c>
      <c r="D1956" s="43" t="s">
        <v>136</v>
      </c>
      <c r="E1956" s="43" t="s">
        <v>92</v>
      </c>
      <c r="F1956" s="42" t="s">
        <v>11469</v>
      </c>
      <c r="G1956" t="s">
        <v>13197</v>
      </c>
    </row>
    <row r="1957" spans="1:7" x14ac:dyDescent="0.3">
      <c r="A1957" s="42" t="s">
        <v>2055</v>
      </c>
      <c r="B1957" s="42" t="s">
        <v>2172</v>
      </c>
      <c r="C1957" s="42" t="s">
        <v>7697</v>
      </c>
      <c r="D1957" s="43" t="s">
        <v>136</v>
      </c>
      <c r="E1957" s="43" t="s">
        <v>92</v>
      </c>
      <c r="F1957" s="42" t="s">
        <v>11469</v>
      </c>
      <c r="G1957" t="s">
        <v>13197</v>
      </c>
    </row>
    <row r="1958" spans="1:7" x14ac:dyDescent="0.3">
      <c r="A1958" s="42" t="s">
        <v>2055</v>
      </c>
      <c r="B1958" s="42" t="s">
        <v>2173</v>
      </c>
      <c r="C1958" s="42" t="s">
        <v>7698</v>
      </c>
      <c r="D1958" s="43" t="s">
        <v>136</v>
      </c>
      <c r="E1958" s="43" t="s">
        <v>92</v>
      </c>
      <c r="F1958" s="42" t="s">
        <v>11469</v>
      </c>
      <c r="G1958" t="s">
        <v>13197</v>
      </c>
    </row>
    <row r="1959" spans="1:7" x14ac:dyDescent="0.3">
      <c r="A1959" s="42" t="s">
        <v>2055</v>
      </c>
      <c r="B1959" s="42" t="s">
        <v>2174</v>
      </c>
      <c r="C1959" s="42" t="s">
        <v>7699</v>
      </c>
      <c r="D1959" s="43" t="s">
        <v>136</v>
      </c>
      <c r="E1959" s="43" t="s">
        <v>92</v>
      </c>
      <c r="F1959" s="42" t="s">
        <v>11469</v>
      </c>
      <c r="G1959" t="s">
        <v>13197</v>
      </c>
    </row>
    <row r="1960" spans="1:7" x14ac:dyDescent="0.3">
      <c r="A1960" s="42" t="s">
        <v>2055</v>
      </c>
      <c r="B1960" s="42" t="s">
        <v>2175</v>
      </c>
      <c r="C1960" s="42" t="s">
        <v>7700</v>
      </c>
      <c r="D1960" s="43" t="s">
        <v>136</v>
      </c>
      <c r="E1960" s="43" t="s">
        <v>92</v>
      </c>
      <c r="F1960" s="42" t="s">
        <v>11469</v>
      </c>
      <c r="G1960" t="s">
        <v>13197</v>
      </c>
    </row>
    <row r="1961" spans="1:7" x14ac:dyDescent="0.3">
      <c r="A1961" s="42" t="s">
        <v>2055</v>
      </c>
      <c r="B1961" s="42" t="s">
        <v>2176</v>
      </c>
      <c r="C1961" s="42" t="s">
        <v>7701</v>
      </c>
      <c r="D1961" s="43" t="s">
        <v>136</v>
      </c>
      <c r="E1961" s="43" t="s">
        <v>92</v>
      </c>
      <c r="F1961" s="42" t="s">
        <v>11469</v>
      </c>
      <c r="G1961" t="s">
        <v>13197</v>
      </c>
    </row>
    <row r="1962" spans="1:7" x14ac:dyDescent="0.3">
      <c r="A1962" s="42" t="s">
        <v>2055</v>
      </c>
      <c r="B1962" s="42" t="s">
        <v>2177</v>
      </c>
      <c r="C1962" s="42" t="s">
        <v>7702</v>
      </c>
      <c r="D1962" s="43" t="s">
        <v>136</v>
      </c>
      <c r="E1962" s="43" t="s">
        <v>92</v>
      </c>
      <c r="F1962" s="42" t="s">
        <v>11469</v>
      </c>
      <c r="G1962" t="s">
        <v>13197</v>
      </c>
    </row>
    <row r="1963" spans="1:7" x14ac:dyDescent="0.3">
      <c r="A1963" s="42" t="s">
        <v>2055</v>
      </c>
      <c r="B1963" s="42" t="s">
        <v>2178</v>
      </c>
      <c r="C1963" s="42" t="s">
        <v>7703</v>
      </c>
      <c r="D1963" s="43" t="s">
        <v>136</v>
      </c>
      <c r="E1963" s="43" t="s">
        <v>92</v>
      </c>
      <c r="F1963" s="42" t="s">
        <v>11469</v>
      </c>
      <c r="G1963" t="s">
        <v>13197</v>
      </c>
    </row>
    <row r="1964" spans="1:7" x14ac:dyDescent="0.3">
      <c r="A1964" s="42" t="s">
        <v>2055</v>
      </c>
      <c r="B1964" s="42" t="s">
        <v>2179</v>
      </c>
      <c r="C1964" s="42" t="s">
        <v>7704</v>
      </c>
      <c r="D1964" s="43" t="s">
        <v>136</v>
      </c>
      <c r="E1964" s="43" t="s">
        <v>92</v>
      </c>
      <c r="F1964" s="42" t="s">
        <v>11469</v>
      </c>
      <c r="G1964" t="s">
        <v>13197</v>
      </c>
    </row>
    <row r="1965" spans="1:7" x14ac:dyDescent="0.3">
      <c r="A1965" s="42" t="s">
        <v>2055</v>
      </c>
      <c r="B1965" s="42" t="s">
        <v>2180</v>
      </c>
      <c r="C1965" s="42" t="s">
        <v>7705</v>
      </c>
      <c r="D1965" s="43" t="s">
        <v>136</v>
      </c>
      <c r="E1965" s="43" t="s">
        <v>92</v>
      </c>
      <c r="F1965" s="42" t="s">
        <v>11469</v>
      </c>
      <c r="G1965" t="s">
        <v>13197</v>
      </c>
    </row>
    <row r="1966" spans="1:7" x14ac:dyDescent="0.3">
      <c r="A1966" s="42" t="s">
        <v>2055</v>
      </c>
      <c r="B1966" s="42" t="s">
        <v>2181</v>
      </c>
      <c r="C1966" s="42" t="s">
        <v>7706</v>
      </c>
      <c r="D1966" s="43" t="s">
        <v>136</v>
      </c>
      <c r="E1966" s="43" t="s">
        <v>92</v>
      </c>
      <c r="F1966" s="42" t="s">
        <v>11469</v>
      </c>
      <c r="G1966" t="s">
        <v>13197</v>
      </c>
    </row>
    <row r="1967" spans="1:7" x14ac:dyDescent="0.3">
      <c r="A1967" s="42" t="s">
        <v>2055</v>
      </c>
      <c r="B1967" s="42" t="s">
        <v>2182</v>
      </c>
      <c r="C1967" s="42" t="s">
        <v>7707</v>
      </c>
      <c r="D1967" s="43" t="s">
        <v>136</v>
      </c>
      <c r="E1967" s="43" t="s">
        <v>92</v>
      </c>
      <c r="F1967" s="42" t="s">
        <v>11469</v>
      </c>
      <c r="G1967" t="s">
        <v>13197</v>
      </c>
    </row>
    <row r="1968" spans="1:7" x14ac:dyDescent="0.3">
      <c r="A1968" s="42" t="s">
        <v>2055</v>
      </c>
      <c r="B1968" s="42" t="s">
        <v>2183</v>
      </c>
      <c r="C1968" s="42" t="s">
        <v>7708</v>
      </c>
      <c r="D1968" s="43" t="s">
        <v>136</v>
      </c>
      <c r="E1968" s="43" t="s">
        <v>92</v>
      </c>
      <c r="F1968" s="42" t="s">
        <v>11469</v>
      </c>
      <c r="G1968" t="s">
        <v>13197</v>
      </c>
    </row>
    <row r="1969" spans="1:7" x14ac:dyDescent="0.3">
      <c r="A1969" s="42" t="s">
        <v>2055</v>
      </c>
      <c r="B1969" s="42" t="s">
        <v>2184</v>
      </c>
      <c r="C1969" s="42" t="s">
        <v>7709</v>
      </c>
      <c r="D1969" s="43" t="s">
        <v>136</v>
      </c>
      <c r="E1969" s="43" t="s">
        <v>92</v>
      </c>
      <c r="F1969" s="42" t="s">
        <v>11469</v>
      </c>
      <c r="G1969" t="s">
        <v>13197</v>
      </c>
    </row>
    <row r="1970" spans="1:7" x14ac:dyDescent="0.3">
      <c r="A1970" s="42" t="s">
        <v>2055</v>
      </c>
      <c r="B1970" s="42" t="s">
        <v>2185</v>
      </c>
      <c r="C1970" s="42" t="s">
        <v>7710</v>
      </c>
      <c r="D1970" s="43" t="s">
        <v>136</v>
      </c>
      <c r="E1970" s="43" t="s">
        <v>92</v>
      </c>
      <c r="F1970" s="42" t="s">
        <v>11469</v>
      </c>
      <c r="G1970" t="s">
        <v>13197</v>
      </c>
    </row>
    <row r="1971" spans="1:7" x14ac:dyDescent="0.3">
      <c r="A1971" s="42" t="s">
        <v>2055</v>
      </c>
      <c r="B1971" s="42" t="s">
        <v>2186</v>
      </c>
      <c r="C1971" s="42" t="s">
        <v>7711</v>
      </c>
      <c r="D1971" s="43" t="s">
        <v>136</v>
      </c>
      <c r="E1971" s="43" t="s">
        <v>92</v>
      </c>
      <c r="F1971" s="42" t="s">
        <v>11469</v>
      </c>
      <c r="G1971" t="s">
        <v>13197</v>
      </c>
    </row>
    <row r="1972" spans="1:7" x14ac:dyDescent="0.3">
      <c r="A1972" s="42" t="s">
        <v>2055</v>
      </c>
      <c r="B1972" s="42" t="s">
        <v>2187</v>
      </c>
      <c r="C1972" s="42" t="s">
        <v>7712</v>
      </c>
      <c r="D1972" s="43" t="s">
        <v>136</v>
      </c>
      <c r="E1972" s="43" t="s">
        <v>92</v>
      </c>
      <c r="F1972" s="42" t="s">
        <v>11469</v>
      </c>
      <c r="G1972" t="s">
        <v>13197</v>
      </c>
    </row>
    <row r="1973" spans="1:7" x14ac:dyDescent="0.3">
      <c r="A1973" s="42" t="s">
        <v>2055</v>
      </c>
      <c r="B1973" s="42" t="s">
        <v>2188</v>
      </c>
      <c r="C1973" s="42" t="s">
        <v>7713</v>
      </c>
      <c r="D1973" s="43" t="s">
        <v>136</v>
      </c>
      <c r="E1973" s="43" t="s">
        <v>92</v>
      </c>
      <c r="F1973" s="42" t="s">
        <v>11469</v>
      </c>
      <c r="G1973" t="s">
        <v>13197</v>
      </c>
    </row>
    <row r="1974" spans="1:7" x14ac:dyDescent="0.3">
      <c r="A1974" s="42" t="s">
        <v>2055</v>
      </c>
      <c r="B1974" s="42" t="s">
        <v>2189</v>
      </c>
      <c r="C1974" s="42" t="s">
        <v>7714</v>
      </c>
      <c r="D1974" s="43" t="s">
        <v>136</v>
      </c>
      <c r="E1974" s="43" t="s">
        <v>92</v>
      </c>
      <c r="F1974" s="42" t="s">
        <v>11469</v>
      </c>
      <c r="G1974" t="s">
        <v>13197</v>
      </c>
    </row>
    <row r="1975" spans="1:7" x14ac:dyDescent="0.3">
      <c r="A1975" s="42" t="s">
        <v>2055</v>
      </c>
      <c r="B1975" s="42" t="s">
        <v>2190</v>
      </c>
      <c r="C1975" s="42" t="s">
        <v>7715</v>
      </c>
      <c r="D1975" s="43" t="s">
        <v>136</v>
      </c>
      <c r="E1975" s="43" t="s">
        <v>92</v>
      </c>
      <c r="F1975" s="42" t="s">
        <v>11469</v>
      </c>
      <c r="G1975" t="s">
        <v>13197</v>
      </c>
    </row>
    <row r="1976" spans="1:7" x14ac:dyDescent="0.3">
      <c r="A1976" s="42" t="s">
        <v>2055</v>
      </c>
      <c r="B1976" s="42" t="s">
        <v>2191</v>
      </c>
      <c r="C1976" s="42" t="s">
        <v>7716</v>
      </c>
      <c r="D1976" s="43" t="s">
        <v>136</v>
      </c>
      <c r="E1976" s="43" t="s">
        <v>92</v>
      </c>
      <c r="F1976" s="42" t="s">
        <v>11469</v>
      </c>
      <c r="G1976" t="s">
        <v>13197</v>
      </c>
    </row>
    <row r="1977" spans="1:7" x14ac:dyDescent="0.3">
      <c r="A1977" s="42" t="s">
        <v>2055</v>
      </c>
      <c r="B1977" s="42" t="s">
        <v>2192</v>
      </c>
      <c r="C1977" s="42" t="s">
        <v>7717</v>
      </c>
      <c r="D1977" s="43" t="s">
        <v>136</v>
      </c>
      <c r="E1977" s="43" t="s">
        <v>92</v>
      </c>
      <c r="F1977" s="42" t="s">
        <v>11469</v>
      </c>
      <c r="G1977" t="s">
        <v>13197</v>
      </c>
    </row>
    <row r="1978" spans="1:7" x14ac:dyDescent="0.3">
      <c r="A1978" s="42" t="s">
        <v>2055</v>
      </c>
      <c r="B1978" s="42" t="s">
        <v>2193</v>
      </c>
      <c r="C1978" s="42" t="s">
        <v>7718</v>
      </c>
      <c r="D1978" s="43" t="s">
        <v>136</v>
      </c>
      <c r="E1978" s="43" t="s">
        <v>92</v>
      </c>
      <c r="F1978" s="42" t="s">
        <v>11469</v>
      </c>
      <c r="G1978" t="s">
        <v>13197</v>
      </c>
    </row>
    <row r="1979" spans="1:7" x14ac:dyDescent="0.3">
      <c r="A1979" s="42" t="s">
        <v>2055</v>
      </c>
      <c r="B1979" s="42" t="s">
        <v>2194</v>
      </c>
      <c r="C1979" s="42" t="s">
        <v>7719</v>
      </c>
      <c r="D1979" s="43" t="s">
        <v>136</v>
      </c>
      <c r="E1979" s="43" t="s">
        <v>92</v>
      </c>
      <c r="F1979" s="42" t="s">
        <v>11469</v>
      </c>
      <c r="G1979" t="s">
        <v>13197</v>
      </c>
    </row>
    <row r="1980" spans="1:7" x14ac:dyDescent="0.3">
      <c r="A1980" s="42" t="s">
        <v>2055</v>
      </c>
      <c r="B1980" s="42" t="s">
        <v>2195</v>
      </c>
      <c r="C1980" s="42" t="s">
        <v>7720</v>
      </c>
      <c r="D1980" s="43" t="s">
        <v>136</v>
      </c>
      <c r="E1980" s="43" t="s">
        <v>92</v>
      </c>
      <c r="F1980" s="42" t="s">
        <v>11469</v>
      </c>
      <c r="G1980" t="s">
        <v>13197</v>
      </c>
    </row>
    <row r="1981" spans="1:7" x14ac:dyDescent="0.3">
      <c r="A1981" s="42" t="s">
        <v>2055</v>
      </c>
      <c r="B1981" s="42" t="s">
        <v>2196</v>
      </c>
      <c r="C1981" s="42" t="s">
        <v>7721</v>
      </c>
      <c r="D1981" s="43" t="s">
        <v>136</v>
      </c>
      <c r="E1981" s="43" t="s">
        <v>92</v>
      </c>
      <c r="F1981" s="42" t="s">
        <v>11469</v>
      </c>
      <c r="G1981" t="s">
        <v>13197</v>
      </c>
    </row>
    <row r="1982" spans="1:7" x14ac:dyDescent="0.3">
      <c r="A1982" s="42" t="s">
        <v>2055</v>
      </c>
      <c r="B1982" s="42" t="s">
        <v>2197</v>
      </c>
      <c r="C1982" s="42" t="s">
        <v>7722</v>
      </c>
      <c r="D1982" s="43" t="s">
        <v>136</v>
      </c>
      <c r="E1982" s="43" t="s">
        <v>92</v>
      </c>
      <c r="F1982" s="42" t="s">
        <v>11469</v>
      </c>
      <c r="G1982" t="s">
        <v>13197</v>
      </c>
    </row>
    <row r="1983" spans="1:7" x14ac:dyDescent="0.3">
      <c r="A1983" s="42" t="s">
        <v>2055</v>
      </c>
      <c r="B1983" s="42" t="s">
        <v>2198</v>
      </c>
      <c r="C1983" s="42" t="s">
        <v>7723</v>
      </c>
      <c r="D1983" s="43" t="s">
        <v>136</v>
      </c>
      <c r="E1983" s="43" t="s">
        <v>92</v>
      </c>
      <c r="F1983" s="42" t="s">
        <v>11469</v>
      </c>
      <c r="G1983" t="s">
        <v>13197</v>
      </c>
    </row>
    <row r="1984" spans="1:7" x14ac:dyDescent="0.3">
      <c r="A1984" s="42" t="s">
        <v>2055</v>
      </c>
      <c r="B1984" s="42" t="s">
        <v>2199</v>
      </c>
      <c r="C1984" s="42" t="s">
        <v>7724</v>
      </c>
      <c r="D1984" s="43" t="s">
        <v>136</v>
      </c>
      <c r="E1984" s="43" t="s">
        <v>92</v>
      </c>
      <c r="F1984" s="42" t="s">
        <v>11469</v>
      </c>
      <c r="G1984" t="s">
        <v>13197</v>
      </c>
    </row>
    <row r="1985" spans="1:7" x14ac:dyDescent="0.3">
      <c r="A1985" s="42" t="s">
        <v>2055</v>
      </c>
      <c r="B1985" s="42" t="s">
        <v>2200</v>
      </c>
      <c r="C1985" s="42" t="s">
        <v>7725</v>
      </c>
      <c r="D1985" s="43" t="s">
        <v>136</v>
      </c>
      <c r="E1985" s="43" t="s">
        <v>92</v>
      </c>
      <c r="F1985" s="42" t="s">
        <v>11469</v>
      </c>
      <c r="G1985" t="s">
        <v>13197</v>
      </c>
    </row>
    <row r="1986" spans="1:7" x14ac:dyDescent="0.3">
      <c r="A1986" s="42" t="s">
        <v>2055</v>
      </c>
      <c r="B1986" s="42" t="s">
        <v>2201</v>
      </c>
      <c r="C1986" s="42" t="s">
        <v>7726</v>
      </c>
      <c r="D1986" s="43" t="s">
        <v>136</v>
      </c>
      <c r="E1986" s="43" t="s">
        <v>92</v>
      </c>
      <c r="F1986" s="42" t="s">
        <v>11469</v>
      </c>
      <c r="G1986" t="s">
        <v>13197</v>
      </c>
    </row>
    <row r="1987" spans="1:7" x14ac:dyDescent="0.3">
      <c r="A1987" s="42" t="s">
        <v>2055</v>
      </c>
      <c r="B1987" s="42" t="s">
        <v>2202</v>
      </c>
      <c r="C1987" s="42" t="s">
        <v>7727</v>
      </c>
      <c r="D1987" s="43" t="s">
        <v>136</v>
      </c>
      <c r="E1987" s="43" t="s">
        <v>92</v>
      </c>
      <c r="F1987" s="42" t="s">
        <v>11469</v>
      </c>
      <c r="G1987" t="s">
        <v>13197</v>
      </c>
    </row>
    <row r="1988" spans="1:7" x14ac:dyDescent="0.3">
      <c r="A1988" s="42" t="s">
        <v>2055</v>
      </c>
      <c r="B1988" s="42" t="s">
        <v>2203</v>
      </c>
      <c r="C1988" s="42" t="s">
        <v>7728</v>
      </c>
      <c r="D1988" s="43" t="s">
        <v>136</v>
      </c>
      <c r="E1988" s="43" t="s">
        <v>92</v>
      </c>
      <c r="F1988" s="42" t="s">
        <v>11469</v>
      </c>
      <c r="G1988" t="s">
        <v>13197</v>
      </c>
    </row>
    <row r="1989" spans="1:7" x14ac:dyDescent="0.3">
      <c r="A1989" s="42" t="s">
        <v>2055</v>
      </c>
      <c r="B1989" s="42" t="s">
        <v>2204</v>
      </c>
      <c r="C1989" s="42" t="s">
        <v>7729</v>
      </c>
      <c r="D1989" s="43" t="s">
        <v>136</v>
      </c>
      <c r="E1989" s="43" t="s">
        <v>92</v>
      </c>
      <c r="F1989" s="42" t="s">
        <v>11469</v>
      </c>
      <c r="G1989" t="s">
        <v>13197</v>
      </c>
    </row>
    <row r="1990" spans="1:7" x14ac:dyDescent="0.3">
      <c r="A1990" s="42" t="s">
        <v>2055</v>
      </c>
      <c r="B1990" s="42" t="s">
        <v>2205</v>
      </c>
      <c r="C1990" s="42" t="s">
        <v>7730</v>
      </c>
      <c r="D1990" s="43" t="s">
        <v>136</v>
      </c>
      <c r="E1990" s="43" t="s">
        <v>92</v>
      </c>
      <c r="F1990" s="42" t="s">
        <v>192</v>
      </c>
      <c r="G1990" t="s">
        <v>13196</v>
      </c>
    </row>
    <row r="1991" spans="1:7" x14ac:dyDescent="0.3">
      <c r="A1991" s="42" t="s">
        <v>2055</v>
      </c>
      <c r="B1991" s="42" t="s">
        <v>2206</v>
      </c>
      <c r="C1991" s="42" t="s">
        <v>7731</v>
      </c>
      <c r="D1991" s="43" t="s">
        <v>136</v>
      </c>
      <c r="E1991" s="43" t="s">
        <v>92</v>
      </c>
      <c r="F1991" s="42" t="s">
        <v>192</v>
      </c>
      <c r="G1991" t="s">
        <v>13196</v>
      </c>
    </row>
    <row r="1992" spans="1:7" x14ac:dyDescent="0.3">
      <c r="A1992" s="42" t="s">
        <v>2055</v>
      </c>
      <c r="B1992" s="42" t="s">
        <v>2207</v>
      </c>
      <c r="C1992" s="42" t="s">
        <v>7732</v>
      </c>
      <c r="D1992" s="43" t="s">
        <v>136</v>
      </c>
      <c r="E1992" s="43" t="s">
        <v>92</v>
      </c>
      <c r="F1992" s="42" t="s">
        <v>11469</v>
      </c>
      <c r="G1992" t="s">
        <v>13197</v>
      </c>
    </row>
    <row r="1993" spans="1:7" x14ac:dyDescent="0.3">
      <c r="A1993" s="42" t="s">
        <v>2055</v>
      </c>
      <c r="B1993" s="42" t="s">
        <v>2208</v>
      </c>
      <c r="C1993" s="42" t="s">
        <v>7733</v>
      </c>
      <c r="D1993" s="43" t="s">
        <v>136</v>
      </c>
      <c r="E1993" s="43" t="s">
        <v>92</v>
      </c>
      <c r="F1993" s="42" t="s">
        <v>11469</v>
      </c>
      <c r="G1993" t="s">
        <v>13197</v>
      </c>
    </row>
    <row r="1994" spans="1:7" x14ac:dyDescent="0.3">
      <c r="A1994" s="42" t="s">
        <v>2055</v>
      </c>
      <c r="B1994" s="42" t="s">
        <v>2209</v>
      </c>
      <c r="C1994" s="42" t="s">
        <v>7734</v>
      </c>
      <c r="D1994" s="43" t="s">
        <v>136</v>
      </c>
      <c r="E1994" s="43" t="s">
        <v>92</v>
      </c>
      <c r="F1994" s="42" t="s">
        <v>11469</v>
      </c>
      <c r="G1994" t="s">
        <v>13197</v>
      </c>
    </row>
    <row r="1995" spans="1:7" x14ac:dyDescent="0.3">
      <c r="A1995" s="42" t="s">
        <v>2055</v>
      </c>
      <c r="B1995" s="42" t="s">
        <v>2210</v>
      </c>
      <c r="C1995" s="42" t="s">
        <v>7735</v>
      </c>
      <c r="D1995" s="43" t="s">
        <v>136</v>
      </c>
      <c r="E1995" s="43" t="s">
        <v>92</v>
      </c>
      <c r="F1995" s="42" t="s">
        <v>11469</v>
      </c>
      <c r="G1995" t="s">
        <v>13197</v>
      </c>
    </row>
    <row r="1996" spans="1:7" x14ac:dyDescent="0.3">
      <c r="A1996" s="42" t="s">
        <v>2055</v>
      </c>
      <c r="B1996" s="42" t="s">
        <v>2211</v>
      </c>
      <c r="C1996" s="42" t="s">
        <v>7736</v>
      </c>
      <c r="D1996" s="43" t="s">
        <v>136</v>
      </c>
      <c r="E1996" s="43" t="s">
        <v>92</v>
      </c>
      <c r="F1996" s="42" t="s">
        <v>11469</v>
      </c>
      <c r="G1996" t="s">
        <v>13197</v>
      </c>
    </row>
    <row r="1997" spans="1:7" x14ac:dyDescent="0.3">
      <c r="A1997" s="42" t="s">
        <v>2055</v>
      </c>
      <c r="B1997" s="42" t="s">
        <v>2212</v>
      </c>
      <c r="C1997" s="42" t="s">
        <v>7737</v>
      </c>
      <c r="D1997" s="43" t="s">
        <v>136</v>
      </c>
      <c r="E1997" s="43" t="s">
        <v>92</v>
      </c>
      <c r="F1997" s="42" t="s">
        <v>11469</v>
      </c>
      <c r="G1997" t="s">
        <v>13197</v>
      </c>
    </row>
    <row r="1998" spans="1:7" x14ac:dyDescent="0.3">
      <c r="A1998" s="42" t="s">
        <v>2055</v>
      </c>
      <c r="B1998" s="42" t="s">
        <v>2213</v>
      </c>
      <c r="C1998" s="42" t="s">
        <v>7738</v>
      </c>
      <c r="D1998" s="43" t="s">
        <v>136</v>
      </c>
      <c r="E1998" s="43" t="s">
        <v>92</v>
      </c>
      <c r="F1998" s="42" t="s">
        <v>11469</v>
      </c>
      <c r="G1998" t="s">
        <v>13197</v>
      </c>
    </row>
    <row r="1999" spans="1:7" x14ac:dyDescent="0.3">
      <c r="A1999" s="42" t="s">
        <v>2055</v>
      </c>
      <c r="B1999" s="42" t="s">
        <v>2214</v>
      </c>
      <c r="C1999" s="42" t="s">
        <v>7739</v>
      </c>
      <c r="D1999" s="43" t="s">
        <v>136</v>
      </c>
      <c r="E1999" s="43" t="s">
        <v>92</v>
      </c>
      <c r="F1999" s="42" t="s">
        <v>192</v>
      </c>
      <c r="G1999" t="s">
        <v>13196</v>
      </c>
    </row>
    <row r="2000" spans="1:7" x14ac:dyDescent="0.3">
      <c r="A2000" s="42" t="s">
        <v>2055</v>
      </c>
      <c r="B2000" s="42" t="s">
        <v>2215</v>
      </c>
      <c r="C2000" s="42" t="s">
        <v>7740</v>
      </c>
      <c r="D2000" s="43" t="s">
        <v>136</v>
      </c>
      <c r="E2000" s="43" t="s">
        <v>92</v>
      </c>
      <c r="F2000" s="42" t="s">
        <v>11469</v>
      </c>
      <c r="G2000" t="s">
        <v>13197</v>
      </c>
    </row>
    <row r="2001" spans="1:7" x14ac:dyDescent="0.3">
      <c r="A2001" s="42" t="s">
        <v>2055</v>
      </c>
      <c r="B2001" s="42" t="s">
        <v>2216</v>
      </c>
      <c r="C2001" s="42" t="s">
        <v>7741</v>
      </c>
      <c r="D2001" s="43" t="s">
        <v>136</v>
      </c>
      <c r="E2001" s="43" t="s">
        <v>92</v>
      </c>
      <c r="F2001" s="42" t="s">
        <v>11469</v>
      </c>
      <c r="G2001" t="s">
        <v>13197</v>
      </c>
    </row>
    <row r="2002" spans="1:7" x14ac:dyDescent="0.3">
      <c r="A2002" s="42" t="s">
        <v>2055</v>
      </c>
      <c r="B2002" s="42" t="s">
        <v>2217</v>
      </c>
      <c r="C2002" s="42" t="s">
        <v>7742</v>
      </c>
      <c r="D2002" s="43" t="s">
        <v>136</v>
      </c>
      <c r="E2002" s="43" t="s">
        <v>92</v>
      </c>
      <c r="F2002" s="42" t="s">
        <v>11469</v>
      </c>
      <c r="G2002" t="s">
        <v>13197</v>
      </c>
    </row>
    <row r="2003" spans="1:7" x14ac:dyDescent="0.3">
      <c r="A2003" s="42" t="s">
        <v>2055</v>
      </c>
      <c r="B2003" s="42" t="s">
        <v>2218</v>
      </c>
      <c r="C2003" s="42" t="s">
        <v>7743</v>
      </c>
      <c r="D2003" s="43" t="s">
        <v>136</v>
      </c>
      <c r="E2003" s="43" t="s">
        <v>92</v>
      </c>
      <c r="F2003" s="42" t="s">
        <v>11469</v>
      </c>
      <c r="G2003" t="s">
        <v>13197</v>
      </c>
    </row>
    <row r="2004" spans="1:7" x14ac:dyDescent="0.3">
      <c r="A2004" s="42" t="s">
        <v>2055</v>
      </c>
      <c r="B2004" s="42" t="s">
        <v>2219</v>
      </c>
      <c r="C2004" s="42" t="s">
        <v>7744</v>
      </c>
      <c r="D2004" s="43" t="s">
        <v>136</v>
      </c>
      <c r="E2004" s="43" t="s">
        <v>92</v>
      </c>
      <c r="F2004" s="42" t="s">
        <v>11469</v>
      </c>
      <c r="G2004" t="s">
        <v>13197</v>
      </c>
    </row>
    <row r="2005" spans="1:7" x14ac:dyDescent="0.3">
      <c r="A2005" s="42" t="s">
        <v>2055</v>
      </c>
      <c r="B2005" s="42" t="s">
        <v>2220</v>
      </c>
      <c r="C2005" s="42" t="s">
        <v>7745</v>
      </c>
      <c r="D2005" s="43" t="s">
        <v>136</v>
      </c>
      <c r="E2005" s="43" t="s">
        <v>92</v>
      </c>
      <c r="F2005" s="42" t="s">
        <v>11469</v>
      </c>
      <c r="G2005" t="s">
        <v>13197</v>
      </c>
    </row>
    <row r="2006" spans="1:7" x14ac:dyDescent="0.3">
      <c r="A2006" s="42" t="s">
        <v>2055</v>
      </c>
      <c r="B2006" s="42" t="s">
        <v>2221</v>
      </c>
      <c r="C2006" s="42" t="s">
        <v>7746</v>
      </c>
      <c r="D2006" s="43" t="s">
        <v>136</v>
      </c>
      <c r="E2006" s="43" t="s">
        <v>92</v>
      </c>
      <c r="F2006" s="42" t="s">
        <v>11469</v>
      </c>
      <c r="G2006" t="s">
        <v>13197</v>
      </c>
    </row>
    <row r="2007" spans="1:7" x14ac:dyDescent="0.3">
      <c r="A2007" s="42" t="s">
        <v>2055</v>
      </c>
      <c r="B2007" s="42" t="s">
        <v>2222</v>
      </c>
      <c r="C2007" s="42" t="s">
        <v>7747</v>
      </c>
      <c r="D2007" s="43" t="s">
        <v>136</v>
      </c>
      <c r="E2007" s="43" t="s">
        <v>92</v>
      </c>
      <c r="F2007" s="42" t="s">
        <v>11469</v>
      </c>
      <c r="G2007" t="s">
        <v>13197</v>
      </c>
    </row>
    <row r="2008" spans="1:7" x14ac:dyDescent="0.3">
      <c r="A2008" s="42" t="s">
        <v>2055</v>
      </c>
      <c r="B2008" s="42" t="s">
        <v>2223</v>
      </c>
      <c r="C2008" s="42" t="s">
        <v>7748</v>
      </c>
      <c r="D2008" s="43" t="s">
        <v>136</v>
      </c>
      <c r="E2008" s="43" t="s">
        <v>92</v>
      </c>
      <c r="F2008" s="42" t="s">
        <v>11469</v>
      </c>
      <c r="G2008" t="s">
        <v>13197</v>
      </c>
    </row>
    <row r="2009" spans="1:7" x14ac:dyDescent="0.3">
      <c r="A2009" s="42" t="s">
        <v>2055</v>
      </c>
      <c r="B2009" s="42" t="s">
        <v>2224</v>
      </c>
      <c r="C2009" s="42" t="s">
        <v>7749</v>
      </c>
      <c r="D2009" s="43" t="s">
        <v>136</v>
      </c>
      <c r="E2009" s="43" t="s">
        <v>92</v>
      </c>
      <c r="F2009" s="42" t="s">
        <v>11469</v>
      </c>
      <c r="G2009" t="s">
        <v>13197</v>
      </c>
    </row>
    <row r="2010" spans="1:7" x14ac:dyDescent="0.3">
      <c r="A2010" s="42" t="s">
        <v>2055</v>
      </c>
      <c r="B2010" s="42" t="s">
        <v>2225</v>
      </c>
      <c r="C2010" s="42" t="s">
        <v>7750</v>
      </c>
      <c r="D2010" s="43" t="s">
        <v>136</v>
      </c>
      <c r="E2010" s="43" t="s">
        <v>92</v>
      </c>
      <c r="F2010" s="42" t="s">
        <v>11469</v>
      </c>
      <c r="G2010" t="s">
        <v>13197</v>
      </c>
    </row>
    <row r="2011" spans="1:7" x14ac:dyDescent="0.3">
      <c r="A2011" s="42" t="s">
        <v>2055</v>
      </c>
      <c r="B2011" s="42" t="s">
        <v>2226</v>
      </c>
      <c r="C2011" s="42" t="s">
        <v>7751</v>
      </c>
      <c r="D2011" s="43" t="s">
        <v>136</v>
      </c>
      <c r="E2011" s="43" t="s">
        <v>92</v>
      </c>
      <c r="F2011" s="42" t="s">
        <v>11469</v>
      </c>
      <c r="G2011" t="s">
        <v>13197</v>
      </c>
    </row>
    <row r="2012" spans="1:7" x14ac:dyDescent="0.3">
      <c r="A2012" s="42" t="s">
        <v>2055</v>
      </c>
      <c r="B2012" s="42" t="s">
        <v>2227</v>
      </c>
      <c r="C2012" s="42" t="s">
        <v>7752</v>
      </c>
      <c r="D2012" s="43" t="s">
        <v>136</v>
      </c>
      <c r="E2012" s="43" t="s">
        <v>92</v>
      </c>
      <c r="F2012" s="42" t="s">
        <v>11469</v>
      </c>
      <c r="G2012" t="s">
        <v>13197</v>
      </c>
    </row>
    <row r="2013" spans="1:7" x14ac:dyDescent="0.3">
      <c r="A2013" s="42" t="s">
        <v>2055</v>
      </c>
      <c r="B2013" s="42" t="s">
        <v>2228</v>
      </c>
      <c r="C2013" s="42" t="s">
        <v>7753</v>
      </c>
      <c r="D2013" s="43" t="s">
        <v>136</v>
      </c>
      <c r="E2013" s="43" t="s">
        <v>92</v>
      </c>
      <c r="F2013" s="42" t="s">
        <v>11469</v>
      </c>
      <c r="G2013" t="s">
        <v>13197</v>
      </c>
    </row>
    <row r="2014" spans="1:7" x14ac:dyDescent="0.3">
      <c r="A2014" s="42" t="s">
        <v>2055</v>
      </c>
      <c r="B2014" s="42" t="s">
        <v>2229</v>
      </c>
      <c r="C2014" s="42" t="s">
        <v>7754</v>
      </c>
      <c r="D2014" s="43" t="s">
        <v>136</v>
      </c>
      <c r="E2014" s="43" t="s">
        <v>92</v>
      </c>
      <c r="F2014" s="42" t="s">
        <v>11469</v>
      </c>
      <c r="G2014" t="s">
        <v>13197</v>
      </c>
    </row>
    <row r="2015" spans="1:7" x14ac:dyDescent="0.3">
      <c r="A2015" s="42" t="s">
        <v>2055</v>
      </c>
      <c r="B2015" s="42" t="s">
        <v>2230</v>
      </c>
      <c r="C2015" s="42" t="s">
        <v>7755</v>
      </c>
      <c r="D2015" s="43" t="s">
        <v>136</v>
      </c>
      <c r="E2015" s="43" t="s">
        <v>92</v>
      </c>
      <c r="F2015" s="42" t="s">
        <v>11469</v>
      </c>
      <c r="G2015" t="s">
        <v>13197</v>
      </c>
    </row>
    <row r="2016" spans="1:7" x14ac:dyDescent="0.3">
      <c r="A2016" s="42" t="s">
        <v>2055</v>
      </c>
      <c r="B2016" s="42" t="s">
        <v>2231</v>
      </c>
      <c r="C2016" s="42" t="s">
        <v>7756</v>
      </c>
      <c r="D2016" s="43" t="s">
        <v>136</v>
      </c>
      <c r="E2016" s="43" t="s">
        <v>92</v>
      </c>
      <c r="F2016" s="42" t="s">
        <v>11469</v>
      </c>
      <c r="G2016" t="s">
        <v>13197</v>
      </c>
    </row>
    <row r="2017" spans="1:7" x14ac:dyDescent="0.3">
      <c r="A2017" s="42" t="s">
        <v>2055</v>
      </c>
      <c r="B2017" s="42" t="s">
        <v>2232</v>
      </c>
      <c r="C2017" s="42" t="s">
        <v>7757</v>
      </c>
      <c r="D2017" s="43" t="s">
        <v>136</v>
      </c>
      <c r="E2017" s="43" t="s">
        <v>92</v>
      </c>
      <c r="F2017" s="42" t="s">
        <v>11469</v>
      </c>
      <c r="G2017" t="s">
        <v>13197</v>
      </c>
    </row>
    <row r="2018" spans="1:7" x14ac:dyDescent="0.3">
      <c r="A2018" s="42" t="s">
        <v>2055</v>
      </c>
      <c r="B2018" s="42" t="s">
        <v>2233</v>
      </c>
      <c r="C2018" s="42" t="s">
        <v>7758</v>
      </c>
      <c r="D2018" s="43" t="s">
        <v>136</v>
      </c>
      <c r="E2018" s="43" t="s">
        <v>92</v>
      </c>
      <c r="F2018" s="42" t="s">
        <v>11469</v>
      </c>
      <c r="G2018" t="s">
        <v>13197</v>
      </c>
    </row>
    <row r="2019" spans="1:7" x14ac:dyDescent="0.3">
      <c r="A2019" s="42" t="s">
        <v>2055</v>
      </c>
      <c r="B2019" s="42" t="s">
        <v>2234</v>
      </c>
      <c r="C2019" s="42" t="s">
        <v>7759</v>
      </c>
      <c r="D2019" s="43" t="s">
        <v>136</v>
      </c>
      <c r="E2019" s="43" t="s">
        <v>92</v>
      </c>
      <c r="F2019" s="42" t="s">
        <v>11469</v>
      </c>
      <c r="G2019" t="s">
        <v>13197</v>
      </c>
    </row>
    <row r="2020" spans="1:7" x14ac:dyDescent="0.3">
      <c r="A2020" s="42" t="s">
        <v>2055</v>
      </c>
      <c r="B2020" s="42" t="s">
        <v>2235</v>
      </c>
      <c r="C2020" s="42" t="s">
        <v>7760</v>
      </c>
      <c r="D2020" s="43" t="s">
        <v>136</v>
      </c>
      <c r="E2020" s="43" t="s">
        <v>92</v>
      </c>
      <c r="F2020" s="42" t="s">
        <v>11469</v>
      </c>
      <c r="G2020" t="s">
        <v>13197</v>
      </c>
    </row>
    <row r="2021" spans="1:7" x14ac:dyDescent="0.3">
      <c r="A2021" s="42" t="s">
        <v>2055</v>
      </c>
      <c r="B2021" s="42" t="s">
        <v>2236</v>
      </c>
      <c r="C2021" s="42" t="s">
        <v>7761</v>
      </c>
      <c r="D2021" s="43" t="s">
        <v>136</v>
      </c>
      <c r="E2021" s="43" t="s">
        <v>92</v>
      </c>
      <c r="F2021" s="42" t="s">
        <v>11469</v>
      </c>
      <c r="G2021" t="s">
        <v>13197</v>
      </c>
    </row>
    <row r="2022" spans="1:7" x14ac:dyDescent="0.3">
      <c r="A2022" s="42" t="s">
        <v>2055</v>
      </c>
      <c r="B2022" s="42" t="s">
        <v>2237</v>
      </c>
      <c r="C2022" s="42" t="s">
        <v>7762</v>
      </c>
      <c r="D2022" s="43" t="s">
        <v>136</v>
      </c>
      <c r="E2022" s="43" t="s">
        <v>92</v>
      </c>
      <c r="F2022" s="42" t="s">
        <v>11469</v>
      </c>
      <c r="G2022" t="s">
        <v>13197</v>
      </c>
    </row>
    <row r="2023" spans="1:7" x14ac:dyDescent="0.3">
      <c r="A2023" s="42" t="s">
        <v>2055</v>
      </c>
      <c r="B2023" s="42" t="s">
        <v>2238</v>
      </c>
      <c r="C2023" s="42" t="s">
        <v>7763</v>
      </c>
      <c r="D2023" s="43" t="s">
        <v>136</v>
      </c>
      <c r="E2023" s="43" t="s">
        <v>92</v>
      </c>
      <c r="F2023" s="42" t="s">
        <v>11469</v>
      </c>
      <c r="G2023" t="s">
        <v>13197</v>
      </c>
    </row>
    <row r="2024" spans="1:7" x14ac:dyDescent="0.3">
      <c r="A2024" s="42" t="s">
        <v>2055</v>
      </c>
      <c r="B2024" s="42" t="s">
        <v>2239</v>
      </c>
      <c r="C2024" s="42" t="s">
        <v>7764</v>
      </c>
      <c r="D2024" s="43" t="s">
        <v>136</v>
      </c>
      <c r="E2024" s="43" t="s">
        <v>92</v>
      </c>
      <c r="F2024" s="42" t="s">
        <v>11469</v>
      </c>
      <c r="G2024" t="s">
        <v>13197</v>
      </c>
    </row>
    <row r="2025" spans="1:7" x14ac:dyDescent="0.3">
      <c r="A2025" s="42" t="s">
        <v>2055</v>
      </c>
      <c r="B2025" s="42" t="s">
        <v>2240</v>
      </c>
      <c r="C2025" s="42" t="s">
        <v>7765</v>
      </c>
      <c r="D2025" s="43" t="s">
        <v>136</v>
      </c>
      <c r="E2025" s="43" t="s">
        <v>92</v>
      </c>
      <c r="F2025" s="42" t="s">
        <v>11469</v>
      </c>
      <c r="G2025" t="s">
        <v>13197</v>
      </c>
    </row>
    <row r="2026" spans="1:7" x14ac:dyDescent="0.3">
      <c r="A2026" s="42" t="s">
        <v>2055</v>
      </c>
      <c r="B2026" s="42" t="s">
        <v>2241</v>
      </c>
      <c r="C2026" s="42" t="s">
        <v>7766</v>
      </c>
      <c r="D2026" s="43" t="s">
        <v>136</v>
      </c>
      <c r="E2026" s="43" t="s">
        <v>92</v>
      </c>
      <c r="F2026" s="42" t="s">
        <v>11469</v>
      </c>
      <c r="G2026" t="s">
        <v>13197</v>
      </c>
    </row>
    <row r="2027" spans="1:7" x14ac:dyDescent="0.3">
      <c r="A2027" s="42" t="s">
        <v>2055</v>
      </c>
      <c r="B2027" s="42" t="s">
        <v>2242</v>
      </c>
      <c r="C2027" s="42" t="s">
        <v>7767</v>
      </c>
      <c r="D2027" s="43" t="s">
        <v>136</v>
      </c>
      <c r="E2027" s="43" t="s">
        <v>92</v>
      </c>
      <c r="F2027" s="42" t="s">
        <v>11469</v>
      </c>
      <c r="G2027" t="s">
        <v>13197</v>
      </c>
    </row>
    <row r="2028" spans="1:7" x14ac:dyDescent="0.3">
      <c r="A2028" s="42" t="s">
        <v>2055</v>
      </c>
      <c r="B2028" s="42" t="s">
        <v>2243</v>
      </c>
      <c r="C2028" s="42" t="s">
        <v>7768</v>
      </c>
      <c r="D2028" s="43" t="s">
        <v>136</v>
      </c>
      <c r="E2028" s="43" t="s">
        <v>92</v>
      </c>
      <c r="F2028" s="42" t="s">
        <v>11469</v>
      </c>
      <c r="G2028" t="s">
        <v>13197</v>
      </c>
    </row>
    <row r="2029" spans="1:7" x14ac:dyDescent="0.3">
      <c r="A2029" s="42" t="s">
        <v>2055</v>
      </c>
      <c r="B2029" s="42" t="s">
        <v>2244</v>
      </c>
      <c r="C2029" s="42" t="s">
        <v>7769</v>
      </c>
      <c r="D2029" s="43" t="s">
        <v>136</v>
      </c>
      <c r="E2029" s="43" t="s">
        <v>92</v>
      </c>
      <c r="F2029" s="42" t="s">
        <v>11469</v>
      </c>
      <c r="G2029" t="s">
        <v>13197</v>
      </c>
    </row>
    <row r="2030" spans="1:7" x14ac:dyDescent="0.3">
      <c r="A2030" s="42" t="s">
        <v>2055</v>
      </c>
      <c r="B2030" s="42" t="s">
        <v>2245</v>
      </c>
      <c r="C2030" s="42" t="s">
        <v>7770</v>
      </c>
      <c r="D2030" s="43" t="s">
        <v>136</v>
      </c>
      <c r="E2030" s="43" t="s">
        <v>92</v>
      </c>
      <c r="F2030" s="42" t="s">
        <v>11469</v>
      </c>
      <c r="G2030" t="s">
        <v>13197</v>
      </c>
    </row>
    <row r="2031" spans="1:7" x14ac:dyDescent="0.3">
      <c r="A2031" s="42" t="s">
        <v>2055</v>
      </c>
      <c r="B2031" s="42" t="s">
        <v>2246</v>
      </c>
      <c r="C2031" s="42" t="s">
        <v>7771</v>
      </c>
      <c r="D2031" s="43" t="s">
        <v>136</v>
      </c>
      <c r="E2031" s="43" t="s">
        <v>92</v>
      </c>
      <c r="F2031" s="42" t="s">
        <v>11469</v>
      </c>
      <c r="G2031" t="s">
        <v>13197</v>
      </c>
    </row>
    <row r="2032" spans="1:7" x14ac:dyDescent="0.3">
      <c r="A2032" s="42" t="s">
        <v>2055</v>
      </c>
      <c r="B2032" s="42" t="s">
        <v>2247</v>
      </c>
      <c r="C2032" s="42" t="s">
        <v>7772</v>
      </c>
      <c r="D2032" s="43" t="s">
        <v>136</v>
      </c>
      <c r="E2032" s="43" t="s">
        <v>92</v>
      </c>
      <c r="F2032" s="42" t="s">
        <v>11469</v>
      </c>
      <c r="G2032" t="s">
        <v>13197</v>
      </c>
    </row>
    <row r="2033" spans="1:7" x14ac:dyDescent="0.3">
      <c r="A2033" s="42" t="s">
        <v>2055</v>
      </c>
      <c r="B2033" s="42" t="s">
        <v>2248</v>
      </c>
      <c r="C2033" s="42" t="s">
        <v>7773</v>
      </c>
      <c r="D2033" s="43" t="s">
        <v>136</v>
      </c>
      <c r="E2033" s="43" t="s">
        <v>92</v>
      </c>
      <c r="F2033" s="42" t="s">
        <v>11469</v>
      </c>
      <c r="G2033" t="s">
        <v>13197</v>
      </c>
    </row>
    <row r="2034" spans="1:7" x14ac:dyDescent="0.3">
      <c r="A2034" s="42" t="s">
        <v>2249</v>
      </c>
      <c r="B2034" s="42" t="s">
        <v>2250</v>
      </c>
      <c r="C2034" s="42" t="s">
        <v>7774</v>
      </c>
      <c r="D2034" s="43" t="s">
        <v>227</v>
      </c>
      <c r="E2034" s="43" t="s">
        <v>1430</v>
      </c>
      <c r="F2034" s="42" t="s">
        <v>11469</v>
      </c>
      <c r="G2034" t="s">
        <v>13197</v>
      </c>
    </row>
    <row r="2035" spans="1:7" x14ac:dyDescent="0.3">
      <c r="A2035" s="42" t="s">
        <v>2249</v>
      </c>
      <c r="B2035" s="42" t="s">
        <v>2251</v>
      </c>
      <c r="C2035" s="42" t="s">
        <v>7775</v>
      </c>
      <c r="D2035" s="43" t="s">
        <v>227</v>
      </c>
      <c r="E2035" s="43" t="s">
        <v>1430</v>
      </c>
      <c r="F2035" s="42" t="s">
        <v>11469</v>
      </c>
      <c r="G2035" t="s">
        <v>13197</v>
      </c>
    </row>
    <row r="2036" spans="1:7" x14ac:dyDescent="0.3">
      <c r="A2036" s="42" t="s">
        <v>2249</v>
      </c>
      <c r="B2036" s="42" t="s">
        <v>2252</v>
      </c>
      <c r="C2036" s="42" t="s">
        <v>7776</v>
      </c>
      <c r="D2036" s="43" t="s">
        <v>227</v>
      </c>
      <c r="E2036" s="43" t="s">
        <v>1430</v>
      </c>
      <c r="F2036" s="42" t="s">
        <v>11469</v>
      </c>
      <c r="G2036" t="s">
        <v>13197</v>
      </c>
    </row>
    <row r="2037" spans="1:7" x14ac:dyDescent="0.3">
      <c r="A2037" s="42" t="s">
        <v>2249</v>
      </c>
      <c r="B2037" s="42" t="s">
        <v>2253</v>
      </c>
      <c r="C2037" s="42" t="s">
        <v>7777</v>
      </c>
      <c r="D2037" s="43" t="s">
        <v>227</v>
      </c>
      <c r="E2037" s="43" t="s">
        <v>1430</v>
      </c>
      <c r="F2037" s="42" t="s">
        <v>11469</v>
      </c>
      <c r="G2037" t="s">
        <v>13197</v>
      </c>
    </row>
    <row r="2038" spans="1:7" x14ac:dyDescent="0.3">
      <c r="A2038" s="42" t="s">
        <v>2249</v>
      </c>
      <c r="B2038" s="42" t="s">
        <v>2254</v>
      </c>
      <c r="C2038" s="42" t="s">
        <v>7778</v>
      </c>
      <c r="D2038" s="43" t="s">
        <v>227</v>
      </c>
      <c r="E2038" s="43" t="s">
        <v>1430</v>
      </c>
      <c r="F2038" s="42" t="s">
        <v>11469</v>
      </c>
      <c r="G2038" t="s">
        <v>13197</v>
      </c>
    </row>
    <row r="2039" spans="1:7" x14ac:dyDescent="0.3">
      <c r="A2039" s="42" t="s">
        <v>2249</v>
      </c>
      <c r="B2039" s="42" t="s">
        <v>2255</v>
      </c>
      <c r="C2039" s="42" t="s">
        <v>7779</v>
      </c>
      <c r="D2039" s="43" t="s">
        <v>227</v>
      </c>
      <c r="E2039" s="43" t="s">
        <v>1430</v>
      </c>
      <c r="F2039" s="42" t="s">
        <v>11469</v>
      </c>
      <c r="G2039" t="s">
        <v>13197</v>
      </c>
    </row>
    <row r="2040" spans="1:7" x14ac:dyDescent="0.3">
      <c r="A2040" s="42" t="s">
        <v>2249</v>
      </c>
      <c r="B2040" s="42" t="s">
        <v>2256</v>
      </c>
      <c r="C2040" s="42" t="s">
        <v>7780</v>
      </c>
      <c r="D2040" s="43" t="s">
        <v>227</v>
      </c>
      <c r="E2040" s="43" t="s">
        <v>1430</v>
      </c>
      <c r="F2040" s="42" t="s">
        <v>11469</v>
      </c>
      <c r="G2040" t="s">
        <v>13197</v>
      </c>
    </row>
    <row r="2041" spans="1:7" x14ac:dyDescent="0.3">
      <c r="A2041" s="42" t="s">
        <v>2249</v>
      </c>
      <c r="B2041" s="42" t="s">
        <v>252</v>
      </c>
      <c r="C2041" s="42" t="s">
        <v>7781</v>
      </c>
      <c r="D2041" s="43" t="s">
        <v>227</v>
      </c>
      <c r="E2041" s="43" t="s">
        <v>1430</v>
      </c>
      <c r="F2041" s="42" t="s">
        <v>11469</v>
      </c>
      <c r="G2041" t="s">
        <v>13197</v>
      </c>
    </row>
    <row r="2042" spans="1:7" x14ac:dyDescent="0.3">
      <c r="A2042" s="42" t="s">
        <v>2249</v>
      </c>
      <c r="B2042" s="42" t="s">
        <v>2257</v>
      </c>
      <c r="C2042" s="42" t="s">
        <v>7782</v>
      </c>
      <c r="D2042" s="43" t="s">
        <v>227</v>
      </c>
      <c r="E2042" s="43" t="s">
        <v>1430</v>
      </c>
      <c r="F2042" s="42" t="s">
        <v>11469</v>
      </c>
      <c r="G2042" t="s">
        <v>13197</v>
      </c>
    </row>
    <row r="2043" spans="1:7" x14ac:dyDescent="0.3">
      <c r="A2043" s="42" t="s">
        <v>2249</v>
      </c>
      <c r="B2043" s="42" t="s">
        <v>2258</v>
      </c>
      <c r="C2043" s="42" t="s">
        <v>7783</v>
      </c>
      <c r="D2043" s="43" t="s">
        <v>227</v>
      </c>
      <c r="E2043" s="43" t="s">
        <v>1430</v>
      </c>
      <c r="F2043" s="42" t="s">
        <v>11469</v>
      </c>
      <c r="G2043" t="s">
        <v>13197</v>
      </c>
    </row>
    <row r="2044" spans="1:7" x14ac:dyDescent="0.3">
      <c r="A2044" s="42" t="s">
        <v>2249</v>
      </c>
      <c r="B2044" s="42" t="s">
        <v>2259</v>
      </c>
      <c r="C2044" s="42" t="s">
        <v>7784</v>
      </c>
      <c r="D2044" s="43" t="s">
        <v>227</v>
      </c>
      <c r="E2044" s="43" t="s">
        <v>1430</v>
      </c>
      <c r="F2044" s="42" t="s">
        <v>11469</v>
      </c>
      <c r="G2044" t="s">
        <v>13197</v>
      </c>
    </row>
    <row r="2045" spans="1:7" x14ac:dyDescent="0.3">
      <c r="A2045" s="42" t="s">
        <v>2249</v>
      </c>
      <c r="B2045" s="42" t="s">
        <v>2260</v>
      </c>
      <c r="C2045" s="42" t="s">
        <v>7785</v>
      </c>
      <c r="D2045" s="43" t="s">
        <v>227</v>
      </c>
      <c r="E2045" s="43" t="s">
        <v>1430</v>
      </c>
      <c r="F2045" s="42" t="s">
        <v>11469</v>
      </c>
      <c r="G2045" t="s">
        <v>13197</v>
      </c>
    </row>
    <row r="2046" spans="1:7" x14ac:dyDescent="0.3">
      <c r="A2046" s="42" t="s">
        <v>2249</v>
      </c>
      <c r="B2046" s="42" t="s">
        <v>2261</v>
      </c>
      <c r="C2046" s="42" t="s">
        <v>7786</v>
      </c>
      <c r="D2046" s="43" t="s">
        <v>227</v>
      </c>
      <c r="E2046" s="43" t="s">
        <v>1430</v>
      </c>
      <c r="F2046" s="42" t="s">
        <v>11469</v>
      </c>
      <c r="G2046" t="s">
        <v>13197</v>
      </c>
    </row>
    <row r="2047" spans="1:7" x14ac:dyDescent="0.3">
      <c r="A2047" s="42" t="s">
        <v>2249</v>
      </c>
      <c r="B2047" s="42" t="s">
        <v>2262</v>
      </c>
      <c r="C2047" s="42" t="s">
        <v>7787</v>
      </c>
      <c r="D2047" s="43" t="s">
        <v>227</v>
      </c>
      <c r="E2047" s="43" t="s">
        <v>1430</v>
      </c>
      <c r="F2047" s="42" t="s">
        <v>11469</v>
      </c>
      <c r="G2047" t="s">
        <v>13197</v>
      </c>
    </row>
    <row r="2048" spans="1:7" x14ac:dyDescent="0.3">
      <c r="A2048" s="42" t="s">
        <v>2249</v>
      </c>
      <c r="B2048" s="42" t="s">
        <v>2263</v>
      </c>
      <c r="C2048" s="42" t="s">
        <v>7788</v>
      </c>
      <c r="D2048" s="43" t="s">
        <v>227</v>
      </c>
      <c r="E2048" s="43" t="s">
        <v>1430</v>
      </c>
      <c r="F2048" s="42" t="s">
        <v>11469</v>
      </c>
      <c r="G2048" t="s">
        <v>13197</v>
      </c>
    </row>
    <row r="2049" spans="1:7" x14ac:dyDescent="0.3">
      <c r="A2049" s="42" t="s">
        <v>2249</v>
      </c>
      <c r="B2049" s="42" t="s">
        <v>2264</v>
      </c>
      <c r="C2049" s="42" t="s">
        <v>7789</v>
      </c>
      <c r="D2049" s="43" t="s">
        <v>227</v>
      </c>
      <c r="E2049" s="43" t="s">
        <v>1430</v>
      </c>
      <c r="F2049" s="42" t="s">
        <v>11469</v>
      </c>
      <c r="G2049" t="s">
        <v>13197</v>
      </c>
    </row>
    <row r="2050" spans="1:7" x14ac:dyDescent="0.3">
      <c r="A2050" s="42" t="s">
        <v>2249</v>
      </c>
      <c r="B2050" s="42" t="s">
        <v>2265</v>
      </c>
      <c r="C2050" s="42" t="s">
        <v>7790</v>
      </c>
      <c r="D2050" s="43" t="s">
        <v>227</v>
      </c>
      <c r="E2050" s="43" t="s">
        <v>1430</v>
      </c>
      <c r="F2050" s="42" t="s">
        <v>11469</v>
      </c>
      <c r="G2050" t="s">
        <v>13197</v>
      </c>
    </row>
    <row r="2051" spans="1:7" x14ac:dyDescent="0.3">
      <c r="A2051" s="42" t="s">
        <v>2249</v>
      </c>
      <c r="B2051" s="42" t="s">
        <v>2266</v>
      </c>
      <c r="C2051" s="42" t="s">
        <v>7791</v>
      </c>
      <c r="D2051" s="43" t="s">
        <v>227</v>
      </c>
      <c r="E2051" s="43" t="s">
        <v>1430</v>
      </c>
      <c r="F2051" s="42" t="s">
        <v>11469</v>
      </c>
      <c r="G2051" t="s">
        <v>13197</v>
      </c>
    </row>
    <row r="2052" spans="1:7" x14ac:dyDescent="0.3">
      <c r="A2052" s="42" t="s">
        <v>2249</v>
      </c>
      <c r="B2052" s="42" t="s">
        <v>2267</v>
      </c>
      <c r="C2052" s="42" t="s">
        <v>7792</v>
      </c>
      <c r="D2052" s="43" t="s">
        <v>227</v>
      </c>
      <c r="E2052" s="43" t="s">
        <v>1430</v>
      </c>
      <c r="F2052" s="42" t="s">
        <v>137</v>
      </c>
      <c r="G2052" t="s">
        <v>13202</v>
      </c>
    </row>
    <row r="2053" spans="1:7" x14ac:dyDescent="0.3">
      <c r="A2053" s="42" t="s">
        <v>2249</v>
      </c>
      <c r="B2053" s="42" t="s">
        <v>2268</v>
      </c>
      <c r="C2053" s="42" t="s">
        <v>7793</v>
      </c>
      <c r="D2053" s="43" t="s">
        <v>227</v>
      </c>
      <c r="E2053" s="43" t="s">
        <v>1430</v>
      </c>
      <c r="F2053" s="42" t="s">
        <v>11469</v>
      </c>
      <c r="G2053" t="s">
        <v>13197</v>
      </c>
    </row>
    <row r="2054" spans="1:7" x14ac:dyDescent="0.3">
      <c r="A2054" s="42" t="s">
        <v>2249</v>
      </c>
      <c r="B2054" s="42" t="s">
        <v>2269</v>
      </c>
      <c r="C2054" s="42" t="s">
        <v>7794</v>
      </c>
      <c r="D2054" s="43" t="s">
        <v>227</v>
      </c>
      <c r="E2054" s="43" t="s">
        <v>1430</v>
      </c>
      <c r="F2054" s="42" t="s">
        <v>11469</v>
      </c>
      <c r="G2054" t="s">
        <v>13197</v>
      </c>
    </row>
    <row r="2055" spans="1:7" x14ac:dyDescent="0.3">
      <c r="A2055" s="42" t="s">
        <v>2249</v>
      </c>
      <c r="B2055" s="42" t="s">
        <v>2270</v>
      </c>
      <c r="C2055" s="42" t="s">
        <v>7795</v>
      </c>
      <c r="D2055" s="43" t="s">
        <v>227</v>
      </c>
      <c r="E2055" s="43" t="s">
        <v>1430</v>
      </c>
      <c r="F2055" s="42" t="s">
        <v>11469</v>
      </c>
      <c r="G2055" t="s">
        <v>13197</v>
      </c>
    </row>
    <row r="2056" spans="1:7" x14ac:dyDescent="0.3">
      <c r="A2056" s="42" t="s">
        <v>2249</v>
      </c>
      <c r="B2056" s="42" t="s">
        <v>2271</v>
      </c>
      <c r="C2056" s="42" t="s">
        <v>7796</v>
      </c>
      <c r="D2056" s="43" t="s">
        <v>227</v>
      </c>
      <c r="E2056" s="43" t="s">
        <v>1430</v>
      </c>
      <c r="F2056" s="42" t="s">
        <v>11469</v>
      </c>
      <c r="G2056" t="s">
        <v>13197</v>
      </c>
    </row>
    <row r="2057" spans="1:7" x14ac:dyDescent="0.3">
      <c r="A2057" s="42" t="s">
        <v>2249</v>
      </c>
      <c r="B2057" s="42" t="s">
        <v>2272</v>
      </c>
      <c r="C2057" s="42" t="s">
        <v>7797</v>
      </c>
      <c r="D2057" s="43" t="s">
        <v>227</v>
      </c>
      <c r="E2057" s="43" t="s">
        <v>1430</v>
      </c>
      <c r="F2057" s="42" t="s">
        <v>11469</v>
      </c>
      <c r="G2057" t="s">
        <v>13197</v>
      </c>
    </row>
    <row r="2058" spans="1:7" x14ac:dyDescent="0.3">
      <c r="A2058" s="42" t="s">
        <v>2249</v>
      </c>
      <c r="B2058" s="42" t="s">
        <v>2273</v>
      </c>
      <c r="C2058" s="42" t="s">
        <v>7798</v>
      </c>
      <c r="D2058" s="43" t="s">
        <v>227</v>
      </c>
      <c r="E2058" s="43" t="s">
        <v>1430</v>
      </c>
      <c r="F2058" s="42" t="s">
        <v>11469</v>
      </c>
      <c r="G2058" t="s">
        <v>13197</v>
      </c>
    </row>
    <row r="2059" spans="1:7" x14ac:dyDescent="0.3">
      <c r="A2059" s="42" t="s">
        <v>2249</v>
      </c>
      <c r="B2059" s="42" t="s">
        <v>2274</v>
      </c>
      <c r="C2059" s="42" t="s">
        <v>7799</v>
      </c>
      <c r="D2059" s="43" t="s">
        <v>227</v>
      </c>
      <c r="E2059" s="43" t="s">
        <v>1430</v>
      </c>
      <c r="F2059" s="42" t="s">
        <v>11469</v>
      </c>
      <c r="G2059" t="s">
        <v>13197</v>
      </c>
    </row>
    <row r="2060" spans="1:7" x14ac:dyDescent="0.3">
      <c r="A2060" s="42" t="s">
        <v>2249</v>
      </c>
      <c r="B2060" s="42" t="s">
        <v>2275</v>
      </c>
      <c r="C2060" s="42" t="s">
        <v>7800</v>
      </c>
      <c r="D2060" s="43" t="s">
        <v>227</v>
      </c>
      <c r="E2060" s="43" t="s">
        <v>1430</v>
      </c>
      <c r="F2060" s="42" t="s">
        <v>11469</v>
      </c>
      <c r="G2060" t="s">
        <v>13197</v>
      </c>
    </row>
    <row r="2061" spans="1:7" x14ac:dyDescent="0.3">
      <c r="A2061" s="42" t="s">
        <v>2249</v>
      </c>
      <c r="B2061" s="42" t="s">
        <v>2276</v>
      </c>
      <c r="C2061" s="42" t="s">
        <v>7801</v>
      </c>
      <c r="D2061" s="43" t="s">
        <v>227</v>
      </c>
      <c r="E2061" s="43" t="s">
        <v>1430</v>
      </c>
      <c r="F2061" s="42" t="s">
        <v>11469</v>
      </c>
      <c r="G2061" t="s">
        <v>13200</v>
      </c>
    </row>
    <row r="2062" spans="1:7" x14ac:dyDescent="0.3">
      <c r="A2062" s="42" t="s">
        <v>2249</v>
      </c>
      <c r="B2062" s="42" t="s">
        <v>2277</v>
      </c>
      <c r="C2062" s="42" t="s">
        <v>7802</v>
      </c>
      <c r="D2062" s="43" t="s">
        <v>227</v>
      </c>
      <c r="E2062" s="43" t="s">
        <v>1430</v>
      </c>
      <c r="F2062" s="42" t="s">
        <v>192</v>
      </c>
      <c r="G2062" t="s">
        <v>13196</v>
      </c>
    </row>
    <row r="2063" spans="1:7" x14ac:dyDescent="0.3">
      <c r="A2063" s="42" t="s">
        <v>2249</v>
      </c>
      <c r="B2063" s="42" t="s">
        <v>2278</v>
      </c>
      <c r="C2063" s="42" t="s">
        <v>7803</v>
      </c>
      <c r="D2063" s="43" t="s">
        <v>227</v>
      </c>
      <c r="E2063" s="43" t="s">
        <v>1430</v>
      </c>
      <c r="F2063" s="42" t="s">
        <v>11469</v>
      </c>
      <c r="G2063" t="s">
        <v>13197</v>
      </c>
    </row>
    <row r="2064" spans="1:7" x14ac:dyDescent="0.3">
      <c r="A2064" s="42" t="s">
        <v>2249</v>
      </c>
      <c r="B2064" s="42" t="s">
        <v>2279</v>
      </c>
      <c r="C2064" s="42" t="s">
        <v>7804</v>
      </c>
      <c r="D2064" s="43" t="s">
        <v>227</v>
      </c>
      <c r="E2064" s="43" t="s">
        <v>1430</v>
      </c>
      <c r="F2064" s="42" t="s">
        <v>11469</v>
      </c>
      <c r="G2064" t="s">
        <v>13197</v>
      </c>
    </row>
    <row r="2065" spans="1:7" x14ac:dyDescent="0.3">
      <c r="A2065" s="42" t="s">
        <v>2249</v>
      </c>
      <c r="B2065" s="42" t="s">
        <v>2280</v>
      </c>
      <c r="C2065" s="42" t="s">
        <v>7805</v>
      </c>
      <c r="D2065" s="43" t="s">
        <v>227</v>
      </c>
      <c r="E2065" s="43" t="s">
        <v>1430</v>
      </c>
      <c r="F2065" s="42" t="s">
        <v>11469</v>
      </c>
      <c r="G2065" t="s">
        <v>13197</v>
      </c>
    </row>
    <row r="2066" spans="1:7" x14ac:dyDescent="0.3">
      <c r="A2066" s="42" t="s">
        <v>2249</v>
      </c>
      <c r="B2066" s="42" t="s">
        <v>2281</v>
      </c>
      <c r="C2066" s="42" t="s">
        <v>7806</v>
      </c>
      <c r="D2066" s="43" t="s">
        <v>227</v>
      </c>
      <c r="E2066" s="43" t="s">
        <v>1430</v>
      </c>
      <c r="F2066" s="42" t="s">
        <v>192</v>
      </c>
      <c r="G2066" t="s">
        <v>13196</v>
      </c>
    </row>
    <row r="2067" spans="1:7" x14ac:dyDescent="0.3">
      <c r="A2067" s="42" t="s">
        <v>2249</v>
      </c>
      <c r="B2067" s="42" t="s">
        <v>2282</v>
      </c>
      <c r="C2067" s="42" t="s">
        <v>7807</v>
      </c>
      <c r="D2067" s="43" t="s">
        <v>227</v>
      </c>
      <c r="E2067" s="43" t="s">
        <v>1430</v>
      </c>
      <c r="F2067" s="42" t="s">
        <v>11469</v>
      </c>
      <c r="G2067" t="s">
        <v>13197</v>
      </c>
    </row>
    <row r="2068" spans="1:7" x14ac:dyDescent="0.3">
      <c r="A2068" s="42" t="s">
        <v>2249</v>
      </c>
      <c r="B2068" s="42" t="s">
        <v>2283</v>
      </c>
      <c r="C2068" s="42" t="s">
        <v>7808</v>
      </c>
      <c r="D2068" s="43" t="s">
        <v>227</v>
      </c>
      <c r="E2068" s="43" t="s">
        <v>1430</v>
      </c>
      <c r="F2068" s="42" t="s">
        <v>192</v>
      </c>
      <c r="G2068" t="s">
        <v>13196</v>
      </c>
    </row>
    <row r="2069" spans="1:7" x14ac:dyDescent="0.3">
      <c r="A2069" s="42" t="s">
        <v>2249</v>
      </c>
      <c r="B2069" s="42" t="s">
        <v>2284</v>
      </c>
      <c r="C2069" s="42" t="s">
        <v>7809</v>
      </c>
      <c r="D2069" s="43" t="s">
        <v>227</v>
      </c>
      <c r="E2069" s="43" t="s">
        <v>1430</v>
      </c>
      <c r="F2069" s="42" t="s">
        <v>11469</v>
      </c>
      <c r="G2069" t="s">
        <v>13198</v>
      </c>
    </row>
    <row r="2070" spans="1:7" x14ac:dyDescent="0.3">
      <c r="A2070" s="42" t="s">
        <v>2249</v>
      </c>
      <c r="B2070" s="42" t="s">
        <v>2285</v>
      </c>
      <c r="C2070" s="42" t="s">
        <v>7810</v>
      </c>
      <c r="D2070" s="43" t="s">
        <v>227</v>
      </c>
      <c r="E2070" s="43" t="s">
        <v>1430</v>
      </c>
      <c r="F2070" s="42" t="s">
        <v>11469</v>
      </c>
      <c r="G2070" t="s">
        <v>13197</v>
      </c>
    </row>
    <row r="2071" spans="1:7" x14ac:dyDescent="0.3">
      <c r="A2071" s="42" t="s">
        <v>2249</v>
      </c>
      <c r="B2071" s="42" t="s">
        <v>2286</v>
      </c>
      <c r="C2071" s="42" t="s">
        <v>7811</v>
      </c>
      <c r="D2071" s="43" t="s">
        <v>227</v>
      </c>
      <c r="E2071" s="43" t="s">
        <v>1430</v>
      </c>
      <c r="F2071" s="42" t="s">
        <v>11469</v>
      </c>
      <c r="G2071" t="s">
        <v>13197</v>
      </c>
    </row>
    <row r="2072" spans="1:7" x14ac:dyDescent="0.3">
      <c r="A2072" s="42" t="s">
        <v>2249</v>
      </c>
      <c r="B2072" s="42" t="s">
        <v>2287</v>
      </c>
      <c r="C2072" s="42" t="s">
        <v>7812</v>
      </c>
      <c r="D2072" s="43" t="s">
        <v>227</v>
      </c>
      <c r="E2072" s="43" t="s">
        <v>1430</v>
      </c>
      <c r="F2072" s="42" t="s">
        <v>11469</v>
      </c>
      <c r="G2072" t="s">
        <v>13197</v>
      </c>
    </row>
    <row r="2073" spans="1:7" x14ac:dyDescent="0.3">
      <c r="A2073" s="42" t="s">
        <v>2249</v>
      </c>
      <c r="B2073" s="42" t="s">
        <v>2288</v>
      </c>
      <c r="C2073" s="42" t="s">
        <v>7813</v>
      </c>
      <c r="D2073" s="43" t="s">
        <v>227</v>
      </c>
      <c r="E2073" s="43" t="s">
        <v>1430</v>
      </c>
      <c r="F2073" s="42" t="s">
        <v>11469</v>
      </c>
      <c r="G2073" t="s">
        <v>13197</v>
      </c>
    </row>
    <row r="2074" spans="1:7" x14ac:dyDescent="0.3">
      <c r="A2074" s="42" t="s">
        <v>2249</v>
      </c>
      <c r="B2074" s="42" t="s">
        <v>2289</v>
      </c>
      <c r="C2074" s="42" t="s">
        <v>7814</v>
      </c>
      <c r="D2074" s="43" t="s">
        <v>227</v>
      </c>
      <c r="E2074" s="43" t="s">
        <v>1430</v>
      </c>
      <c r="F2074" s="42" t="s">
        <v>11469</v>
      </c>
      <c r="G2074" t="s">
        <v>13197</v>
      </c>
    </row>
    <row r="2075" spans="1:7" x14ac:dyDescent="0.3">
      <c r="A2075" s="42" t="s">
        <v>2249</v>
      </c>
      <c r="B2075" s="42" t="s">
        <v>2290</v>
      </c>
      <c r="C2075" s="42" t="s">
        <v>7815</v>
      </c>
      <c r="D2075" s="43" t="s">
        <v>227</v>
      </c>
      <c r="E2075" s="43" t="s">
        <v>1430</v>
      </c>
      <c r="F2075" s="42" t="s">
        <v>192</v>
      </c>
      <c r="G2075" t="s">
        <v>13196</v>
      </c>
    </row>
    <row r="2076" spans="1:7" x14ac:dyDescent="0.3">
      <c r="A2076" s="42" t="s">
        <v>2249</v>
      </c>
      <c r="B2076" s="42" t="s">
        <v>2291</v>
      </c>
      <c r="C2076" s="42" t="s">
        <v>7816</v>
      </c>
      <c r="D2076" s="43" t="s">
        <v>227</v>
      </c>
      <c r="E2076" s="43" t="s">
        <v>1430</v>
      </c>
      <c r="F2076" s="42" t="s">
        <v>11469</v>
      </c>
      <c r="G2076" t="s">
        <v>13197</v>
      </c>
    </row>
    <row r="2077" spans="1:7" x14ac:dyDescent="0.3">
      <c r="A2077" s="42" t="s">
        <v>2249</v>
      </c>
      <c r="B2077" s="42" t="s">
        <v>2292</v>
      </c>
      <c r="C2077" s="42" t="s">
        <v>7817</v>
      </c>
      <c r="D2077" s="43" t="s">
        <v>227</v>
      </c>
      <c r="E2077" s="43" t="s">
        <v>1430</v>
      </c>
      <c r="F2077" s="42" t="s">
        <v>11469</v>
      </c>
      <c r="G2077" t="s">
        <v>13197</v>
      </c>
    </row>
    <row r="2078" spans="1:7" x14ac:dyDescent="0.3">
      <c r="A2078" s="42" t="s">
        <v>2249</v>
      </c>
      <c r="B2078" s="42" t="s">
        <v>2293</v>
      </c>
      <c r="C2078" s="42" t="s">
        <v>7818</v>
      </c>
      <c r="D2078" s="43" t="s">
        <v>227</v>
      </c>
      <c r="E2078" s="43" t="s">
        <v>1430</v>
      </c>
      <c r="F2078" s="42" t="s">
        <v>11469</v>
      </c>
      <c r="G2078" t="s">
        <v>13197</v>
      </c>
    </row>
    <row r="2079" spans="1:7" x14ac:dyDescent="0.3">
      <c r="A2079" s="42" t="s">
        <v>2249</v>
      </c>
      <c r="B2079" s="42" t="s">
        <v>2294</v>
      </c>
      <c r="C2079" s="42" t="s">
        <v>7819</v>
      </c>
      <c r="D2079" s="43" t="s">
        <v>227</v>
      </c>
      <c r="E2079" s="43" t="s">
        <v>1430</v>
      </c>
      <c r="F2079" s="42" t="s">
        <v>11469</v>
      </c>
      <c r="G2079" t="s">
        <v>13197</v>
      </c>
    </row>
    <row r="2080" spans="1:7" x14ac:dyDescent="0.3">
      <c r="A2080" s="42" t="s">
        <v>2249</v>
      </c>
      <c r="B2080" s="42" t="s">
        <v>2295</v>
      </c>
      <c r="C2080" s="42" t="s">
        <v>7820</v>
      </c>
      <c r="D2080" s="43" t="s">
        <v>227</v>
      </c>
      <c r="E2080" s="43" t="s">
        <v>1430</v>
      </c>
      <c r="F2080" s="42" t="s">
        <v>11469</v>
      </c>
      <c r="G2080" t="s">
        <v>13197</v>
      </c>
    </row>
    <row r="2081" spans="1:7" x14ac:dyDescent="0.3">
      <c r="A2081" s="42" t="s">
        <v>2249</v>
      </c>
      <c r="B2081" s="42" t="s">
        <v>2296</v>
      </c>
      <c r="C2081" s="42" t="s">
        <v>7821</v>
      </c>
      <c r="D2081" s="43" t="s">
        <v>227</v>
      </c>
      <c r="E2081" s="43" t="s">
        <v>1430</v>
      </c>
      <c r="F2081" s="42" t="s">
        <v>11469</v>
      </c>
      <c r="G2081" t="s">
        <v>13197</v>
      </c>
    </row>
    <row r="2082" spans="1:7" x14ac:dyDescent="0.3">
      <c r="A2082" s="42" t="s">
        <v>2249</v>
      </c>
      <c r="B2082" s="42" t="s">
        <v>2297</v>
      </c>
      <c r="C2082" s="42" t="s">
        <v>7822</v>
      </c>
      <c r="D2082" s="43" t="s">
        <v>227</v>
      </c>
      <c r="E2082" s="43" t="s">
        <v>1430</v>
      </c>
      <c r="F2082" s="42" t="s">
        <v>11469</v>
      </c>
      <c r="G2082" t="s">
        <v>13197</v>
      </c>
    </row>
    <row r="2083" spans="1:7" x14ac:dyDescent="0.3">
      <c r="A2083" s="42" t="s">
        <v>2249</v>
      </c>
      <c r="B2083" s="42" t="s">
        <v>2298</v>
      </c>
      <c r="C2083" s="42" t="s">
        <v>7823</v>
      </c>
      <c r="D2083" s="43" t="s">
        <v>227</v>
      </c>
      <c r="E2083" s="43" t="s">
        <v>1430</v>
      </c>
      <c r="F2083" s="42" t="s">
        <v>11469</v>
      </c>
      <c r="G2083" t="s">
        <v>13197</v>
      </c>
    </row>
    <row r="2084" spans="1:7" x14ac:dyDescent="0.3">
      <c r="A2084" s="42" t="s">
        <v>2249</v>
      </c>
      <c r="B2084" s="42" t="s">
        <v>2299</v>
      </c>
      <c r="C2084" s="42" t="s">
        <v>7824</v>
      </c>
      <c r="D2084" s="43" t="s">
        <v>227</v>
      </c>
      <c r="E2084" s="43" t="s">
        <v>1430</v>
      </c>
      <c r="F2084" s="42" t="s">
        <v>11469</v>
      </c>
      <c r="G2084" t="s">
        <v>13197</v>
      </c>
    </row>
    <row r="2085" spans="1:7" x14ac:dyDescent="0.3">
      <c r="A2085" s="42" t="s">
        <v>2249</v>
      </c>
      <c r="B2085" s="42" t="s">
        <v>2300</v>
      </c>
      <c r="C2085" s="42" t="s">
        <v>7825</v>
      </c>
      <c r="D2085" s="43" t="s">
        <v>227</v>
      </c>
      <c r="E2085" s="43" t="s">
        <v>1430</v>
      </c>
      <c r="F2085" s="42" t="s">
        <v>11469</v>
      </c>
      <c r="G2085" t="s">
        <v>13197</v>
      </c>
    </row>
    <row r="2086" spans="1:7" x14ac:dyDescent="0.3">
      <c r="A2086" s="42" t="s">
        <v>2249</v>
      </c>
      <c r="B2086" s="42" t="s">
        <v>2301</v>
      </c>
      <c r="C2086" s="42" t="s">
        <v>7826</v>
      </c>
      <c r="D2086" s="43" t="s">
        <v>227</v>
      </c>
      <c r="E2086" s="43" t="s">
        <v>1430</v>
      </c>
      <c r="F2086" s="42" t="s">
        <v>11469</v>
      </c>
      <c r="G2086" t="s">
        <v>13197</v>
      </c>
    </row>
    <row r="2087" spans="1:7" x14ac:dyDescent="0.3">
      <c r="A2087" s="42" t="s">
        <v>2249</v>
      </c>
      <c r="B2087" s="42" t="s">
        <v>2302</v>
      </c>
      <c r="C2087" s="42" t="s">
        <v>7827</v>
      </c>
      <c r="D2087" s="43" t="s">
        <v>227</v>
      </c>
      <c r="E2087" s="43" t="s">
        <v>1430</v>
      </c>
      <c r="F2087" s="42" t="s">
        <v>11469</v>
      </c>
      <c r="G2087" t="s">
        <v>13197</v>
      </c>
    </row>
    <row r="2088" spans="1:7" x14ac:dyDescent="0.3">
      <c r="A2088" s="42" t="s">
        <v>2249</v>
      </c>
      <c r="B2088" s="42" t="s">
        <v>2303</v>
      </c>
      <c r="C2088" s="42" t="s">
        <v>7828</v>
      </c>
      <c r="D2088" s="43" t="s">
        <v>227</v>
      </c>
      <c r="E2088" s="43" t="s">
        <v>1430</v>
      </c>
      <c r="F2088" s="42" t="s">
        <v>11469</v>
      </c>
      <c r="G2088" t="s">
        <v>13197</v>
      </c>
    </row>
    <row r="2089" spans="1:7" x14ac:dyDescent="0.3">
      <c r="A2089" s="42" t="s">
        <v>2249</v>
      </c>
      <c r="B2089" s="42" t="s">
        <v>2304</v>
      </c>
      <c r="C2089" s="42" t="s">
        <v>7829</v>
      </c>
      <c r="D2089" s="43" t="s">
        <v>227</v>
      </c>
      <c r="E2089" s="43" t="s">
        <v>1430</v>
      </c>
      <c r="F2089" s="42" t="s">
        <v>11469</v>
      </c>
      <c r="G2089" t="s">
        <v>13197</v>
      </c>
    </row>
    <row r="2090" spans="1:7" x14ac:dyDescent="0.3">
      <c r="A2090" s="42" t="s">
        <v>2249</v>
      </c>
      <c r="B2090" s="42" t="s">
        <v>2305</v>
      </c>
      <c r="C2090" s="42" t="s">
        <v>7830</v>
      </c>
      <c r="D2090" s="43" t="s">
        <v>227</v>
      </c>
      <c r="E2090" s="43" t="s">
        <v>1430</v>
      </c>
      <c r="F2090" s="42" t="s">
        <v>11469</v>
      </c>
      <c r="G2090" t="s">
        <v>13197</v>
      </c>
    </row>
    <row r="2091" spans="1:7" x14ac:dyDescent="0.3">
      <c r="A2091" s="42" t="s">
        <v>2249</v>
      </c>
      <c r="B2091" s="42" t="s">
        <v>2306</v>
      </c>
      <c r="C2091" s="42" t="s">
        <v>7831</v>
      </c>
      <c r="D2091" s="43" t="s">
        <v>227</v>
      </c>
      <c r="E2091" s="43" t="s">
        <v>1430</v>
      </c>
      <c r="F2091" s="42" t="s">
        <v>11469</v>
      </c>
      <c r="G2091" t="s">
        <v>13197</v>
      </c>
    </row>
    <row r="2092" spans="1:7" x14ac:dyDescent="0.3">
      <c r="A2092" s="42" t="s">
        <v>2249</v>
      </c>
      <c r="B2092" s="42" t="s">
        <v>2307</v>
      </c>
      <c r="C2092" s="42" t="s">
        <v>7832</v>
      </c>
      <c r="D2092" s="43" t="s">
        <v>227</v>
      </c>
      <c r="E2092" s="43" t="s">
        <v>1430</v>
      </c>
      <c r="F2092" s="42" t="s">
        <v>11469</v>
      </c>
      <c r="G2092" t="s">
        <v>13197</v>
      </c>
    </row>
    <row r="2093" spans="1:7" x14ac:dyDescent="0.3">
      <c r="A2093" s="42" t="s">
        <v>2249</v>
      </c>
      <c r="B2093" s="42" t="s">
        <v>2308</v>
      </c>
      <c r="C2093" s="42" t="s">
        <v>7833</v>
      </c>
      <c r="D2093" s="43" t="s">
        <v>227</v>
      </c>
      <c r="E2093" s="43" t="s">
        <v>1430</v>
      </c>
      <c r="F2093" s="42" t="s">
        <v>192</v>
      </c>
      <c r="G2093" t="s">
        <v>13196</v>
      </c>
    </row>
    <row r="2094" spans="1:7" x14ac:dyDescent="0.3">
      <c r="A2094" s="42" t="s">
        <v>2249</v>
      </c>
      <c r="B2094" s="42" t="s">
        <v>2309</v>
      </c>
      <c r="C2094" s="42" t="s">
        <v>7834</v>
      </c>
      <c r="D2094" s="43" t="s">
        <v>227</v>
      </c>
      <c r="E2094" s="43" t="s">
        <v>1430</v>
      </c>
      <c r="F2094" s="42" t="s">
        <v>11469</v>
      </c>
      <c r="G2094" t="s">
        <v>13197</v>
      </c>
    </row>
    <row r="2095" spans="1:7" x14ac:dyDescent="0.3">
      <c r="A2095" s="42" t="s">
        <v>2249</v>
      </c>
      <c r="B2095" s="42" t="s">
        <v>2310</v>
      </c>
      <c r="C2095" s="42" t="s">
        <v>7835</v>
      </c>
      <c r="D2095" s="43" t="s">
        <v>227</v>
      </c>
      <c r="E2095" s="43" t="s">
        <v>1430</v>
      </c>
      <c r="F2095" s="42" t="s">
        <v>11469</v>
      </c>
      <c r="G2095" t="s">
        <v>13197</v>
      </c>
    </row>
    <row r="2096" spans="1:7" x14ac:dyDescent="0.3">
      <c r="A2096" s="42" t="s">
        <v>2249</v>
      </c>
      <c r="B2096" s="42" t="s">
        <v>2311</v>
      </c>
      <c r="C2096" s="42" t="s">
        <v>7836</v>
      </c>
      <c r="D2096" s="43" t="s">
        <v>227</v>
      </c>
      <c r="E2096" s="43" t="s">
        <v>1430</v>
      </c>
      <c r="F2096" s="42" t="s">
        <v>11469</v>
      </c>
      <c r="G2096" t="s">
        <v>13197</v>
      </c>
    </row>
    <row r="2097" spans="1:7" x14ac:dyDescent="0.3">
      <c r="A2097" s="42" t="s">
        <v>2249</v>
      </c>
      <c r="B2097" s="42" t="s">
        <v>2312</v>
      </c>
      <c r="C2097" s="42" t="s">
        <v>7837</v>
      </c>
      <c r="D2097" s="43" t="s">
        <v>227</v>
      </c>
      <c r="E2097" s="43" t="s">
        <v>1430</v>
      </c>
      <c r="F2097" s="42" t="s">
        <v>11469</v>
      </c>
      <c r="G2097" t="s">
        <v>13197</v>
      </c>
    </row>
    <row r="2098" spans="1:7" x14ac:dyDescent="0.3">
      <c r="A2098" s="42" t="s">
        <v>2249</v>
      </c>
      <c r="B2098" s="42" t="s">
        <v>2313</v>
      </c>
      <c r="C2098" s="42" t="s">
        <v>7838</v>
      </c>
      <c r="D2098" s="43" t="s">
        <v>227</v>
      </c>
      <c r="E2098" s="43" t="s">
        <v>1430</v>
      </c>
      <c r="F2098" s="42" t="s">
        <v>11469</v>
      </c>
      <c r="G2098" t="s">
        <v>13197</v>
      </c>
    </row>
    <row r="2099" spans="1:7" x14ac:dyDescent="0.3">
      <c r="A2099" s="42" t="s">
        <v>2249</v>
      </c>
      <c r="B2099" s="42" t="s">
        <v>2314</v>
      </c>
      <c r="C2099" s="42" t="s">
        <v>7839</v>
      </c>
      <c r="D2099" s="43" t="s">
        <v>227</v>
      </c>
      <c r="E2099" s="43" t="s">
        <v>1430</v>
      </c>
      <c r="F2099" s="42" t="s">
        <v>11469</v>
      </c>
      <c r="G2099" t="s">
        <v>13197</v>
      </c>
    </row>
    <row r="2100" spans="1:7" x14ac:dyDescent="0.3">
      <c r="A2100" s="42" t="s">
        <v>2249</v>
      </c>
      <c r="B2100" s="42" t="s">
        <v>2315</v>
      </c>
      <c r="C2100" s="42" t="s">
        <v>7840</v>
      </c>
      <c r="D2100" s="43" t="s">
        <v>227</v>
      </c>
      <c r="E2100" s="43" t="s">
        <v>1430</v>
      </c>
      <c r="F2100" s="42" t="s">
        <v>11469</v>
      </c>
      <c r="G2100" t="s">
        <v>13197</v>
      </c>
    </row>
    <row r="2101" spans="1:7" x14ac:dyDescent="0.3">
      <c r="A2101" s="42" t="s">
        <v>2249</v>
      </c>
      <c r="B2101" s="42" t="s">
        <v>2316</v>
      </c>
      <c r="C2101" s="42" t="s">
        <v>7841</v>
      </c>
      <c r="D2101" s="43" t="s">
        <v>227</v>
      </c>
      <c r="E2101" s="43" t="s">
        <v>1430</v>
      </c>
      <c r="F2101" s="42" t="s">
        <v>11469</v>
      </c>
      <c r="G2101" t="s">
        <v>13197</v>
      </c>
    </row>
    <row r="2102" spans="1:7" x14ac:dyDescent="0.3">
      <c r="A2102" s="42" t="s">
        <v>2249</v>
      </c>
      <c r="B2102" s="42" t="s">
        <v>2317</v>
      </c>
      <c r="C2102" s="42" t="s">
        <v>7842</v>
      </c>
      <c r="D2102" s="43" t="s">
        <v>227</v>
      </c>
      <c r="E2102" s="43" t="s">
        <v>1430</v>
      </c>
      <c r="F2102" s="42" t="s">
        <v>11469</v>
      </c>
      <c r="G2102" t="s">
        <v>13197</v>
      </c>
    </row>
    <row r="2103" spans="1:7" x14ac:dyDescent="0.3">
      <c r="A2103" s="42" t="s">
        <v>2249</v>
      </c>
      <c r="B2103" s="42" t="s">
        <v>2318</v>
      </c>
      <c r="C2103" s="42" t="s">
        <v>7843</v>
      </c>
      <c r="D2103" s="43" t="s">
        <v>227</v>
      </c>
      <c r="E2103" s="43" t="s">
        <v>1430</v>
      </c>
      <c r="F2103" s="42" t="s">
        <v>192</v>
      </c>
      <c r="G2103" t="s">
        <v>13196</v>
      </c>
    </row>
    <row r="2104" spans="1:7" x14ac:dyDescent="0.3">
      <c r="A2104" s="42" t="s">
        <v>2249</v>
      </c>
      <c r="B2104" s="42" t="s">
        <v>2319</v>
      </c>
      <c r="C2104" s="42" t="s">
        <v>7844</v>
      </c>
      <c r="D2104" s="43" t="s">
        <v>227</v>
      </c>
      <c r="E2104" s="43" t="s">
        <v>1430</v>
      </c>
      <c r="F2104" s="42" t="s">
        <v>11469</v>
      </c>
      <c r="G2104" t="s">
        <v>13197</v>
      </c>
    </row>
    <row r="2105" spans="1:7" x14ac:dyDescent="0.3">
      <c r="A2105" s="42" t="s">
        <v>2249</v>
      </c>
      <c r="B2105" s="42" t="s">
        <v>396</v>
      </c>
      <c r="C2105" s="42" t="s">
        <v>7845</v>
      </c>
      <c r="D2105" s="43" t="s">
        <v>227</v>
      </c>
      <c r="E2105" s="43" t="s">
        <v>1430</v>
      </c>
      <c r="F2105" s="42" t="s">
        <v>11469</v>
      </c>
      <c r="G2105" t="s">
        <v>13197</v>
      </c>
    </row>
    <row r="2106" spans="1:7" x14ac:dyDescent="0.3">
      <c r="A2106" s="42" t="s">
        <v>2249</v>
      </c>
      <c r="B2106" s="42" t="s">
        <v>2320</v>
      </c>
      <c r="C2106" s="42" t="s">
        <v>7846</v>
      </c>
      <c r="D2106" s="43" t="s">
        <v>227</v>
      </c>
      <c r="E2106" s="43" t="s">
        <v>1430</v>
      </c>
      <c r="F2106" s="42" t="s">
        <v>11469</v>
      </c>
      <c r="G2106" t="s">
        <v>13200</v>
      </c>
    </row>
    <row r="2107" spans="1:7" x14ac:dyDescent="0.3">
      <c r="A2107" s="42" t="s">
        <v>2249</v>
      </c>
      <c r="B2107" s="42" t="s">
        <v>2321</v>
      </c>
      <c r="C2107" s="42" t="s">
        <v>7847</v>
      </c>
      <c r="D2107" s="43" t="s">
        <v>227</v>
      </c>
      <c r="E2107" s="43" t="s">
        <v>1430</v>
      </c>
      <c r="F2107" s="42" t="s">
        <v>11469</v>
      </c>
      <c r="G2107" t="s">
        <v>13197</v>
      </c>
    </row>
    <row r="2108" spans="1:7" x14ac:dyDescent="0.3">
      <c r="A2108" s="42" t="s">
        <v>2249</v>
      </c>
      <c r="B2108" s="42" t="s">
        <v>2322</v>
      </c>
      <c r="C2108" s="42" t="s">
        <v>7848</v>
      </c>
      <c r="D2108" s="43" t="s">
        <v>227</v>
      </c>
      <c r="E2108" s="43" t="s">
        <v>1430</v>
      </c>
      <c r="F2108" s="42" t="s">
        <v>11469</v>
      </c>
      <c r="G2108" t="s">
        <v>13197</v>
      </c>
    </row>
    <row r="2109" spans="1:7" x14ac:dyDescent="0.3">
      <c r="A2109" s="42" t="s">
        <v>2249</v>
      </c>
      <c r="B2109" s="42" t="s">
        <v>2323</v>
      </c>
      <c r="C2109" s="42" t="s">
        <v>7849</v>
      </c>
      <c r="D2109" s="43" t="s">
        <v>227</v>
      </c>
      <c r="E2109" s="43" t="s">
        <v>1430</v>
      </c>
      <c r="F2109" s="42" t="s">
        <v>11469</v>
      </c>
      <c r="G2109" t="s">
        <v>13197</v>
      </c>
    </row>
    <row r="2110" spans="1:7" x14ac:dyDescent="0.3">
      <c r="A2110" s="42" t="s">
        <v>2249</v>
      </c>
      <c r="B2110" s="42" t="s">
        <v>2324</v>
      </c>
      <c r="C2110" s="42" t="s">
        <v>7850</v>
      </c>
      <c r="D2110" s="43" t="s">
        <v>227</v>
      </c>
      <c r="E2110" s="43" t="s">
        <v>1430</v>
      </c>
      <c r="F2110" s="42" t="s">
        <v>11469</v>
      </c>
      <c r="G2110" t="s">
        <v>13197</v>
      </c>
    </row>
    <row r="2111" spans="1:7" x14ac:dyDescent="0.3">
      <c r="A2111" s="42" t="s">
        <v>2249</v>
      </c>
      <c r="B2111" s="42" t="s">
        <v>2325</v>
      </c>
      <c r="C2111" s="42" t="s">
        <v>7851</v>
      </c>
      <c r="D2111" s="43" t="s">
        <v>227</v>
      </c>
      <c r="E2111" s="43" t="s">
        <v>1430</v>
      </c>
      <c r="F2111" s="42" t="s">
        <v>11469</v>
      </c>
      <c r="G2111" t="s">
        <v>13197</v>
      </c>
    </row>
    <row r="2112" spans="1:7" x14ac:dyDescent="0.3">
      <c r="A2112" s="42" t="s">
        <v>2249</v>
      </c>
      <c r="B2112" s="42" t="s">
        <v>2326</v>
      </c>
      <c r="C2112" s="42" t="s">
        <v>7852</v>
      </c>
      <c r="D2112" s="43" t="s">
        <v>227</v>
      </c>
      <c r="E2112" s="43" t="s">
        <v>1430</v>
      </c>
      <c r="F2112" s="42" t="s">
        <v>11469</v>
      </c>
      <c r="G2112" t="s">
        <v>13197</v>
      </c>
    </row>
    <row r="2113" spans="1:7" x14ac:dyDescent="0.3">
      <c r="A2113" s="42" t="s">
        <v>2249</v>
      </c>
      <c r="B2113" s="42" t="s">
        <v>2327</v>
      </c>
      <c r="C2113" s="42" t="s">
        <v>7853</v>
      </c>
      <c r="D2113" s="43" t="s">
        <v>227</v>
      </c>
      <c r="E2113" s="43" t="s">
        <v>1430</v>
      </c>
      <c r="F2113" s="42" t="s">
        <v>11469</v>
      </c>
      <c r="G2113" t="s">
        <v>13197</v>
      </c>
    </row>
    <row r="2114" spans="1:7" x14ac:dyDescent="0.3">
      <c r="A2114" s="42" t="s">
        <v>2249</v>
      </c>
      <c r="B2114" s="42" t="s">
        <v>2328</v>
      </c>
      <c r="C2114" s="42" t="s">
        <v>7854</v>
      </c>
      <c r="D2114" s="43" t="s">
        <v>227</v>
      </c>
      <c r="E2114" s="43" t="s">
        <v>1430</v>
      </c>
      <c r="F2114" s="42" t="s">
        <v>192</v>
      </c>
      <c r="G2114" t="s">
        <v>13196</v>
      </c>
    </row>
    <row r="2115" spans="1:7" x14ac:dyDescent="0.3">
      <c r="A2115" s="42" t="s">
        <v>2249</v>
      </c>
      <c r="B2115" s="42" t="s">
        <v>2329</v>
      </c>
      <c r="C2115" s="42" t="s">
        <v>7855</v>
      </c>
      <c r="D2115" s="43" t="s">
        <v>227</v>
      </c>
      <c r="E2115" s="43" t="s">
        <v>1430</v>
      </c>
      <c r="F2115" s="42" t="s">
        <v>192</v>
      </c>
      <c r="G2115" t="s">
        <v>13196</v>
      </c>
    </row>
    <row r="2116" spans="1:7" x14ac:dyDescent="0.3">
      <c r="A2116" s="42" t="s">
        <v>2249</v>
      </c>
      <c r="B2116" s="42" t="s">
        <v>2330</v>
      </c>
      <c r="C2116" s="42" t="s">
        <v>7856</v>
      </c>
      <c r="D2116" s="43" t="s">
        <v>227</v>
      </c>
      <c r="E2116" s="43" t="s">
        <v>1430</v>
      </c>
      <c r="F2116" s="42" t="s">
        <v>11469</v>
      </c>
      <c r="G2116" t="s">
        <v>13197</v>
      </c>
    </row>
    <row r="2117" spans="1:7" x14ac:dyDescent="0.3">
      <c r="A2117" s="42" t="s">
        <v>2249</v>
      </c>
      <c r="B2117" s="42" t="s">
        <v>2331</v>
      </c>
      <c r="C2117" s="42" t="s">
        <v>7857</v>
      </c>
      <c r="D2117" s="43" t="s">
        <v>227</v>
      </c>
      <c r="E2117" s="43" t="s">
        <v>1430</v>
      </c>
      <c r="F2117" s="42" t="s">
        <v>11469</v>
      </c>
      <c r="G2117" t="s">
        <v>13197</v>
      </c>
    </row>
    <row r="2118" spans="1:7" x14ac:dyDescent="0.3">
      <c r="A2118" s="42" t="s">
        <v>2249</v>
      </c>
      <c r="B2118" s="42" t="s">
        <v>2332</v>
      </c>
      <c r="C2118" s="42" t="s">
        <v>7858</v>
      </c>
      <c r="D2118" s="43" t="s">
        <v>227</v>
      </c>
      <c r="E2118" s="43" t="s">
        <v>1430</v>
      </c>
      <c r="F2118" s="42" t="s">
        <v>11469</v>
      </c>
      <c r="G2118" t="s">
        <v>13197</v>
      </c>
    </row>
    <row r="2119" spans="1:7" x14ac:dyDescent="0.3">
      <c r="A2119" s="42" t="s">
        <v>2249</v>
      </c>
      <c r="B2119" s="42" t="s">
        <v>2333</v>
      </c>
      <c r="C2119" s="42" t="s">
        <v>7859</v>
      </c>
      <c r="D2119" s="43" t="s">
        <v>227</v>
      </c>
      <c r="E2119" s="43" t="s">
        <v>1430</v>
      </c>
      <c r="F2119" s="42" t="s">
        <v>11469</v>
      </c>
      <c r="G2119" t="s">
        <v>13197</v>
      </c>
    </row>
    <row r="2120" spans="1:7" x14ac:dyDescent="0.3">
      <c r="A2120" s="42" t="s">
        <v>2249</v>
      </c>
      <c r="B2120" s="42" t="s">
        <v>2334</v>
      </c>
      <c r="C2120" s="42" t="s">
        <v>7860</v>
      </c>
      <c r="D2120" s="43" t="s">
        <v>227</v>
      </c>
      <c r="E2120" s="43" t="s">
        <v>1430</v>
      </c>
      <c r="F2120" s="42" t="s">
        <v>11469</v>
      </c>
      <c r="G2120" t="s">
        <v>13197</v>
      </c>
    </row>
    <row r="2121" spans="1:7" x14ac:dyDescent="0.3">
      <c r="A2121" s="42" t="s">
        <v>2249</v>
      </c>
      <c r="B2121" s="42" t="s">
        <v>2335</v>
      </c>
      <c r="C2121" s="42" t="s">
        <v>7861</v>
      </c>
      <c r="D2121" s="43" t="s">
        <v>227</v>
      </c>
      <c r="E2121" s="43" t="s">
        <v>1430</v>
      </c>
      <c r="F2121" s="42" t="s">
        <v>11469</v>
      </c>
      <c r="G2121" t="s">
        <v>13197</v>
      </c>
    </row>
    <row r="2122" spans="1:7" x14ac:dyDescent="0.3">
      <c r="A2122" s="42" t="s">
        <v>2249</v>
      </c>
      <c r="B2122" s="42" t="s">
        <v>2336</v>
      </c>
      <c r="C2122" s="42" t="s">
        <v>7862</v>
      </c>
      <c r="D2122" s="43" t="s">
        <v>227</v>
      </c>
      <c r="E2122" s="43" t="s">
        <v>1430</v>
      </c>
      <c r="F2122" s="42" t="s">
        <v>11469</v>
      </c>
      <c r="G2122" t="s">
        <v>13197</v>
      </c>
    </row>
    <row r="2123" spans="1:7" x14ac:dyDescent="0.3">
      <c r="A2123" s="42" t="s">
        <v>2249</v>
      </c>
      <c r="B2123" s="42" t="s">
        <v>2337</v>
      </c>
      <c r="C2123" s="42" t="s">
        <v>7863</v>
      </c>
      <c r="D2123" s="43" t="s">
        <v>227</v>
      </c>
      <c r="E2123" s="43" t="s">
        <v>1430</v>
      </c>
      <c r="F2123" s="42" t="s">
        <v>11469</v>
      </c>
      <c r="G2123" t="s">
        <v>13197</v>
      </c>
    </row>
    <row r="2124" spans="1:7" x14ac:dyDescent="0.3">
      <c r="A2124" s="42" t="s">
        <v>2249</v>
      </c>
      <c r="B2124" s="42" t="s">
        <v>2338</v>
      </c>
      <c r="C2124" s="42" t="s">
        <v>7864</v>
      </c>
      <c r="D2124" s="43" t="s">
        <v>227</v>
      </c>
      <c r="E2124" s="43" t="s">
        <v>1430</v>
      </c>
      <c r="F2124" s="42" t="s">
        <v>11469</v>
      </c>
      <c r="G2124" t="s">
        <v>13197</v>
      </c>
    </row>
    <row r="2125" spans="1:7" x14ac:dyDescent="0.3">
      <c r="A2125" s="42" t="s">
        <v>2249</v>
      </c>
      <c r="B2125" s="42" t="s">
        <v>2339</v>
      </c>
      <c r="C2125" s="42" t="s">
        <v>7865</v>
      </c>
      <c r="D2125" s="43" t="s">
        <v>227</v>
      </c>
      <c r="E2125" s="43" t="s">
        <v>1430</v>
      </c>
      <c r="F2125" s="42" t="s">
        <v>11469</v>
      </c>
      <c r="G2125" t="s">
        <v>13197</v>
      </c>
    </row>
    <row r="2126" spans="1:7" x14ac:dyDescent="0.3">
      <c r="A2126" s="42" t="s">
        <v>2249</v>
      </c>
      <c r="B2126" s="42" t="s">
        <v>2340</v>
      </c>
      <c r="C2126" s="42" t="s">
        <v>7866</v>
      </c>
      <c r="D2126" s="43" t="s">
        <v>227</v>
      </c>
      <c r="E2126" s="43" t="s">
        <v>1430</v>
      </c>
      <c r="F2126" s="42" t="s">
        <v>11469</v>
      </c>
      <c r="G2126" t="s">
        <v>13197</v>
      </c>
    </row>
    <row r="2127" spans="1:7" x14ac:dyDescent="0.3">
      <c r="A2127" s="42" t="s">
        <v>2249</v>
      </c>
      <c r="B2127" s="42" t="s">
        <v>2341</v>
      </c>
      <c r="C2127" s="42" t="s">
        <v>7867</v>
      </c>
      <c r="D2127" s="43" t="s">
        <v>227</v>
      </c>
      <c r="E2127" s="43" t="s">
        <v>1430</v>
      </c>
      <c r="F2127" s="42" t="s">
        <v>11469</v>
      </c>
      <c r="G2127" t="s">
        <v>13197</v>
      </c>
    </row>
    <row r="2128" spans="1:7" x14ac:dyDescent="0.3">
      <c r="A2128" s="42" t="s">
        <v>2249</v>
      </c>
      <c r="B2128" s="42" t="s">
        <v>2342</v>
      </c>
      <c r="C2128" s="42" t="s">
        <v>7868</v>
      </c>
      <c r="D2128" s="43" t="s">
        <v>227</v>
      </c>
      <c r="E2128" s="43" t="s">
        <v>1430</v>
      </c>
      <c r="F2128" s="42" t="s">
        <v>11469</v>
      </c>
      <c r="G2128" t="s">
        <v>13197</v>
      </c>
    </row>
    <row r="2129" spans="1:7" x14ac:dyDescent="0.3">
      <c r="A2129" s="42" t="s">
        <v>2249</v>
      </c>
      <c r="B2129" s="42" t="s">
        <v>2343</v>
      </c>
      <c r="C2129" s="42" t="s">
        <v>7869</v>
      </c>
      <c r="D2129" s="43" t="s">
        <v>227</v>
      </c>
      <c r="E2129" s="43" t="s">
        <v>1430</v>
      </c>
      <c r="F2129" s="42" t="s">
        <v>11469</v>
      </c>
      <c r="G2129" t="s">
        <v>13198</v>
      </c>
    </row>
    <row r="2130" spans="1:7" x14ac:dyDescent="0.3">
      <c r="A2130" s="42" t="s">
        <v>2249</v>
      </c>
      <c r="B2130" s="42" t="s">
        <v>2344</v>
      </c>
      <c r="C2130" s="42" t="s">
        <v>7870</v>
      </c>
      <c r="D2130" s="43" t="s">
        <v>227</v>
      </c>
      <c r="E2130" s="43" t="s">
        <v>1430</v>
      </c>
      <c r="F2130" s="42" t="s">
        <v>11469</v>
      </c>
      <c r="G2130" t="s">
        <v>13200</v>
      </c>
    </row>
    <row r="2131" spans="1:7" x14ac:dyDescent="0.3">
      <c r="A2131" s="42" t="s">
        <v>2249</v>
      </c>
      <c r="B2131" s="42" t="s">
        <v>2345</v>
      </c>
      <c r="C2131" s="42" t="s">
        <v>7871</v>
      </c>
      <c r="D2131" s="43" t="s">
        <v>227</v>
      </c>
      <c r="E2131" s="43" t="s">
        <v>1430</v>
      </c>
      <c r="F2131" s="42" t="s">
        <v>11469</v>
      </c>
      <c r="G2131" t="s">
        <v>13197</v>
      </c>
    </row>
    <row r="2132" spans="1:7" x14ac:dyDescent="0.3">
      <c r="A2132" s="42" t="s">
        <v>2249</v>
      </c>
      <c r="B2132" s="42" t="s">
        <v>2346</v>
      </c>
      <c r="C2132" s="42" t="s">
        <v>7872</v>
      </c>
      <c r="D2132" s="43" t="s">
        <v>227</v>
      </c>
      <c r="E2132" s="43" t="s">
        <v>1430</v>
      </c>
      <c r="F2132" s="42" t="s">
        <v>11469</v>
      </c>
      <c r="G2132" t="s">
        <v>13197</v>
      </c>
    </row>
    <row r="2133" spans="1:7" x14ac:dyDescent="0.3">
      <c r="A2133" s="42" t="s">
        <v>2249</v>
      </c>
      <c r="B2133" s="42" t="s">
        <v>2347</v>
      </c>
      <c r="C2133" s="42" t="s">
        <v>7873</v>
      </c>
      <c r="D2133" s="43" t="s">
        <v>227</v>
      </c>
      <c r="E2133" s="43" t="s">
        <v>1430</v>
      </c>
      <c r="F2133" s="42" t="s">
        <v>11469</v>
      </c>
      <c r="G2133" t="s">
        <v>13197</v>
      </c>
    </row>
    <row r="2134" spans="1:7" x14ac:dyDescent="0.3">
      <c r="A2134" s="42" t="s">
        <v>2249</v>
      </c>
      <c r="B2134" s="42" t="s">
        <v>2348</v>
      </c>
      <c r="C2134" s="42" t="s">
        <v>7874</v>
      </c>
      <c r="D2134" s="43" t="s">
        <v>227</v>
      </c>
      <c r="E2134" s="43" t="s">
        <v>1430</v>
      </c>
      <c r="F2134" s="42" t="s">
        <v>11469</v>
      </c>
      <c r="G2134" t="s">
        <v>13197</v>
      </c>
    </row>
    <row r="2135" spans="1:7" x14ac:dyDescent="0.3">
      <c r="A2135" s="42" t="s">
        <v>2249</v>
      </c>
      <c r="B2135" s="42" t="s">
        <v>2349</v>
      </c>
      <c r="C2135" s="42" t="s">
        <v>7875</v>
      </c>
      <c r="D2135" s="43" t="s">
        <v>227</v>
      </c>
      <c r="E2135" s="43" t="s">
        <v>1430</v>
      </c>
      <c r="F2135" s="42" t="s">
        <v>11469</v>
      </c>
      <c r="G2135" t="s">
        <v>13197</v>
      </c>
    </row>
    <row r="2136" spans="1:7" x14ac:dyDescent="0.3">
      <c r="A2136" s="42" t="s">
        <v>2249</v>
      </c>
      <c r="B2136" s="42" t="s">
        <v>2350</v>
      </c>
      <c r="C2136" s="42" t="s">
        <v>7876</v>
      </c>
      <c r="D2136" s="43" t="s">
        <v>227</v>
      </c>
      <c r="E2136" s="43" t="s">
        <v>1430</v>
      </c>
      <c r="F2136" s="42" t="s">
        <v>11469</v>
      </c>
      <c r="G2136" t="s">
        <v>13197</v>
      </c>
    </row>
    <row r="2137" spans="1:7" x14ac:dyDescent="0.3">
      <c r="A2137" s="42" t="s">
        <v>2249</v>
      </c>
      <c r="B2137" s="42" t="s">
        <v>2351</v>
      </c>
      <c r="C2137" s="42" t="s">
        <v>7877</v>
      </c>
      <c r="D2137" s="43" t="s">
        <v>227</v>
      </c>
      <c r="E2137" s="43" t="s">
        <v>1430</v>
      </c>
      <c r="F2137" s="42" t="s">
        <v>11469</v>
      </c>
      <c r="G2137" t="s">
        <v>13197</v>
      </c>
    </row>
    <row r="2138" spans="1:7" x14ac:dyDescent="0.3">
      <c r="A2138" s="42" t="s">
        <v>2249</v>
      </c>
      <c r="B2138" s="42" t="s">
        <v>2352</v>
      </c>
      <c r="C2138" s="42" t="s">
        <v>7878</v>
      </c>
      <c r="D2138" s="43" t="s">
        <v>227</v>
      </c>
      <c r="E2138" s="43" t="s">
        <v>1430</v>
      </c>
      <c r="F2138" s="42" t="s">
        <v>11469</v>
      </c>
      <c r="G2138" t="s">
        <v>13197</v>
      </c>
    </row>
    <row r="2139" spans="1:7" x14ac:dyDescent="0.3">
      <c r="A2139" s="42" t="s">
        <v>2249</v>
      </c>
      <c r="B2139" s="42" t="s">
        <v>2353</v>
      </c>
      <c r="C2139" s="42" t="s">
        <v>7879</v>
      </c>
      <c r="D2139" s="43" t="s">
        <v>227</v>
      </c>
      <c r="E2139" s="43" t="s">
        <v>1430</v>
      </c>
      <c r="F2139" s="42" t="s">
        <v>11469</v>
      </c>
      <c r="G2139" t="s">
        <v>13197</v>
      </c>
    </row>
    <row r="2140" spans="1:7" x14ac:dyDescent="0.3">
      <c r="A2140" s="42" t="s">
        <v>2249</v>
      </c>
      <c r="B2140" s="42" t="s">
        <v>2354</v>
      </c>
      <c r="C2140" s="42" t="s">
        <v>7880</v>
      </c>
      <c r="D2140" s="43" t="s">
        <v>227</v>
      </c>
      <c r="E2140" s="43" t="s">
        <v>1430</v>
      </c>
      <c r="F2140" s="42" t="s">
        <v>11469</v>
      </c>
      <c r="G2140" t="s">
        <v>13197</v>
      </c>
    </row>
    <row r="2141" spans="1:7" x14ac:dyDescent="0.3">
      <c r="A2141" s="42" t="s">
        <v>2249</v>
      </c>
      <c r="B2141" s="42" t="s">
        <v>2355</v>
      </c>
      <c r="C2141" s="42" t="s">
        <v>7881</v>
      </c>
      <c r="D2141" s="43" t="s">
        <v>227</v>
      </c>
      <c r="E2141" s="43" t="s">
        <v>1430</v>
      </c>
      <c r="F2141" s="42" t="s">
        <v>192</v>
      </c>
      <c r="G2141" t="s">
        <v>13196</v>
      </c>
    </row>
    <row r="2142" spans="1:7" x14ac:dyDescent="0.3">
      <c r="A2142" s="42" t="s">
        <v>2249</v>
      </c>
      <c r="B2142" s="42" t="s">
        <v>2356</v>
      </c>
      <c r="C2142" s="42" t="s">
        <v>7882</v>
      </c>
      <c r="D2142" s="43" t="s">
        <v>227</v>
      </c>
      <c r="E2142" s="43" t="s">
        <v>1430</v>
      </c>
      <c r="F2142" s="42" t="s">
        <v>11469</v>
      </c>
      <c r="G2142" t="s">
        <v>13197</v>
      </c>
    </row>
    <row r="2143" spans="1:7" x14ac:dyDescent="0.3">
      <c r="A2143" s="42" t="s">
        <v>2249</v>
      </c>
      <c r="B2143" s="42" t="s">
        <v>2357</v>
      </c>
      <c r="C2143" s="42" t="s">
        <v>7883</v>
      </c>
      <c r="D2143" s="43" t="s">
        <v>227</v>
      </c>
      <c r="E2143" s="43" t="s">
        <v>1430</v>
      </c>
      <c r="F2143" s="42" t="s">
        <v>11469</v>
      </c>
      <c r="G2143" t="s">
        <v>13197</v>
      </c>
    </row>
    <row r="2144" spans="1:7" x14ac:dyDescent="0.3">
      <c r="A2144" s="42" t="s">
        <v>2249</v>
      </c>
      <c r="B2144" s="42" t="s">
        <v>2358</v>
      </c>
      <c r="C2144" s="42" t="s">
        <v>7884</v>
      </c>
      <c r="D2144" s="43" t="s">
        <v>227</v>
      </c>
      <c r="E2144" s="43" t="s">
        <v>1430</v>
      </c>
      <c r="F2144" s="42" t="s">
        <v>11469</v>
      </c>
      <c r="G2144" t="s">
        <v>13197</v>
      </c>
    </row>
    <row r="2145" spans="1:7" x14ac:dyDescent="0.3">
      <c r="A2145" s="42" t="s">
        <v>2249</v>
      </c>
      <c r="B2145" s="42" t="s">
        <v>2359</v>
      </c>
      <c r="C2145" s="42" t="s">
        <v>7885</v>
      </c>
      <c r="D2145" s="43" t="s">
        <v>227</v>
      </c>
      <c r="E2145" s="43" t="s">
        <v>1430</v>
      </c>
      <c r="F2145" s="42" t="s">
        <v>192</v>
      </c>
      <c r="G2145" t="s">
        <v>13196</v>
      </c>
    </row>
    <row r="2146" spans="1:7" x14ac:dyDescent="0.3">
      <c r="A2146" s="42" t="s">
        <v>2249</v>
      </c>
      <c r="B2146" s="42" t="s">
        <v>2360</v>
      </c>
      <c r="C2146" s="42" t="s">
        <v>7886</v>
      </c>
      <c r="D2146" s="43" t="s">
        <v>227</v>
      </c>
      <c r="E2146" s="43" t="s">
        <v>1430</v>
      </c>
      <c r="F2146" s="42" t="s">
        <v>11469</v>
      </c>
      <c r="G2146" t="s">
        <v>13197</v>
      </c>
    </row>
    <row r="2147" spans="1:7" x14ac:dyDescent="0.3">
      <c r="A2147" s="42" t="s">
        <v>2249</v>
      </c>
      <c r="B2147" s="42" t="s">
        <v>2361</v>
      </c>
      <c r="C2147" s="42" t="s">
        <v>7887</v>
      </c>
      <c r="D2147" s="43" t="s">
        <v>227</v>
      </c>
      <c r="E2147" s="43" t="s">
        <v>1430</v>
      </c>
      <c r="F2147" s="42" t="s">
        <v>11469</v>
      </c>
      <c r="G2147" t="s">
        <v>13197</v>
      </c>
    </row>
    <row r="2148" spans="1:7" x14ac:dyDescent="0.3">
      <c r="A2148" s="42" t="s">
        <v>2249</v>
      </c>
      <c r="B2148" s="42" t="s">
        <v>2362</v>
      </c>
      <c r="C2148" s="42" t="s">
        <v>7888</v>
      </c>
      <c r="D2148" s="43" t="s">
        <v>227</v>
      </c>
      <c r="E2148" s="43" t="s">
        <v>1430</v>
      </c>
      <c r="F2148" s="42" t="s">
        <v>192</v>
      </c>
      <c r="G2148" t="s">
        <v>13196</v>
      </c>
    </row>
    <row r="2149" spans="1:7" x14ac:dyDescent="0.3">
      <c r="A2149" s="42" t="s">
        <v>2249</v>
      </c>
      <c r="B2149" s="42" t="s">
        <v>2363</v>
      </c>
      <c r="C2149" s="42" t="s">
        <v>7889</v>
      </c>
      <c r="D2149" s="43" t="s">
        <v>227</v>
      </c>
      <c r="E2149" s="43" t="s">
        <v>1430</v>
      </c>
      <c r="F2149" s="42" t="s">
        <v>11469</v>
      </c>
      <c r="G2149" t="s">
        <v>13197</v>
      </c>
    </row>
    <row r="2150" spans="1:7" x14ac:dyDescent="0.3">
      <c r="A2150" s="42" t="s">
        <v>2249</v>
      </c>
      <c r="B2150" s="42" t="s">
        <v>2364</v>
      </c>
      <c r="C2150" s="42" t="s">
        <v>7890</v>
      </c>
      <c r="D2150" s="43" t="s">
        <v>227</v>
      </c>
      <c r="E2150" s="43" t="s">
        <v>1430</v>
      </c>
      <c r="F2150" s="42" t="s">
        <v>11469</v>
      </c>
      <c r="G2150" t="s">
        <v>13197</v>
      </c>
    </row>
    <row r="2151" spans="1:7" x14ac:dyDescent="0.3">
      <c r="A2151" s="42" t="s">
        <v>2249</v>
      </c>
      <c r="B2151" s="42" t="s">
        <v>2365</v>
      </c>
      <c r="C2151" s="42" t="s">
        <v>7891</v>
      </c>
      <c r="D2151" s="43" t="s">
        <v>227</v>
      </c>
      <c r="E2151" s="43" t="s">
        <v>1430</v>
      </c>
      <c r="F2151" s="42" t="s">
        <v>11469</v>
      </c>
      <c r="G2151" t="s">
        <v>13197</v>
      </c>
    </row>
    <row r="2152" spans="1:7" x14ac:dyDescent="0.3">
      <c r="A2152" s="42" t="s">
        <v>2249</v>
      </c>
      <c r="B2152" s="42" t="s">
        <v>2366</v>
      </c>
      <c r="C2152" s="42" t="s">
        <v>7892</v>
      </c>
      <c r="D2152" s="43" t="s">
        <v>227</v>
      </c>
      <c r="E2152" s="43" t="s">
        <v>1430</v>
      </c>
      <c r="F2152" s="42" t="s">
        <v>11469</v>
      </c>
      <c r="G2152" t="s">
        <v>13197</v>
      </c>
    </row>
    <row r="2153" spans="1:7" x14ac:dyDescent="0.3">
      <c r="A2153" s="42" t="s">
        <v>2249</v>
      </c>
      <c r="B2153" s="42" t="s">
        <v>2367</v>
      </c>
      <c r="C2153" s="42" t="s">
        <v>7893</v>
      </c>
      <c r="D2153" s="43" t="s">
        <v>227</v>
      </c>
      <c r="E2153" s="43" t="s">
        <v>1430</v>
      </c>
      <c r="F2153" s="42" t="s">
        <v>11469</v>
      </c>
      <c r="G2153" t="s">
        <v>13197</v>
      </c>
    </row>
    <row r="2154" spans="1:7" x14ac:dyDescent="0.3">
      <c r="A2154" s="42" t="s">
        <v>2249</v>
      </c>
      <c r="B2154" s="42" t="s">
        <v>2368</v>
      </c>
      <c r="C2154" s="42" t="s">
        <v>7894</v>
      </c>
      <c r="D2154" s="43" t="s">
        <v>227</v>
      </c>
      <c r="E2154" s="43" t="s">
        <v>1430</v>
      </c>
      <c r="F2154" s="42" t="s">
        <v>11469</v>
      </c>
      <c r="G2154" t="s">
        <v>13197</v>
      </c>
    </row>
    <row r="2155" spans="1:7" x14ac:dyDescent="0.3">
      <c r="A2155" s="42" t="s">
        <v>2249</v>
      </c>
      <c r="B2155" s="42" t="s">
        <v>2369</v>
      </c>
      <c r="C2155" s="42" t="s">
        <v>7895</v>
      </c>
      <c r="D2155" s="43" t="s">
        <v>227</v>
      </c>
      <c r="E2155" s="43" t="s">
        <v>1430</v>
      </c>
      <c r="F2155" s="42" t="s">
        <v>11469</v>
      </c>
      <c r="G2155" t="s">
        <v>13197</v>
      </c>
    </row>
    <row r="2156" spans="1:7" x14ac:dyDescent="0.3">
      <c r="A2156" s="42" t="s">
        <v>2249</v>
      </c>
      <c r="B2156" s="42" t="s">
        <v>2370</v>
      </c>
      <c r="C2156" s="42" t="s">
        <v>7896</v>
      </c>
      <c r="D2156" s="43" t="s">
        <v>227</v>
      </c>
      <c r="E2156" s="43" t="s">
        <v>1430</v>
      </c>
      <c r="F2156" s="42" t="s">
        <v>11469</v>
      </c>
      <c r="G2156" t="s">
        <v>13197</v>
      </c>
    </row>
    <row r="2157" spans="1:7" x14ac:dyDescent="0.3">
      <c r="A2157" s="42" t="s">
        <v>2249</v>
      </c>
      <c r="B2157" s="42" t="s">
        <v>2371</v>
      </c>
      <c r="C2157" s="42" t="s">
        <v>7897</v>
      </c>
      <c r="D2157" s="43" t="s">
        <v>227</v>
      </c>
      <c r="E2157" s="43" t="s">
        <v>1430</v>
      </c>
      <c r="F2157" s="42" t="s">
        <v>11469</v>
      </c>
      <c r="G2157" t="s">
        <v>13197</v>
      </c>
    </row>
    <row r="2158" spans="1:7" x14ac:dyDescent="0.3">
      <c r="A2158" s="42" t="s">
        <v>2249</v>
      </c>
      <c r="B2158" s="42" t="s">
        <v>2372</v>
      </c>
      <c r="C2158" s="42" t="s">
        <v>7898</v>
      </c>
      <c r="D2158" s="43" t="s">
        <v>227</v>
      </c>
      <c r="E2158" s="43" t="s">
        <v>1430</v>
      </c>
      <c r="F2158" s="42" t="s">
        <v>11469</v>
      </c>
      <c r="G2158" t="s">
        <v>13197</v>
      </c>
    </row>
    <row r="2159" spans="1:7" x14ac:dyDescent="0.3">
      <c r="A2159" s="42" t="s">
        <v>2249</v>
      </c>
      <c r="B2159" s="42" t="s">
        <v>2373</v>
      </c>
      <c r="C2159" s="42" t="s">
        <v>7899</v>
      </c>
      <c r="D2159" s="43" t="s">
        <v>227</v>
      </c>
      <c r="E2159" s="43" t="s">
        <v>1430</v>
      </c>
      <c r="F2159" s="42" t="s">
        <v>11469</v>
      </c>
      <c r="G2159" t="s">
        <v>13197</v>
      </c>
    </row>
    <row r="2160" spans="1:7" x14ac:dyDescent="0.3">
      <c r="A2160" s="42" t="s">
        <v>2249</v>
      </c>
      <c r="B2160" s="42" t="s">
        <v>2374</v>
      </c>
      <c r="C2160" s="42" t="s">
        <v>7900</v>
      </c>
      <c r="D2160" s="43" t="s">
        <v>227</v>
      </c>
      <c r="E2160" s="43" t="s">
        <v>1430</v>
      </c>
      <c r="F2160" s="42" t="s">
        <v>11469</v>
      </c>
      <c r="G2160" t="s">
        <v>13197</v>
      </c>
    </row>
    <row r="2161" spans="1:7" x14ac:dyDescent="0.3">
      <c r="A2161" s="42" t="s">
        <v>2249</v>
      </c>
      <c r="B2161" s="42" t="s">
        <v>2375</v>
      </c>
      <c r="C2161" s="42" t="s">
        <v>7901</v>
      </c>
      <c r="D2161" s="43" t="s">
        <v>227</v>
      </c>
      <c r="E2161" s="43" t="s">
        <v>1430</v>
      </c>
      <c r="F2161" s="42" t="s">
        <v>11469</v>
      </c>
      <c r="G2161" t="s">
        <v>13197</v>
      </c>
    </row>
    <row r="2162" spans="1:7" x14ac:dyDescent="0.3">
      <c r="A2162" s="42" t="s">
        <v>2249</v>
      </c>
      <c r="B2162" s="42" t="s">
        <v>2376</v>
      </c>
      <c r="C2162" s="42" t="s">
        <v>7902</v>
      </c>
      <c r="D2162" s="43" t="s">
        <v>227</v>
      </c>
      <c r="E2162" s="43" t="s">
        <v>1430</v>
      </c>
      <c r="F2162" s="42" t="s">
        <v>11469</v>
      </c>
      <c r="G2162" t="s">
        <v>13197</v>
      </c>
    </row>
    <row r="2163" spans="1:7" x14ac:dyDescent="0.3">
      <c r="A2163" s="42" t="s">
        <v>2249</v>
      </c>
      <c r="B2163" s="42" t="s">
        <v>2377</v>
      </c>
      <c r="C2163" s="42" t="s">
        <v>7903</v>
      </c>
      <c r="D2163" s="43" t="s">
        <v>227</v>
      </c>
      <c r="E2163" s="43" t="s">
        <v>1430</v>
      </c>
      <c r="F2163" s="42" t="s">
        <v>11469</v>
      </c>
      <c r="G2163" t="s">
        <v>13197</v>
      </c>
    </row>
    <row r="2164" spans="1:7" x14ac:dyDescent="0.3">
      <c r="A2164" s="42" t="s">
        <v>2249</v>
      </c>
      <c r="B2164" s="42" t="s">
        <v>2378</v>
      </c>
      <c r="C2164" s="42" t="s">
        <v>7904</v>
      </c>
      <c r="D2164" s="43" t="s">
        <v>227</v>
      </c>
      <c r="E2164" s="43" t="s">
        <v>1430</v>
      </c>
      <c r="F2164" s="42" t="s">
        <v>11469</v>
      </c>
      <c r="G2164" t="s">
        <v>13197</v>
      </c>
    </row>
    <row r="2165" spans="1:7" x14ac:dyDescent="0.3">
      <c r="A2165" s="42" t="s">
        <v>2249</v>
      </c>
      <c r="B2165" s="42" t="s">
        <v>2379</v>
      </c>
      <c r="C2165" s="42" t="s">
        <v>7905</v>
      </c>
      <c r="D2165" s="43" t="s">
        <v>227</v>
      </c>
      <c r="E2165" s="43" t="s">
        <v>1430</v>
      </c>
      <c r="F2165" s="42" t="s">
        <v>11469</v>
      </c>
      <c r="G2165" t="s">
        <v>13197</v>
      </c>
    </row>
    <row r="2166" spans="1:7" x14ac:dyDescent="0.3">
      <c r="A2166" s="42" t="s">
        <v>2249</v>
      </c>
      <c r="B2166" s="42" t="s">
        <v>2380</v>
      </c>
      <c r="C2166" s="42" t="s">
        <v>7906</v>
      </c>
      <c r="D2166" s="43" t="s">
        <v>227</v>
      </c>
      <c r="E2166" s="43" t="s">
        <v>1430</v>
      </c>
      <c r="F2166" s="42" t="s">
        <v>11469</v>
      </c>
      <c r="G2166" t="s">
        <v>13197</v>
      </c>
    </row>
    <row r="2167" spans="1:7" x14ac:dyDescent="0.3">
      <c r="A2167" s="42" t="s">
        <v>2249</v>
      </c>
      <c r="B2167" s="42" t="s">
        <v>2381</v>
      </c>
      <c r="C2167" s="42" t="s">
        <v>7907</v>
      </c>
      <c r="D2167" s="43" t="s">
        <v>227</v>
      </c>
      <c r="E2167" s="43" t="s">
        <v>1430</v>
      </c>
      <c r="F2167" s="42" t="s">
        <v>11469</v>
      </c>
      <c r="G2167" t="s">
        <v>13197</v>
      </c>
    </row>
    <row r="2168" spans="1:7" x14ac:dyDescent="0.3">
      <c r="A2168" s="42" t="s">
        <v>2249</v>
      </c>
      <c r="B2168" s="42" t="s">
        <v>2382</v>
      </c>
      <c r="C2168" s="42" t="s">
        <v>7908</v>
      </c>
      <c r="D2168" s="43" t="s">
        <v>227</v>
      </c>
      <c r="E2168" s="43" t="s">
        <v>1430</v>
      </c>
      <c r="F2168" s="42" t="s">
        <v>11469</v>
      </c>
      <c r="G2168" t="s">
        <v>13197</v>
      </c>
    </row>
    <row r="2169" spans="1:7" x14ac:dyDescent="0.3">
      <c r="A2169" s="42" t="s">
        <v>2249</v>
      </c>
      <c r="B2169" s="42" t="s">
        <v>2383</v>
      </c>
      <c r="C2169" s="42" t="s">
        <v>7909</v>
      </c>
      <c r="D2169" s="43" t="s">
        <v>227</v>
      </c>
      <c r="E2169" s="43" t="s">
        <v>1430</v>
      </c>
      <c r="F2169" s="42" t="s">
        <v>11469</v>
      </c>
      <c r="G2169" t="s">
        <v>13197</v>
      </c>
    </row>
    <row r="2170" spans="1:7" x14ac:dyDescent="0.3">
      <c r="A2170" s="42" t="s">
        <v>2249</v>
      </c>
      <c r="B2170" s="42" t="s">
        <v>2384</v>
      </c>
      <c r="C2170" s="42" t="s">
        <v>7910</v>
      </c>
      <c r="D2170" s="43" t="s">
        <v>227</v>
      </c>
      <c r="E2170" s="43" t="s">
        <v>1430</v>
      </c>
      <c r="F2170" s="42" t="s">
        <v>11469</v>
      </c>
      <c r="G2170" t="s">
        <v>13197</v>
      </c>
    </row>
    <row r="2171" spans="1:7" x14ac:dyDescent="0.3">
      <c r="A2171" s="42" t="s">
        <v>2249</v>
      </c>
      <c r="B2171" s="42" t="s">
        <v>2385</v>
      </c>
      <c r="C2171" s="42" t="s">
        <v>7911</v>
      </c>
      <c r="D2171" s="43" t="s">
        <v>227</v>
      </c>
      <c r="E2171" s="43" t="s">
        <v>1430</v>
      </c>
      <c r="F2171" s="42" t="s">
        <v>11469</v>
      </c>
      <c r="G2171" t="s">
        <v>13197</v>
      </c>
    </row>
    <row r="2172" spans="1:7" x14ac:dyDescent="0.3">
      <c r="A2172" s="42" t="s">
        <v>2249</v>
      </c>
      <c r="B2172" s="42" t="s">
        <v>2386</v>
      </c>
      <c r="C2172" s="42" t="s">
        <v>7912</v>
      </c>
      <c r="D2172" s="43" t="s">
        <v>227</v>
      </c>
      <c r="E2172" s="43" t="s">
        <v>1430</v>
      </c>
      <c r="F2172" s="42" t="s">
        <v>192</v>
      </c>
      <c r="G2172" t="s">
        <v>13196</v>
      </c>
    </row>
    <row r="2173" spans="1:7" x14ac:dyDescent="0.3">
      <c r="A2173" s="42" t="s">
        <v>2249</v>
      </c>
      <c r="B2173" s="42" t="s">
        <v>2387</v>
      </c>
      <c r="C2173" s="42" t="s">
        <v>7913</v>
      </c>
      <c r="D2173" s="43" t="s">
        <v>227</v>
      </c>
      <c r="E2173" s="43" t="s">
        <v>1430</v>
      </c>
      <c r="F2173" s="42" t="s">
        <v>137</v>
      </c>
      <c r="G2173" t="s">
        <v>13199</v>
      </c>
    </row>
    <row r="2174" spans="1:7" x14ac:dyDescent="0.3">
      <c r="A2174" s="42" t="s">
        <v>2249</v>
      </c>
      <c r="B2174" s="42" t="s">
        <v>2388</v>
      </c>
      <c r="C2174" s="42" t="s">
        <v>7914</v>
      </c>
      <c r="D2174" s="43" t="s">
        <v>227</v>
      </c>
      <c r="E2174" s="43" t="s">
        <v>1430</v>
      </c>
      <c r="F2174" s="42" t="s">
        <v>11469</v>
      </c>
      <c r="G2174" t="s">
        <v>13197</v>
      </c>
    </row>
    <row r="2175" spans="1:7" x14ac:dyDescent="0.3">
      <c r="A2175" s="42" t="s">
        <v>2249</v>
      </c>
      <c r="B2175" s="42" t="s">
        <v>2389</v>
      </c>
      <c r="C2175" s="42" t="s">
        <v>7915</v>
      </c>
      <c r="D2175" s="43" t="s">
        <v>227</v>
      </c>
      <c r="E2175" s="43" t="s">
        <v>1430</v>
      </c>
      <c r="F2175" s="42" t="s">
        <v>11469</v>
      </c>
      <c r="G2175" t="s">
        <v>13197</v>
      </c>
    </row>
    <row r="2176" spans="1:7" x14ac:dyDescent="0.3">
      <c r="A2176" s="42" t="s">
        <v>2249</v>
      </c>
      <c r="B2176" s="42" t="s">
        <v>2390</v>
      </c>
      <c r="C2176" s="42" t="s">
        <v>7916</v>
      </c>
      <c r="D2176" s="43" t="s">
        <v>227</v>
      </c>
      <c r="E2176" s="43" t="s">
        <v>1430</v>
      </c>
      <c r="F2176" s="42" t="s">
        <v>11469</v>
      </c>
      <c r="G2176" t="s">
        <v>13197</v>
      </c>
    </row>
    <row r="2177" spans="1:7" x14ac:dyDescent="0.3">
      <c r="A2177" s="42" t="s">
        <v>2249</v>
      </c>
      <c r="B2177" s="42" t="s">
        <v>2391</v>
      </c>
      <c r="C2177" s="42" t="s">
        <v>7917</v>
      </c>
      <c r="D2177" s="43" t="s">
        <v>227</v>
      </c>
      <c r="E2177" s="43" t="s">
        <v>1430</v>
      </c>
      <c r="F2177" s="42" t="s">
        <v>11469</v>
      </c>
      <c r="G2177" t="s">
        <v>13197</v>
      </c>
    </row>
    <row r="2178" spans="1:7" x14ac:dyDescent="0.3">
      <c r="A2178" s="42" t="s">
        <v>2249</v>
      </c>
      <c r="B2178" s="42" t="s">
        <v>2392</v>
      </c>
      <c r="C2178" s="42" t="s">
        <v>7918</v>
      </c>
      <c r="D2178" s="43" t="s">
        <v>227</v>
      </c>
      <c r="E2178" s="43" t="s">
        <v>1430</v>
      </c>
      <c r="F2178" s="42" t="s">
        <v>11469</v>
      </c>
      <c r="G2178" t="s">
        <v>13197</v>
      </c>
    </row>
    <row r="2179" spans="1:7" x14ac:dyDescent="0.3">
      <c r="A2179" s="42" t="s">
        <v>2249</v>
      </c>
      <c r="B2179" s="42" t="s">
        <v>2393</v>
      </c>
      <c r="C2179" s="42" t="s">
        <v>7919</v>
      </c>
      <c r="D2179" s="43" t="s">
        <v>227</v>
      </c>
      <c r="E2179" s="43" t="s">
        <v>1430</v>
      </c>
      <c r="F2179" s="42" t="s">
        <v>11469</v>
      </c>
      <c r="G2179" t="s">
        <v>13197</v>
      </c>
    </row>
    <row r="2180" spans="1:7" x14ac:dyDescent="0.3">
      <c r="A2180" s="42" t="s">
        <v>2249</v>
      </c>
      <c r="B2180" s="42" t="s">
        <v>2394</v>
      </c>
      <c r="C2180" s="42" t="s">
        <v>7920</v>
      </c>
      <c r="D2180" s="43" t="s">
        <v>227</v>
      </c>
      <c r="E2180" s="43" t="s">
        <v>1430</v>
      </c>
      <c r="F2180" s="42" t="s">
        <v>192</v>
      </c>
      <c r="G2180" t="s">
        <v>13196</v>
      </c>
    </row>
    <row r="2181" spans="1:7" x14ac:dyDescent="0.3">
      <c r="A2181" s="42" t="s">
        <v>2249</v>
      </c>
      <c r="B2181" s="42" t="s">
        <v>2395</v>
      </c>
      <c r="C2181" s="42" t="s">
        <v>7921</v>
      </c>
      <c r="D2181" s="43" t="s">
        <v>227</v>
      </c>
      <c r="E2181" s="43" t="s">
        <v>1430</v>
      </c>
      <c r="F2181" s="42" t="s">
        <v>11469</v>
      </c>
      <c r="G2181" t="s">
        <v>13197</v>
      </c>
    </row>
    <row r="2182" spans="1:7" x14ac:dyDescent="0.3">
      <c r="A2182" s="42" t="s">
        <v>2249</v>
      </c>
      <c r="B2182" s="42" t="s">
        <v>2396</v>
      </c>
      <c r="C2182" s="42" t="s">
        <v>7922</v>
      </c>
      <c r="D2182" s="43" t="s">
        <v>227</v>
      </c>
      <c r="E2182" s="43" t="s">
        <v>1430</v>
      </c>
      <c r="F2182" s="42" t="s">
        <v>11469</v>
      </c>
      <c r="G2182" t="s">
        <v>13197</v>
      </c>
    </row>
    <row r="2183" spans="1:7" x14ac:dyDescent="0.3">
      <c r="A2183" s="42" t="s">
        <v>2249</v>
      </c>
      <c r="B2183" s="42" t="s">
        <v>2397</v>
      </c>
      <c r="C2183" s="42" t="s">
        <v>7923</v>
      </c>
      <c r="D2183" s="43" t="s">
        <v>227</v>
      </c>
      <c r="E2183" s="43" t="s">
        <v>1430</v>
      </c>
      <c r="F2183" s="42" t="s">
        <v>11469</v>
      </c>
      <c r="G2183" t="s">
        <v>13197</v>
      </c>
    </row>
    <row r="2184" spans="1:7" x14ac:dyDescent="0.3">
      <c r="A2184" s="42" t="s">
        <v>2249</v>
      </c>
      <c r="B2184" s="42" t="s">
        <v>2398</v>
      </c>
      <c r="C2184" s="42" t="s">
        <v>7924</v>
      </c>
      <c r="D2184" s="43" t="s">
        <v>227</v>
      </c>
      <c r="E2184" s="43" t="s">
        <v>1430</v>
      </c>
      <c r="F2184" s="42" t="s">
        <v>11469</v>
      </c>
      <c r="G2184" t="s">
        <v>13197</v>
      </c>
    </row>
    <row r="2185" spans="1:7" x14ac:dyDescent="0.3">
      <c r="A2185" s="42" t="s">
        <v>2249</v>
      </c>
      <c r="B2185" s="42" t="s">
        <v>2399</v>
      </c>
      <c r="C2185" s="42" t="s">
        <v>7925</v>
      </c>
      <c r="D2185" s="43" t="s">
        <v>227</v>
      </c>
      <c r="E2185" s="43" t="s">
        <v>1430</v>
      </c>
      <c r="F2185" s="42" t="s">
        <v>11469</v>
      </c>
      <c r="G2185" t="s">
        <v>13198</v>
      </c>
    </row>
    <row r="2186" spans="1:7" x14ac:dyDescent="0.3">
      <c r="A2186" s="42" t="s">
        <v>2249</v>
      </c>
      <c r="B2186" s="42" t="s">
        <v>2400</v>
      </c>
      <c r="C2186" s="42" t="s">
        <v>7926</v>
      </c>
      <c r="D2186" s="43" t="s">
        <v>227</v>
      </c>
      <c r="E2186" s="43" t="s">
        <v>1430</v>
      </c>
      <c r="F2186" s="42" t="s">
        <v>11469</v>
      </c>
      <c r="G2186" t="s">
        <v>13197</v>
      </c>
    </row>
    <row r="2187" spans="1:7" x14ac:dyDescent="0.3">
      <c r="A2187" s="42" t="s">
        <v>2249</v>
      </c>
      <c r="B2187" s="42" t="s">
        <v>2401</v>
      </c>
      <c r="C2187" s="42" t="s">
        <v>7927</v>
      </c>
      <c r="D2187" s="43" t="s">
        <v>227</v>
      </c>
      <c r="E2187" s="43" t="s">
        <v>1430</v>
      </c>
      <c r="F2187" s="42" t="s">
        <v>11469</v>
      </c>
      <c r="G2187" t="s">
        <v>13197</v>
      </c>
    </row>
    <row r="2188" spans="1:7" x14ac:dyDescent="0.3">
      <c r="A2188" s="42" t="s">
        <v>2249</v>
      </c>
      <c r="B2188" s="42" t="s">
        <v>2402</v>
      </c>
      <c r="C2188" s="42" t="s">
        <v>7928</v>
      </c>
      <c r="D2188" s="43" t="s">
        <v>227</v>
      </c>
      <c r="E2188" s="43" t="s">
        <v>1430</v>
      </c>
      <c r="F2188" s="42" t="s">
        <v>11469</v>
      </c>
      <c r="G2188" t="s">
        <v>13197</v>
      </c>
    </row>
    <row r="2189" spans="1:7" x14ac:dyDescent="0.3">
      <c r="A2189" s="42" t="s">
        <v>2249</v>
      </c>
      <c r="B2189" s="42" t="s">
        <v>2403</v>
      </c>
      <c r="C2189" s="42" t="s">
        <v>7929</v>
      </c>
      <c r="D2189" s="43" t="s">
        <v>227</v>
      </c>
      <c r="E2189" s="43" t="s">
        <v>1430</v>
      </c>
      <c r="F2189" s="42" t="s">
        <v>11469</v>
      </c>
      <c r="G2189" t="s">
        <v>13197</v>
      </c>
    </row>
    <row r="2190" spans="1:7" x14ac:dyDescent="0.3">
      <c r="A2190" s="42" t="s">
        <v>2249</v>
      </c>
      <c r="B2190" s="42" t="s">
        <v>2404</v>
      </c>
      <c r="C2190" s="42" t="s">
        <v>7930</v>
      </c>
      <c r="D2190" s="43" t="s">
        <v>227</v>
      </c>
      <c r="E2190" s="43" t="s">
        <v>1430</v>
      </c>
      <c r="F2190" s="42" t="s">
        <v>11469</v>
      </c>
      <c r="G2190" t="s">
        <v>13197</v>
      </c>
    </row>
    <row r="2191" spans="1:7" x14ac:dyDescent="0.3">
      <c r="A2191" s="42" t="s">
        <v>2249</v>
      </c>
      <c r="B2191" s="42" t="s">
        <v>2405</v>
      </c>
      <c r="C2191" s="42" t="s">
        <v>7931</v>
      </c>
      <c r="D2191" s="43" t="s">
        <v>227</v>
      </c>
      <c r="E2191" s="43" t="s">
        <v>1430</v>
      </c>
      <c r="F2191" s="42" t="s">
        <v>137</v>
      </c>
      <c r="G2191" t="s">
        <v>13197</v>
      </c>
    </row>
    <row r="2192" spans="1:7" x14ac:dyDescent="0.3">
      <c r="A2192" s="42" t="s">
        <v>2249</v>
      </c>
      <c r="B2192" s="42" t="s">
        <v>2406</v>
      </c>
      <c r="C2192" s="42" t="s">
        <v>7932</v>
      </c>
      <c r="D2192" s="43" t="s">
        <v>227</v>
      </c>
      <c r="E2192" s="43" t="s">
        <v>1430</v>
      </c>
      <c r="F2192" s="42" t="s">
        <v>11469</v>
      </c>
      <c r="G2192" t="s">
        <v>13197</v>
      </c>
    </row>
    <row r="2193" spans="1:7" x14ac:dyDescent="0.3">
      <c r="A2193" s="42" t="s">
        <v>2249</v>
      </c>
      <c r="B2193" s="42" t="s">
        <v>2407</v>
      </c>
      <c r="C2193" s="42" t="s">
        <v>7933</v>
      </c>
      <c r="D2193" s="43" t="s">
        <v>227</v>
      </c>
      <c r="E2193" s="43" t="s">
        <v>1430</v>
      </c>
      <c r="F2193" s="42" t="s">
        <v>11469</v>
      </c>
      <c r="G2193" t="s">
        <v>13197</v>
      </c>
    </row>
    <row r="2194" spans="1:7" x14ac:dyDescent="0.3">
      <c r="A2194" s="42" t="s">
        <v>2249</v>
      </c>
      <c r="B2194" s="42" t="s">
        <v>2408</v>
      </c>
      <c r="C2194" s="42" t="s">
        <v>7934</v>
      </c>
      <c r="D2194" s="43" t="s">
        <v>227</v>
      </c>
      <c r="E2194" s="43" t="s">
        <v>1430</v>
      </c>
      <c r="F2194" s="42" t="s">
        <v>11469</v>
      </c>
      <c r="G2194" t="s">
        <v>13197</v>
      </c>
    </row>
    <row r="2195" spans="1:7" x14ac:dyDescent="0.3">
      <c r="A2195" s="42" t="s">
        <v>2249</v>
      </c>
      <c r="B2195" s="42" t="s">
        <v>2409</v>
      </c>
      <c r="C2195" s="42" t="s">
        <v>7935</v>
      </c>
      <c r="D2195" s="43" t="s">
        <v>227</v>
      </c>
      <c r="E2195" s="43" t="s">
        <v>1430</v>
      </c>
      <c r="F2195" s="42" t="s">
        <v>11469</v>
      </c>
      <c r="G2195" t="s">
        <v>13197</v>
      </c>
    </row>
    <row r="2196" spans="1:7" x14ac:dyDescent="0.3">
      <c r="A2196" s="42" t="s">
        <v>2249</v>
      </c>
      <c r="B2196" s="42" t="s">
        <v>2410</v>
      </c>
      <c r="C2196" s="42" t="s">
        <v>7936</v>
      </c>
      <c r="D2196" s="43" t="s">
        <v>227</v>
      </c>
      <c r="E2196" s="43" t="s">
        <v>1430</v>
      </c>
      <c r="F2196" s="42" t="s">
        <v>11469</v>
      </c>
      <c r="G2196" t="s">
        <v>13197</v>
      </c>
    </row>
    <row r="2197" spans="1:7" x14ac:dyDescent="0.3">
      <c r="A2197" s="42" t="s">
        <v>2249</v>
      </c>
      <c r="B2197" s="42" t="s">
        <v>2411</v>
      </c>
      <c r="C2197" s="42" t="s">
        <v>7937</v>
      </c>
      <c r="D2197" s="43" t="s">
        <v>227</v>
      </c>
      <c r="E2197" s="43" t="s">
        <v>1430</v>
      </c>
      <c r="F2197" s="42" t="s">
        <v>11469</v>
      </c>
      <c r="G2197" t="s">
        <v>13197</v>
      </c>
    </row>
    <row r="2198" spans="1:7" x14ac:dyDescent="0.3">
      <c r="A2198" s="42" t="s">
        <v>2249</v>
      </c>
      <c r="B2198" s="42" t="s">
        <v>2412</v>
      </c>
      <c r="C2198" s="42" t="s">
        <v>7938</v>
      </c>
      <c r="D2198" s="43" t="s">
        <v>227</v>
      </c>
      <c r="E2198" s="43" t="s">
        <v>1430</v>
      </c>
      <c r="F2198" s="42" t="s">
        <v>11469</v>
      </c>
      <c r="G2198" t="s">
        <v>13197</v>
      </c>
    </row>
    <row r="2199" spans="1:7" x14ac:dyDescent="0.3">
      <c r="A2199" s="42" t="s">
        <v>2249</v>
      </c>
      <c r="B2199" s="42" t="s">
        <v>2413</v>
      </c>
      <c r="C2199" s="42" t="s">
        <v>7939</v>
      </c>
      <c r="D2199" s="43" t="s">
        <v>227</v>
      </c>
      <c r="E2199" s="43" t="s">
        <v>1430</v>
      </c>
      <c r="F2199" s="42" t="s">
        <v>192</v>
      </c>
      <c r="G2199" t="s">
        <v>13196</v>
      </c>
    </row>
    <row r="2200" spans="1:7" x14ac:dyDescent="0.3">
      <c r="A2200" s="42" t="s">
        <v>2249</v>
      </c>
      <c r="B2200" s="42" t="s">
        <v>2414</v>
      </c>
      <c r="C2200" s="42" t="s">
        <v>7940</v>
      </c>
      <c r="D2200" s="43" t="s">
        <v>227</v>
      </c>
      <c r="E2200" s="43" t="s">
        <v>1430</v>
      </c>
      <c r="F2200" s="42" t="s">
        <v>192</v>
      </c>
      <c r="G2200" t="s">
        <v>13196</v>
      </c>
    </row>
    <row r="2201" spans="1:7" x14ac:dyDescent="0.3">
      <c r="A2201" s="42" t="s">
        <v>2249</v>
      </c>
      <c r="B2201" s="42" t="s">
        <v>2415</v>
      </c>
      <c r="C2201" s="42" t="s">
        <v>7941</v>
      </c>
      <c r="D2201" s="43" t="s">
        <v>227</v>
      </c>
      <c r="E2201" s="43" t="s">
        <v>1430</v>
      </c>
      <c r="F2201" s="42" t="s">
        <v>11469</v>
      </c>
      <c r="G2201" t="s">
        <v>13197</v>
      </c>
    </row>
    <row r="2202" spans="1:7" x14ac:dyDescent="0.3">
      <c r="A2202" s="42" t="s">
        <v>2249</v>
      </c>
      <c r="B2202" s="42" t="s">
        <v>2416</v>
      </c>
      <c r="C2202" s="42" t="s">
        <v>7942</v>
      </c>
      <c r="D2202" s="43" t="s">
        <v>227</v>
      </c>
      <c r="E2202" s="43" t="s">
        <v>1430</v>
      </c>
      <c r="F2202" s="42" t="s">
        <v>11469</v>
      </c>
      <c r="G2202" t="s">
        <v>13197</v>
      </c>
    </row>
    <row r="2203" spans="1:7" x14ac:dyDescent="0.3">
      <c r="A2203" s="42" t="s">
        <v>2249</v>
      </c>
      <c r="B2203" s="42" t="s">
        <v>2417</v>
      </c>
      <c r="C2203" s="42" t="s">
        <v>7943</v>
      </c>
      <c r="D2203" s="43" t="s">
        <v>227</v>
      </c>
      <c r="E2203" s="43" t="s">
        <v>1430</v>
      </c>
      <c r="F2203" s="42" t="s">
        <v>11469</v>
      </c>
      <c r="G2203" t="s">
        <v>13197</v>
      </c>
    </row>
    <row r="2204" spans="1:7" x14ac:dyDescent="0.3">
      <c r="A2204" s="42" t="s">
        <v>2249</v>
      </c>
      <c r="B2204" s="42" t="s">
        <v>2418</v>
      </c>
      <c r="C2204" s="42" t="s">
        <v>7944</v>
      </c>
      <c r="D2204" s="43" t="s">
        <v>227</v>
      </c>
      <c r="E2204" s="43" t="s">
        <v>1430</v>
      </c>
      <c r="F2204" s="42" t="s">
        <v>11469</v>
      </c>
      <c r="G2204" t="s">
        <v>13197</v>
      </c>
    </row>
    <row r="2205" spans="1:7" x14ac:dyDescent="0.3">
      <c r="A2205" s="42" t="s">
        <v>2249</v>
      </c>
      <c r="B2205" s="42" t="s">
        <v>2419</v>
      </c>
      <c r="C2205" s="42" t="s">
        <v>7945</v>
      </c>
      <c r="D2205" s="43" t="s">
        <v>227</v>
      </c>
      <c r="E2205" s="43" t="s">
        <v>1430</v>
      </c>
      <c r="F2205" s="42" t="s">
        <v>11469</v>
      </c>
      <c r="G2205" t="s">
        <v>13197</v>
      </c>
    </row>
    <row r="2206" spans="1:7" x14ac:dyDescent="0.3">
      <c r="A2206" s="42" t="s">
        <v>2249</v>
      </c>
      <c r="B2206" s="42" t="s">
        <v>2420</v>
      </c>
      <c r="C2206" s="42" t="s">
        <v>7946</v>
      </c>
      <c r="D2206" s="43" t="s">
        <v>227</v>
      </c>
      <c r="E2206" s="43" t="s">
        <v>1430</v>
      </c>
      <c r="F2206" s="42" t="s">
        <v>11469</v>
      </c>
      <c r="G2206" t="s">
        <v>13197</v>
      </c>
    </row>
    <row r="2207" spans="1:7" x14ac:dyDescent="0.3">
      <c r="A2207" s="42" t="s">
        <v>2249</v>
      </c>
      <c r="B2207" s="42" t="s">
        <v>2421</v>
      </c>
      <c r="C2207" s="42" t="s">
        <v>7947</v>
      </c>
      <c r="D2207" s="43" t="s">
        <v>227</v>
      </c>
      <c r="E2207" s="43" t="s">
        <v>1430</v>
      </c>
      <c r="F2207" s="42" t="s">
        <v>137</v>
      </c>
      <c r="G2207" t="s">
        <v>13197</v>
      </c>
    </row>
    <row r="2208" spans="1:7" x14ac:dyDescent="0.3">
      <c r="A2208" s="42" t="s">
        <v>2249</v>
      </c>
      <c r="B2208" s="42" t="s">
        <v>2422</v>
      </c>
      <c r="C2208" s="42" t="s">
        <v>7948</v>
      </c>
      <c r="D2208" s="43" t="s">
        <v>227</v>
      </c>
      <c r="E2208" s="43" t="s">
        <v>1430</v>
      </c>
      <c r="F2208" s="42" t="s">
        <v>11469</v>
      </c>
      <c r="G2208" t="s">
        <v>13197</v>
      </c>
    </row>
    <row r="2209" spans="1:7" x14ac:dyDescent="0.3">
      <c r="A2209" s="42" t="s">
        <v>2249</v>
      </c>
      <c r="B2209" s="42" t="s">
        <v>2423</v>
      </c>
      <c r="C2209" s="42" t="s">
        <v>7949</v>
      </c>
      <c r="D2209" s="43" t="s">
        <v>227</v>
      </c>
      <c r="E2209" s="43" t="s">
        <v>1430</v>
      </c>
      <c r="F2209" s="42" t="s">
        <v>11469</v>
      </c>
      <c r="G2209" t="s">
        <v>13197</v>
      </c>
    </row>
    <row r="2210" spans="1:7" x14ac:dyDescent="0.3">
      <c r="A2210" s="42" t="s">
        <v>2249</v>
      </c>
      <c r="B2210" s="42" t="s">
        <v>2424</v>
      </c>
      <c r="C2210" s="42" t="s">
        <v>7950</v>
      </c>
      <c r="D2210" s="43" t="s">
        <v>227</v>
      </c>
      <c r="E2210" s="43" t="s">
        <v>1430</v>
      </c>
      <c r="F2210" s="42" t="s">
        <v>11469</v>
      </c>
      <c r="G2210" t="s">
        <v>13197</v>
      </c>
    </row>
    <row r="2211" spans="1:7" x14ac:dyDescent="0.3">
      <c r="A2211" s="42" t="s">
        <v>2249</v>
      </c>
      <c r="B2211" s="42" t="s">
        <v>2425</v>
      </c>
      <c r="C2211" s="42" t="s">
        <v>7951</v>
      </c>
      <c r="D2211" s="43" t="s">
        <v>227</v>
      </c>
      <c r="E2211" s="43" t="s">
        <v>1430</v>
      </c>
      <c r="F2211" s="42" t="s">
        <v>11469</v>
      </c>
      <c r="G2211" t="s">
        <v>13197</v>
      </c>
    </row>
    <row r="2212" spans="1:7" x14ac:dyDescent="0.3">
      <c r="A2212" s="42" t="s">
        <v>2249</v>
      </c>
      <c r="B2212" s="42" t="s">
        <v>2426</v>
      </c>
      <c r="C2212" s="42" t="s">
        <v>7952</v>
      </c>
      <c r="D2212" s="43" t="s">
        <v>227</v>
      </c>
      <c r="E2212" s="43" t="s">
        <v>1430</v>
      </c>
      <c r="F2212" s="42" t="s">
        <v>11469</v>
      </c>
      <c r="G2212" t="s">
        <v>13197</v>
      </c>
    </row>
    <row r="2213" spans="1:7" x14ac:dyDescent="0.3">
      <c r="A2213" s="42" t="s">
        <v>2249</v>
      </c>
      <c r="B2213" s="42" t="s">
        <v>2427</v>
      </c>
      <c r="C2213" s="42" t="s">
        <v>7953</v>
      </c>
      <c r="D2213" s="43" t="s">
        <v>227</v>
      </c>
      <c r="E2213" s="43" t="s">
        <v>1430</v>
      </c>
      <c r="F2213" s="42" t="s">
        <v>11469</v>
      </c>
      <c r="G2213" t="s">
        <v>13197</v>
      </c>
    </row>
    <row r="2214" spans="1:7" x14ac:dyDescent="0.3">
      <c r="A2214" s="42" t="s">
        <v>2249</v>
      </c>
      <c r="B2214" s="42" t="s">
        <v>2428</v>
      </c>
      <c r="C2214" s="42" t="s">
        <v>7954</v>
      </c>
      <c r="D2214" s="43" t="s">
        <v>227</v>
      </c>
      <c r="E2214" s="43" t="s">
        <v>1430</v>
      </c>
      <c r="F2214" s="42" t="s">
        <v>11469</v>
      </c>
      <c r="G2214" t="s">
        <v>13197</v>
      </c>
    </row>
    <row r="2215" spans="1:7" x14ac:dyDescent="0.3">
      <c r="A2215" s="42" t="s">
        <v>2249</v>
      </c>
      <c r="B2215" s="42" t="s">
        <v>1390</v>
      </c>
      <c r="C2215" s="42" t="s">
        <v>7955</v>
      </c>
      <c r="D2215" s="43" t="s">
        <v>227</v>
      </c>
      <c r="E2215" s="43" t="s">
        <v>1430</v>
      </c>
      <c r="F2215" s="42" t="s">
        <v>11469</v>
      </c>
      <c r="G2215" t="s">
        <v>13197</v>
      </c>
    </row>
    <row r="2216" spans="1:7" x14ac:dyDescent="0.3">
      <c r="A2216" s="42" t="s">
        <v>2249</v>
      </c>
      <c r="B2216" s="42" t="s">
        <v>2429</v>
      </c>
      <c r="C2216" s="42" t="s">
        <v>7956</v>
      </c>
      <c r="D2216" s="43" t="s">
        <v>227</v>
      </c>
      <c r="E2216" s="43" t="s">
        <v>1430</v>
      </c>
      <c r="F2216" s="42" t="s">
        <v>11469</v>
      </c>
      <c r="G2216" t="s">
        <v>13197</v>
      </c>
    </row>
    <row r="2217" spans="1:7" x14ac:dyDescent="0.3">
      <c r="A2217" s="42" t="s">
        <v>2249</v>
      </c>
      <c r="B2217" s="42" t="s">
        <v>2430</v>
      </c>
      <c r="C2217" s="42" t="s">
        <v>7957</v>
      </c>
      <c r="D2217" s="43" t="s">
        <v>227</v>
      </c>
      <c r="E2217" s="43" t="s">
        <v>1430</v>
      </c>
      <c r="F2217" s="42" t="s">
        <v>11469</v>
      </c>
      <c r="G2217" t="s">
        <v>13197</v>
      </c>
    </row>
    <row r="2218" spans="1:7" x14ac:dyDescent="0.3">
      <c r="A2218" s="42" t="s">
        <v>2249</v>
      </c>
      <c r="B2218" s="42" t="s">
        <v>2431</v>
      </c>
      <c r="C2218" s="42" t="s">
        <v>7958</v>
      </c>
      <c r="D2218" s="43" t="s">
        <v>227</v>
      </c>
      <c r="E2218" s="43" t="s">
        <v>1430</v>
      </c>
      <c r="F2218" s="42" t="s">
        <v>192</v>
      </c>
      <c r="G2218" t="s">
        <v>13196</v>
      </c>
    </row>
    <row r="2219" spans="1:7" x14ac:dyDescent="0.3">
      <c r="A2219" s="42" t="s">
        <v>2249</v>
      </c>
      <c r="B2219" s="42" t="s">
        <v>2432</v>
      </c>
      <c r="C2219" s="42" t="s">
        <v>7959</v>
      </c>
      <c r="D2219" s="43" t="s">
        <v>227</v>
      </c>
      <c r="E2219" s="43" t="s">
        <v>1430</v>
      </c>
      <c r="F2219" s="42" t="s">
        <v>11469</v>
      </c>
      <c r="G2219" t="s">
        <v>13197</v>
      </c>
    </row>
    <row r="2220" spans="1:7" x14ac:dyDescent="0.3">
      <c r="A2220" s="42" t="s">
        <v>2249</v>
      </c>
      <c r="B2220" s="42" t="s">
        <v>2433</v>
      </c>
      <c r="C2220" s="42" t="s">
        <v>7960</v>
      </c>
      <c r="D2220" s="43" t="s">
        <v>227</v>
      </c>
      <c r="E2220" s="43" t="s">
        <v>1430</v>
      </c>
      <c r="F2220" s="42" t="s">
        <v>11469</v>
      </c>
      <c r="G2220" t="s">
        <v>13197</v>
      </c>
    </row>
    <row r="2221" spans="1:7" x14ac:dyDescent="0.3">
      <c r="A2221" s="42" t="s">
        <v>2249</v>
      </c>
      <c r="B2221" s="42" t="s">
        <v>2434</v>
      </c>
      <c r="C2221" s="42" t="s">
        <v>7961</v>
      </c>
      <c r="D2221" s="43" t="s">
        <v>227</v>
      </c>
      <c r="E2221" s="43" t="s">
        <v>1430</v>
      </c>
      <c r="F2221" s="42" t="s">
        <v>11469</v>
      </c>
      <c r="G2221" t="s">
        <v>13197</v>
      </c>
    </row>
    <row r="2222" spans="1:7" x14ac:dyDescent="0.3">
      <c r="A2222" s="42" t="s">
        <v>2249</v>
      </c>
      <c r="B2222" s="42" t="s">
        <v>2435</v>
      </c>
      <c r="C2222" s="42" t="s">
        <v>7962</v>
      </c>
      <c r="D2222" s="43" t="s">
        <v>227</v>
      </c>
      <c r="E2222" s="43" t="s">
        <v>1430</v>
      </c>
      <c r="F2222" s="42" t="s">
        <v>11469</v>
      </c>
      <c r="G2222" t="s">
        <v>13197</v>
      </c>
    </row>
    <row r="2223" spans="1:7" x14ac:dyDescent="0.3">
      <c r="A2223" s="42" t="s">
        <v>2249</v>
      </c>
      <c r="B2223" s="42" t="s">
        <v>2436</v>
      </c>
      <c r="C2223" s="42" t="s">
        <v>7963</v>
      </c>
      <c r="D2223" s="43" t="s">
        <v>227</v>
      </c>
      <c r="E2223" s="43" t="s">
        <v>1430</v>
      </c>
      <c r="F2223" s="42" t="s">
        <v>11469</v>
      </c>
      <c r="G2223" t="s">
        <v>13197</v>
      </c>
    </row>
    <row r="2224" spans="1:7" x14ac:dyDescent="0.3">
      <c r="A2224" s="42" t="s">
        <v>2249</v>
      </c>
      <c r="B2224" s="42" t="s">
        <v>2437</v>
      </c>
      <c r="C2224" s="42" t="s">
        <v>7964</v>
      </c>
      <c r="D2224" s="43" t="s">
        <v>227</v>
      </c>
      <c r="E2224" s="43" t="s">
        <v>1430</v>
      </c>
      <c r="F2224" s="42" t="s">
        <v>11469</v>
      </c>
      <c r="G2224" t="s">
        <v>13197</v>
      </c>
    </row>
    <row r="2225" spans="1:7" x14ac:dyDescent="0.3">
      <c r="A2225" s="42" t="s">
        <v>2249</v>
      </c>
      <c r="B2225" s="42" t="s">
        <v>2438</v>
      </c>
      <c r="C2225" s="42" t="s">
        <v>7965</v>
      </c>
      <c r="D2225" s="43" t="s">
        <v>227</v>
      </c>
      <c r="E2225" s="43" t="s">
        <v>1430</v>
      </c>
      <c r="F2225" s="42" t="s">
        <v>11469</v>
      </c>
      <c r="G2225" t="s">
        <v>13197</v>
      </c>
    </row>
    <row r="2226" spans="1:7" x14ac:dyDescent="0.3">
      <c r="A2226" s="42" t="s">
        <v>2249</v>
      </c>
      <c r="B2226" s="42" t="s">
        <v>2439</v>
      </c>
      <c r="C2226" s="42" t="s">
        <v>7966</v>
      </c>
      <c r="D2226" s="43" t="s">
        <v>227</v>
      </c>
      <c r="E2226" s="43" t="s">
        <v>1430</v>
      </c>
      <c r="F2226" s="42" t="s">
        <v>11469</v>
      </c>
      <c r="G2226" t="s">
        <v>13197</v>
      </c>
    </row>
    <row r="2227" spans="1:7" x14ac:dyDescent="0.3">
      <c r="A2227" s="42" t="s">
        <v>2249</v>
      </c>
      <c r="B2227" s="42" t="s">
        <v>2440</v>
      </c>
      <c r="C2227" s="42" t="s">
        <v>7967</v>
      </c>
      <c r="D2227" s="43" t="s">
        <v>227</v>
      </c>
      <c r="E2227" s="43" t="s">
        <v>1430</v>
      </c>
      <c r="F2227" s="42" t="s">
        <v>11469</v>
      </c>
      <c r="G2227" t="s">
        <v>13197</v>
      </c>
    </row>
    <row r="2228" spans="1:7" x14ac:dyDescent="0.3">
      <c r="A2228" s="42" t="s">
        <v>2249</v>
      </c>
      <c r="B2228" s="42" t="s">
        <v>2441</v>
      </c>
      <c r="C2228" s="42" t="s">
        <v>7968</v>
      </c>
      <c r="D2228" s="43" t="s">
        <v>227</v>
      </c>
      <c r="E2228" s="43" t="s">
        <v>1430</v>
      </c>
      <c r="F2228" s="42" t="s">
        <v>11469</v>
      </c>
      <c r="G2228" t="s">
        <v>13197</v>
      </c>
    </row>
    <row r="2229" spans="1:7" x14ac:dyDescent="0.3">
      <c r="A2229" s="42" t="s">
        <v>2249</v>
      </c>
      <c r="B2229" s="42" t="s">
        <v>2442</v>
      </c>
      <c r="C2229" s="42" t="s">
        <v>7969</v>
      </c>
      <c r="D2229" s="43" t="s">
        <v>227</v>
      </c>
      <c r="E2229" s="43" t="s">
        <v>1430</v>
      </c>
      <c r="F2229" s="42" t="s">
        <v>11469</v>
      </c>
      <c r="G2229" t="s">
        <v>13197</v>
      </c>
    </row>
    <row r="2230" spans="1:7" x14ac:dyDescent="0.3">
      <c r="A2230" s="42" t="s">
        <v>2249</v>
      </c>
      <c r="B2230" s="42" t="s">
        <v>2443</v>
      </c>
      <c r="C2230" s="42" t="s">
        <v>7970</v>
      </c>
      <c r="D2230" s="43" t="s">
        <v>227</v>
      </c>
      <c r="E2230" s="43" t="s">
        <v>1430</v>
      </c>
      <c r="F2230" s="42" t="s">
        <v>11469</v>
      </c>
      <c r="G2230" t="s">
        <v>13197</v>
      </c>
    </row>
    <row r="2231" spans="1:7" x14ac:dyDescent="0.3">
      <c r="A2231" s="42" t="s">
        <v>2249</v>
      </c>
      <c r="B2231" s="42" t="s">
        <v>2444</v>
      </c>
      <c r="C2231" s="42" t="s">
        <v>7971</v>
      </c>
      <c r="D2231" s="43" t="s">
        <v>227</v>
      </c>
      <c r="E2231" s="43" t="s">
        <v>1430</v>
      </c>
      <c r="F2231" s="42" t="s">
        <v>11469</v>
      </c>
      <c r="G2231" t="s">
        <v>13197</v>
      </c>
    </row>
    <row r="2232" spans="1:7" x14ac:dyDescent="0.3">
      <c r="A2232" s="42" t="s">
        <v>2249</v>
      </c>
      <c r="B2232" s="42" t="s">
        <v>2445</v>
      </c>
      <c r="C2232" s="42" t="s">
        <v>7972</v>
      </c>
      <c r="D2232" s="43" t="s">
        <v>227</v>
      </c>
      <c r="E2232" s="43" t="s">
        <v>1430</v>
      </c>
      <c r="F2232" s="42" t="s">
        <v>11469</v>
      </c>
      <c r="G2232" t="s">
        <v>13197</v>
      </c>
    </row>
    <row r="2233" spans="1:7" x14ac:dyDescent="0.3">
      <c r="A2233" s="42" t="s">
        <v>2249</v>
      </c>
      <c r="B2233" s="42" t="s">
        <v>2446</v>
      </c>
      <c r="C2233" s="42" t="s">
        <v>7973</v>
      </c>
      <c r="D2233" s="43" t="s">
        <v>227</v>
      </c>
      <c r="E2233" s="43" t="s">
        <v>1430</v>
      </c>
      <c r="F2233" s="42" t="s">
        <v>11469</v>
      </c>
      <c r="G2233" t="s">
        <v>13197</v>
      </c>
    </row>
    <row r="2234" spans="1:7" x14ac:dyDescent="0.3">
      <c r="A2234" s="42" t="s">
        <v>2249</v>
      </c>
      <c r="B2234" s="42" t="s">
        <v>2447</v>
      </c>
      <c r="C2234" s="42" t="s">
        <v>7974</v>
      </c>
      <c r="D2234" s="43" t="s">
        <v>227</v>
      </c>
      <c r="E2234" s="43" t="s">
        <v>1430</v>
      </c>
      <c r="F2234" s="42" t="s">
        <v>11469</v>
      </c>
      <c r="G2234" t="s">
        <v>13197</v>
      </c>
    </row>
    <row r="2235" spans="1:7" x14ac:dyDescent="0.3">
      <c r="A2235" s="42" t="s">
        <v>2249</v>
      </c>
      <c r="B2235" s="42" t="s">
        <v>2448</v>
      </c>
      <c r="C2235" s="42" t="s">
        <v>7975</v>
      </c>
      <c r="D2235" s="43" t="s">
        <v>227</v>
      </c>
      <c r="E2235" s="43" t="s">
        <v>1430</v>
      </c>
      <c r="F2235" s="42" t="s">
        <v>11469</v>
      </c>
      <c r="G2235" t="s">
        <v>13197</v>
      </c>
    </row>
    <row r="2236" spans="1:7" x14ac:dyDescent="0.3">
      <c r="A2236" s="42" t="s">
        <v>2249</v>
      </c>
      <c r="B2236" s="42" t="s">
        <v>2449</v>
      </c>
      <c r="C2236" s="42" t="s">
        <v>7976</v>
      </c>
      <c r="D2236" s="43" t="s">
        <v>227</v>
      </c>
      <c r="E2236" s="43" t="s">
        <v>1430</v>
      </c>
      <c r="F2236" s="42" t="s">
        <v>11469</v>
      </c>
      <c r="G2236" t="s">
        <v>13197</v>
      </c>
    </row>
    <row r="2237" spans="1:7" x14ac:dyDescent="0.3">
      <c r="A2237" s="42" t="s">
        <v>2249</v>
      </c>
      <c r="B2237" s="42" t="s">
        <v>2450</v>
      </c>
      <c r="C2237" s="42" t="s">
        <v>7977</v>
      </c>
      <c r="D2237" s="43" t="s">
        <v>227</v>
      </c>
      <c r="E2237" s="43" t="s">
        <v>1430</v>
      </c>
      <c r="F2237" s="42" t="s">
        <v>11469</v>
      </c>
      <c r="G2237" t="s">
        <v>13197</v>
      </c>
    </row>
    <row r="2238" spans="1:7" x14ac:dyDescent="0.3">
      <c r="A2238" s="42" t="s">
        <v>2249</v>
      </c>
      <c r="B2238" s="42" t="s">
        <v>2451</v>
      </c>
      <c r="C2238" s="42" t="s">
        <v>7978</v>
      </c>
      <c r="D2238" s="43" t="s">
        <v>227</v>
      </c>
      <c r="E2238" s="43" t="s">
        <v>1430</v>
      </c>
      <c r="F2238" s="42" t="s">
        <v>11469</v>
      </c>
      <c r="G2238" t="s">
        <v>13197</v>
      </c>
    </row>
    <row r="2239" spans="1:7" x14ac:dyDescent="0.3">
      <c r="A2239" s="42" t="s">
        <v>2249</v>
      </c>
      <c r="B2239" s="42" t="s">
        <v>2452</v>
      </c>
      <c r="C2239" s="42" t="s">
        <v>7979</v>
      </c>
      <c r="D2239" s="43" t="s">
        <v>227</v>
      </c>
      <c r="E2239" s="43" t="s">
        <v>1430</v>
      </c>
      <c r="F2239" s="42" t="s">
        <v>11469</v>
      </c>
      <c r="G2239" t="s">
        <v>13197</v>
      </c>
    </row>
    <row r="2240" spans="1:7" x14ac:dyDescent="0.3">
      <c r="A2240" s="42" t="s">
        <v>2249</v>
      </c>
      <c r="B2240" s="42" t="s">
        <v>2453</v>
      </c>
      <c r="C2240" s="42" t="s">
        <v>7980</v>
      </c>
      <c r="D2240" s="43" t="s">
        <v>227</v>
      </c>
      <c r="E2240" s="43" t="s">
        <v>1430</v>
      </c>
      <c r="F2240" s="42" t="s">
        <v>11469</v>
      </c>
      <c r="G2240" t="s">
        <v>13198</v>
      </c>
    </row>
    <row r="2241" spans="1:7" x14ac:dyDescent="0.3">
      <c r="A2241" s="42" t="s">
        <v>2249</v>
      </c>
      <c r="B2241" s="42" t="s">
        <v>2454</v>
      </c>
      <c r="C2241" s="42" t="s">
        <v>7981</v>
      </c>
      <c r="D2241" s="43" t="s">
        <v>227</v>
      </c>
      <c r="E2241" s="43" t="s">
        <v>1430</v>
      </c>
      <c r="F2241" s="42" t="s">
        <v>11469</v>
      </c>
      <c r="G2241" t="s">
        <v>13197</v>
      </c>
    </row>
    <row r="2242" spans="1:7" x14ac:dyDescent="0.3">
      <c r="A2242" s="42" t="s">
        <v>2249</v>
      </c>
      <c r="B2242" s="42" t="s">
        <v>2455</v>
      </c>
      <c r="C2242" s="42" t="s">
        <v>7982</v>
      </c>
      <c r="D2242" s="43" t="s">
        <v>227</v>
      </c>
      <c r="E2242" s="43" t="s">
        <v>1430</v>
      </c>
      <c r="F2242" s="42" t="s">
        <v>11469</v>
      </c>
      <c r="G2242" t="s">
        <v>13197</v>
      </c>
    </row>
    <row r="2243" spans="1:7" x14ac:dyDescent="0.3">
      <c r="A2243" s="42" t="s">
        <v>2249</v>
      </c>
      <c r="B2243" s="42" t="s">
        <v>2456</v>
      </c>
      <c r="C2243" s="42" t="s">
        <v>7983</v>
      </c>
      <c r="D2243" s="43" t="s">
        <v>227</v>
      </c>
      <c r="E2243" s="43" t="s">
        <v>1430</v>
      </c>
      <c r="F2243" s="42" t="s">
        <v>192</v>
      </c>
      <c r="G2243" t="s">
        <v>13196</v>
      </c>
    </row>
    <row r="2244" spans="1:7" x14ac:dyDescent="0.3">
      <c r="A2244" s="42" t="s">
        <v>2249</v>
      </c>
      <c r="B2244" s="42" t="s">
        <v>2457</v>
      </c>
      <c r="C2244" s="42" t="s">
        <v>7984</v>
      </c>
      <c r="D2244" s="43" t="s">
        <v>227</v>
      </c>
      <c r="E2244" s="43" t="s">
        <v>1430</v>
      </c>
      <c r="F2244" s="42" t="s">
        <v>11469</v>
      </c>
      <c r="G2244" t="s">
        <v>13197</v>
      </c>
    </row>
    <row r="2245" spans="1:7" x14ac:dyDescent="0.3">
      <c r="A2245" s="42" t="s">
        <v>2249</v>
      </c>
      <c r="B2245" s="42" t="s">
        <v>2458</v>
      </c>
      <c r="C2245" s="42" t="s">
        <v>7985</v>
      </c>
      <c r="D2245" s="43" t="s">
        <v>227</v>
      </c>
      <c r="E2245" s="43" t="s">
        <v>1430</v>
      </c>
      <c r="F2245" s="42" t="s">
        <v>11469</v>
      </c>
      <c r="G2245" t="s">
        <v>13197</v>
      </c>
    </row>
    <row r="2246" spans="1:7" x14ac:dyDescent="0.3">
      <c r="A2246" s="42" t="s">
        <v>2249</v>
      </c>
      <c r="B2246" s="42" t="s">
        <v>2459</v>
      </c>
      <c r="C2246" s="42" t="s">
        <v>7986</v>
      </c>
      <c r="D2246" s="43" t="s">
        <v>227</v>
      </c>
      <c r="E2246" s="43" t="s">
        <v>1430</v>
      </c>
      <c r="F2246" s="42" t="s">
        <v>137</v>
      </c>
      <c r="G2246" t="s">
        <v>13197</v>
      </c>
    </row>
    <row r="2247" spans="1:7" x14ac:dyDescent="0.3">
      <c r="A2247" s="42" t="s">
        <v>2249</v>
      </c>
      <c r="B2247" s="42" t="s">
        <v>2460</v>
      </c>
      <c r="C2247" s="42" t="s">
        <v>7987</v>
      </c>
      <c r="D2247" s="43" t="s">
        <v>227</v>
      </c>
      <c r="E2247" s="43" t="s">
        <v>1430</v>
      </c>
      <c r="F2247" s="42" t="s">
        <v>11469</v>
      </c>
      <c r="G2247" t="s">
        <v>13197</v>
      </c>
    </row>
    <row r="2248" spans="1:7" x14ac:dyDescent="0.3">
      <c r="A2248" s="42" t="s">
        <v>2249</v>
      </c>
      <c r="B2248" s="42" t="s">
        <v>2461</v>
      </c>
      <c r="C2248" s="42" t="s">
        <v>7988</v>
      </c>
      <c r="D2248" s="43" t="s">
        <v>227</v>
      </c>
      <c r="E2248" s="43" t="s">
        <v>1430</v>
      </c>
      <c r="F2248" s="42" t="s">
        <v>11469</v>
      </c>
      <c r="G2248" t="s">
        <v>13197</v>
      </c>
    </row>
    <row r="2249" spans="1:7" x14ac:dyDescent="0.3">
      <c r="A2249" s="42" t="s">
        <v>2249</v>
      </c>
      <c r="B2249" s="42" t="s">
        <v>2462</v>
      </c>
      <c r="C2249" s="42" t="s">
        <v>7989</v>
      </c>
      <c r="D2249" s="43" t="s">
        <v>227</v>
      </c>
      <c r="E2249" s="43" t="s">
        <v>1430</v>
      </c>
      <c r="F2249" s="42" t="s">
        <v>11469</v>
      </c>
      <c r="G2249" t="s">
        <v>13197</v>
      </c>
    </row>
    <row r="2250" spans="1:7" x14ac:dyDescent="0.3">
      <c r="A2250" s="42" t="s">
        <v>2249</v>
      </c>
      <c r="B2250" s="42" t="s">
        <v>2463</v>
      </c>
      <c r="C2250" s="42" t="s">
        <v>7990</v>
      </c>
      <c r="D2250" s="43" t="s">
        <v>227</v>
      </c>
      <c r="E2250" s="43" t="s">
        <v>1430</v>
      </c>
      <c r="F2250" s="42" t="s">
        <v>11469</v>
      </c>
      <c r="G2250" t="s">
        <v>13197</v>
      </c>
    </row>
    <row r="2251" spans="1:7" x14ac:dyDescent="0.3">
      <c r="A2251" s="42" t="s">
        <v>2464</v>
      </c>
      <c r="B2251" s="42" t="s">
        <v>2465</v>
      </c>
      <c r="C2251" s="42" t="s">
        <v>7991</v>
      </c>
      <c r="D2251" s="43" t="s">
        <v>230</v>
      </c>
      <c r="E2251" s="43" t="s">
        <v>92</v>
      </c>
      <c r="F2251" s="42" t="s">
        <v>11469</v>
      </c>
      <c r="G2251" t="s">
        <v>13197</v>
      </c>
    </row>
    <row r="2252" spans="1:7" x14ac:dyDescent="0.3">
      <c r="A2252" s="42" t="s">
        <v>2464</v>
      </c>
      <c r="B2252" s="42" t="s">
        <v>2466</v>
      </c>
      <c r="C2252" s="42" t="s">
        <v>7992</v>
      </c>
      <c r="D2252" s="43" t="s">
        <v>230</v>
      </c>
      <c r="E2252" s="43" t="s">
        <v>92</v>
      </c>
      <c r="F2252" s="42" t="s">
        <v>11469</v>
      </c>
      <c r="G2252" t="s">
        <v>13197</v>
      </c>
    </row>
    <row r="2253" spans="1:7" x14ac:dyDescent="0.3">
      <c r="A2253" s="42" t="s">
        <v>2464</v>
      </c>
      <c r="B2253" s="42" t="s">
        <v>2467</v>
      </c>
      <c r="C2253" s="42" t="s">
        <v>7993</v>
      </c>
      <c r="D2253" s="43" t="s">
        <v>230</v>
      </c>
      <c r="E2253" s="43" t="s">
        <v>92</v>
      </c>
      <c r="F2253" s="42" t="s">
        <v>11469</v>
      </c>
      <c r="G2253" t="s">
        <v>13197</v>
      </c>
    </row>
    <row r="2254" spans="1:7" x14ac:dyDescent="0.3">
      <c r="A2254" s="42" t="s">
        <v>2464</v>
      </c>
      <c r="B2254" s="42" t="s">
        <v>2468</v>
      </c>
      <c r="C2254" s="42" t="s">
        <v>7994</v>
      </c>
      <c r="D2254" s="43" t="s">
        <v>230</v>
      </c>
      <c r="E2254" s="43" t="s">
        <v>92</v>
      </c>
      <c r="F2254" s="42" t="s">
        <v>11469</v>
      </c>
      <c r="G2254" t="s">
        <v>13197</v>
      </c>
    </row>
    <row r="2255" spans="1:7" x14ac:dyDescent="0.3">
      <c r="A2255" s="42" t="s">
        <v>2464</v>
      </c>
      <c r="B2255" s="42" t="s">
        <v>2469</v>
      </c>
      <c r="C2255" s="42" t="s">
        <v>7995</v>
      </c>
      <c r="D2255" s="43" t="s">
        <v>230</v>
      </c>
      <c r="E2255" s="43" t="s">
        <v>92</v>
      </c>
      <c r="F2255" s="42" t="s">
        <v>11469</v>
      </c>
      <c r="G2255" t="s">
        <v>13197</v>
      </c>
    </row>
    <row r="2256" spans="1:7" x14ac:dyDescent="0.3">
      <c r="A2256" s="42" t="s">
        <v>2464</v>
      </c>
      <c r="B2256" s="42" t="s">
        <v>2470</v>
      </c>
      <c r="C2256" s="42" t="s">
        <v>7996</v>
      </c>
      <c r="D2256" s="43" t="s">
        <v>230</v>
      </c>
      <c r="E2256" s="43" t="s">
        <v>92</v>
      </c>
      <c r="F2256" s="42" t="s">
        <v>11469</v>
      </c>
      <c r="G2256" t="s">
        <v>13197</v>
      </c>
    </row>
    <row r="2257" spans="1:7" x14ac:dyDescent="0.3">
      <c r="A2257" s="42" t="s">
        <v>2464</v>
      </c>
      <c r="B2257" s="42" t="s">
        <v>2471</v>
      </c>
      <c r="C2257" s="42" t="s">
        <v>7997</v>
      </c>
      <c r="D2257" s="43" t="s">
        <v>230</v>
      </c>
      <c r="E2257" s="43" t="s">
        <v>92</v>
      </c>
      <c r="F2257" s="42" t="s">
        <v>11469</v>
      </c>
      <c r="G2257" t="s">
        <v>13200</v>
      </c>
    </row>
    <row r="2258" spans="1:7" x14ac:dyDescent="0.3">
      <c r="A2258" s="42" t="s">
        <v>2464</v>
      </c>
      <c r="B2258" s="42" t="s">
        <v>2472</v>
      </c>
      <c r="C2258" s="42" t="s">
        <v>7998</v>
      </c>
      <c r="D2258" s="43" t="s">
        <v>230</v>
      </c>
      <c r="E2258" s="43" t="s">
        <v>92</v>
      </c>
      <c r="F2258" s="42" t="s">
        <v>11469</v>
      </c>
      <c r="G2258" t="s">
        <v>13197</v>
      </c>
    </row>
    <row r="2259" spans="1:7" x14ac:dyDescent="0.3">
      <c r="A2259" s="42" t="s">
        <v>2464</v>
      </c>
      <c r="B2259" s="42" t="s">
        <v>2473</v>
      </c>
      <c r="C2259" s="42" t="s">
        <v>7999</v>
      </c>
      <c r="D2259" s="43" t="s">
        <v>230</v>
      </c>
      <c r="E2259" s="43" t="s">
        <v>92</v>
      </c>
      <c r="F2259" s="42" t="s">
        <v>11469</v>
      </c>
      <c r="G2259" t="s">
        <v>13197</v>
      </c>
    </row>
    <row r="2260" spans="1:7" x14ac:dyDescent="0.3">
      <c r="A2260" s="42" t="s">
        <v>2464</v>
      </c>
      <c r="B2260" s="42" t="s">
        <v>2474</v>
      </c>
      <c r="C2260" s="42" t="s">
        <v>8000</v>
      </c>
      <c r="D2260" s="43" t="s">
        <v>230</v>
      </c>
      <c r="E2260" s="43" t="s">
        <v>92</v>
      </c>
      <c r="F2260" s="42" t="s">
        <v>11469</v>
      </c>
      <c r="G2260" t="s">
        <v>13197</v>
      </c>
    </row>
    <row r="2261" spans="1:7" x14ac:dyDescent="0.3">
      <c r="A2261" s="42" t="s">
        <v>2464</v>
      </c>
      <c r="B2261" s="42" t="s">
        <v>2475</v>
      </c>
      <c r="C2261" s="42" t="s">
        <v>8001</v>
      </c>
      <c r="D2261" s="43" t="s">
        <v>230</v>
      </c>
      <c r="E2261" s="43" t="s">
        <v>92</v>
      </c>
      <c r="F2261" s="42" t="s">
        <v>11469</v>
      </c>
      <c r="G2261" t="s">
        <v>13197</v>
      </c>
    </row>
    <row r="2262" spans="1:7" x14ac:dyDescent="0.3">
      <c r="A2262" s="42" t="s">
        <v>2464</v>
      </c>
      <c r="B2262" s="42" t="s">
        <v>2476</v>
      </c>
      <c r="C2262" s="42" t="s">
        <v>8002</v>
      </c>
      <c r="D2262" s="43" t="s">
        <v>230</v>
      </c>
      <c r="E2262" s="43" t="s">
        <v>92</v>
      </c>
      <c r="F2262" s="42" t="s">
        <v>11469</v>
      </c>
      <c r="G2262" t="s">
        <v>13197</v>
      </c>
    </row>
    <row r="2263" spans="1:7" x14ac:dyDescent="0.3">
      <c r="A2263" s="42" t="s">
        <v>2464</v>
      </c>
      <c r="B2263" s="42" t="s">
        <v>2477</v>
      </c>
      <c r="C2263" s="42" t="s">
        <v>8003</v>
      </c>
      <c r="D2263" s="43" t="s">
        <v>230</v>
      </c>
      <c r="E2263" s="43" t="s">
        <v>92</v>
      </c>
      <c r="F2263" s="42" t="s">
        <v>11469</v>
      </c>
      <c r="G2263" t="s">
        <v>13197</v>
      </c>
    </row>
    <row r="2264" spans="1:7" x14ac:dyDescent="0.3">
      <c r="A2264" s="42" t="s">
        <v>2464</v>
      </c>
      <c r="B2264" s="42" t="s">
        <v>2478</v>
      </c>
      <c r="C2264" s="42" t="s">
        <v>8004</v>
      </c>
      <c r="D2264" s="43" t="s">
        <v>230</v>
      </c>
      <c r="E2264" s="43" t="s">
        <v>92</v>
      </c>
      <c r="F2264" s="42" t="s">
        <v>11469</v>
      </c>
      <c r="G2264" t="s">
        <v>13197</v>
      </c>
    </row>
    <row r="2265" spans="1:7" x14ac:dyDescent="0.3">
      <c r="A2265" s="42" t="s">
        <v>2464</v>
      </c>
      <c r="B2265" s="42" t="s">
        <v>2479</v>
      </c>
      <c r="C2265" s="42" t="s">
        <v>8005</v>
      </c>
      <c r="D2265" s="43" t="s">
        <v>230</v>
      </c>
      <c r="E2265" s="43" t="s">
        <v>92</v>
      </c>
      <c r="F2265" s="42" t="s">
        <v>11469</v>
      </c>
      <c r="G2265" t="s">
        <v>13197</v>
      </c>
    </row>
    <row r="2266" spans="1:7" x14ac:dyDescent="0.3">
      <c r="A2266" s="42" t="s">
        <v>2464</v>
      </c>
      <c r="B2266" s="42" t="s">
        <v>2480</v>
      </c>
      <c r="C2266" s="42" t="s">
        <v>8006</v>
      </c>
      <c r="D2266" s="43" t="s">
        <v>230</v>
      </c>
      <c r="E2266" s="43" t="s">
        <v>92</v>
      </c>
      <c r="F2266" s="42" t="s">
        <v>11469</v>
      </c>
      <c r="G2266" t="s">
        <v>13197</v>
      </c>
    </row>
    <row r="2267" spans="1:7" x14ac:dyDescent="0.3">
      <c r="A2267" s="42" t="s">
        <v>2464</v>
      </c>
      <c r="B2267" s="42" t="s">
        <v>2481</v>
      </c>
      <c r="C2267" s="42" t="s">
        <v>8007</v>
      </c>
      <c r="D2267" s="43" t="s">
        <v>230</v>
      </c>
      <c r="E2267" s="43" t="s">
        <v>92</v>
      </c>
      <c r="F2267" s="42" t="s">
        <v>11469</v>
      </c>
      <c r="G2267" t="s">
        <v>13197</v>
      </c>
    </row>
    <row r="2268" spans="1:7" x14ac:dyDescent="0.3">
      <c r="A2268" s="42" t="s">
        <v>2464</v>
      </c>
      <c r="B2268" s="42" t="s">
        <v>2482</v>
      </c>
      <c r="C2268" s="42" t="s">
        <v>8008</v>
      </c>
      <c r="D2268" s="43" t="s">
        <v>230</v>
      </c>
      <c r="E2268" s="43" t="s">
        <v>92</v>
      </c>
      <c r="F2268" s="42" t="s">
        <v>11469</v>
      </c>
      <c r="G2268" t="s">
        <v>13197</v>
      </c>
    </row>
    <row r="2269" spans="1:7" x14ac:dyDescent="0.3">
      <c r="A2269" s="42" t="s">
        <v>2464</v>
      </c>
      <c r="B2269" s="42" t="s">
        <v>2483</v>
      </c>
      <c r="C2269" s="42" t="s">
        <v>8009</v>
      </c>
      <c r="D2269" s="43" t="s">
        <v>230</v>
      </c>
      <c r="E2269" s="43" t="s">
        <v>92</v>
      </c>
      <c r="F2269" s="42" t="s">
        <v>11469</v>
      </c>
      <c r="G2269" t="s">
        <v>13197</v>
      </c>
    </row>
    <row r="2270" spans="1:7" x14ac:dyDescent="0.3">
      <c r="A2270" s="42" t="s">
        <v>2464</v>
      </c>
      <c r="B2270" s="42" t="s">
        <v>2484</v>
      </c>
      <c r="C2270" s="42" t="s">
        <v>8010</v>
      </c>
      <c r="D2270" s="43" t="s">
        <v>230</v>
      </c>
      <c r="E2270" s="43" t="s">
        <v>92</v>
      </c>
      <c r="F2270" s="42" t="s">
        <v>11469</v>
      </c>
      <c r="G2270" t="s">
        <v>13197</v>
      </c>
    </row>
    <row r="2271" spans="1:7" x14ac:dyDescent="0.3">
      <c r="A2271" s="42" t="s">
        <v>2464</v>
      </c>
      <c r="B2271" s="42" t="s">
        <v>2485</v>
      </c>
      <c r="C2271" s="42" t="s">
        <v>8011</v>
      </c>
      <c r="D2271" s="43" t="s">
        <v>230</v>
      </c>
      <c r="E2271" s="43" t="s">
        <v>92</v>
      </c>
      <c r="F2271" s="42" t="s">
        <v>11469</v>
      </c>
      <c r="G2271" t="s">
        <v>13197</v>
      </c>
    </row>
    <row r="2272" spans="1:7" x14ac:dyDescent="0.3">
      <c r="A2272" s="42" t="s">
        <v>2464</v>
      </c>
      <c r="B2272" s="42" t="s">
        <v>2486</v>
      </c>
      <c r="C2272" s="42" t="s">
        <v>8012</v>
      </c>
      <c r="D2272" s="43" t="s">
        <v>230</v>
      </c>
      <c r="E2272" s="43" t="s">
        <v>92</v>
      </c>
      <c r="F2272" s="42" t="s">
        <v>11469</v>
      </c>
      <c r="G2272" t="s">
        <v>13197</v>
      </c>
    </row>
    <row r="2273" spans="1:7" x14ac:dyDescent="0.3">
      <c r="A2273" s="42" t="s">
        <v>2464</v>
      </c>
      <c r="B2273" s="42" t="s">
        <v>2487</v>
      </c>
      <c r="C2273" s="42" t="s">
        <v>8013</v>
      </c>
      <c r="D2273" s="43" t="s">
        <v>230</v>
      </c>
      <c r="E2273" s="43" t="s">
        <v>92</v>
      </c>
      <c r="F2273" s="42" t="s">
        <v>11469</v>
      </c>
      <c r="G2273" t="s">
        <v>13197</v>
      </c>
    </row>
    <row r="2274" spans="1:7" x14ac:dyDescent="0.3">
      <c r="A2274" s="42" t="s">
        <v>2464</v>
      </c>
      <c r="B2274" s="42" t="s">
        <v>2488</v>
      </c>
      <c r="C2274" s="42" t="s">
        <v>8014</v>
      </c>
      <c r="D2274" s="43" t="s">
        <v>230</v>
      </c>
      <c r="E2274" s="43" t="s">
        <v>92</v>
      </c>
      <c r="F2274" s="42" t="s">
        <v>192</v>
      </c>
      <c r="G2274" t="s">
        <v>13196</v>
      </c>
    </row>
    <row r="2275" spans="1:7" x14ac:dyDescent="0.3">
      <c r="A2275" s="42" t="s">
        <v>2464</v>
      </c>
      <c r="B2275" s="42" t="s">
        <v>2489</v>
      </c>
      <c r="C2275" s="42" t="s">
        <v>8015</v>
      </c>
      <c r="D2275" s="43" t="s">
        <v>230</v>
      </c>
      <c r="E2275" s="43" t="s">
        <v>92</v>
      </c>
      <c r="F2275" s="42" t="s">
        <v>11469</v>
      </c>
      <c r="G2275" t="s">
        <v>13197</v>
      </c>
    </row>
    <row r="2276" spans="1:7" x14ac:dyDescent="0.3">
      <c r="A2276" s="42" t="s">
        <v>2464</v>
      </c>
      <c r="B2276" s="42" t="s">
        <v>2490</v>
      </c>
      <c r="C2276" s="42" t="s">
        <v>8016</v>
      </c>
      <c r="D2276" s="43" t="s">
        <v>230</v>
      </c>
      <c r="E2276" s="43" t="s">
        <v>92</v>
      </c>
      <c r="F2276" s="42" t="s">
        <v>11469</v>
      </c>
      <c r="G2276" t="s">
        <v>13197</v>
      </c>
    </row>
    <row r="2277" spans="1:7" x14ac:dyDescent="0.3">
      <c r="A2277" s="42" t="s">
        <v>2464</v>
      </c>
      <c r="B2277" s="42" t="s">
        <v>2491</v>
      </c>
      <c r="C2277" s="42" t="s">
        <v>8017</v>
      </c>
      <c r="D2277" s="43" t="s">
        <v>230</v>
      </c>
      <c r="E2277" s="43" t="s">
        <v>92</v>
      </c>
      <c r="F2277" s="42" t="s">
        <v>11469</v>
      </c>
      <c r="G2277" t="s">
        <v>13197</v>
      </c>
    </row>
    <row r="2278" spans="1:7" x14ac:dyDescent="0.3">
      <c r="A2278" s="42" t="s">
        <v>2464</v>
      </c>
      <c r="B2278" s="42" t="s">
        <v>2492</v>
      </c>
      <c r="C2278" s="42" t="s">
        <v>8018</v>
      </c>
      <c r="D2278" s="43" t="s">
        <v>230</v>
      </c>
      <c r="E2278" s="43" t="s">
        <v>92</v>
      </c>
      <c r="F2278" s="42" t="s">
        <v>192</v>
      </c>
      <c r="G2278" t="s">
        <v>13196</v>
      </c>
    </row>
    <row r="2279" spans="1:7" x14ac:dyDescent="0.3">
      <c r="A2279" s="42" t="s">
        <v>2464</v>
      </c>
      <c r="B2279" s="42" t="s">
        <v>2493</v>
      </c>
      <c r="C2279" s="42" t="s">
        <v>8019</v>
      </c>
      <c r="D2279" s="43" t="s">
        <v>230</v>
      </c>
      <c r="E2279" s="43" t="s">
        <v>92</v>
      </c>
      <c r="F2279" s="42" t="s">
        <v>11469</v>
      </c>
      <c r="G2279" t="s">
        <v>13197</v>
      </c>
    </row>
    <row r="2280" spans="1:7" x14ac:dyDescent="0.3">
      <c r="A2280" s="42" t="s">
        <v>2464</v>
      </c>
      <c r="B2280" s="42" t="s">
        <v>2494</v>
      </c>
      <c r="C2280" s="42" t="s">
        <v>8020</v>
      </c>
      <c r="D2280" s="43" t="s">
        <v>230</v>
      </c>
      <c r="E2280" s="43" t="s">
        <v>92</v>
      </c>
      <c r="F2280" s="42" t="s">
        <v>11469</v>
      </c>
      <c r="G2280" t="s">
        <v>13197</v>
      </c>
    </row>
    <row r="2281" spans="1:7" x14ac:dyDescent="0.3">
      <c r="A2281" s="42" t="s">
        <v>2464</v>
      </c>
      <c r="B2281" s="42" t="s">
        <v>2495</v>
      </c>
      <c r="C2281" s="42" t="s">
        <v>8021</v>
      </c>
      <c r="D2281" s="43" t="s">
        <v>230</v>
      </c>
      <c r="E2281" s="43" t="s">
        <v>92</v>
      </c>
      <c r="F2281" s="42" t="s">
        <v>11469</v>
      </c>
      <c r="G2281" t="s">
        <v>13198</v>
      </c>
    </row>
    <row r="2282" spans="1:7" x14ac:dyDescent="0.3">
      <c r="A2282" s="42" t="s">
        <v>2464</v>
      </c>
      <c r="B2282" s="42" t="s">
        <v>2496</v>
      </c>
      <c r="C2282" s="42" t="s">
        <v>8022</v>
      </c>
      <c r="D2282" s="43" t="s">
        <v>230</v>
      </c>
      <c r="E2282" s="43" t="s">
        <v>92</v>
      </c>
      <c r="F2282" s="42" t="s">
        <v>11469</v>
      </c>
      <c r="G2282" t="s">
        <v>13197</v>
      </c>
    </row>
    <row r="2283" spans="1:7" x14ac:dyDescent="0.3">
      <c r="A2283" s="42" t="s">
        <v>2464</v>
      </c>
      <c r="B2283" s="42" t="s">
        <v>2497</v>
      </c>
      <c r="C2283" s="42" t="s">
        <v>8023</v>
      </c>
      <c r="D2283" s="43" t="s">
        <v>230</v>
      </c>
      <c r="E2283" s="43" t="s">
        <v>92</v>
      </c>
      <c r="F2283" s="42" t="s">
        <v>192</v>
      </c>
      <c r="G2283" t="s">
        <v>13196</v>
      </c>
    </row>
    <row r="2284" spans="1:7" x14ac:dyDescent="0.3">
      <c r="A2284" s="42" t="s">
        <v>2464</v>
      </c>
      <c r="B2284" s="42" t="s">
        <v>2498</v>
      </c>
      <c r="C2284" s="42" t="s">
        <v>8024</v>
      </c>
      <c r="D2284" s="43" t="s">
        <v>230</v>
      </c>
      <c r="E2284" s="43" t="s">
        <v>92</v>
      </c>
      <c r="F2284" s="42" t="s">
        <v>11469</v>
      </c>
      <c r="G2284" t="s">
        <v>13198</v>
      </c>
    </row>
    <row r="2285" spans="1:7" x14ac:dyDescent="0.3">
      <c r="A2285" s="42" t="s">
        <v>2464</v>
      </c>
      <c r="B2285" s="42" t="s">
        <v>2499</v>
      </c>
      <c r="C2285" s="42" t="s">
        <v>8025</v>
      </c>
      <c r="D2285" s="43" t="s">
        <v>230</v>
      </c>
      <c r="E2285" s="43" t="s">
        <v>92</v>
      </c>
      <c r="F2285" s="42" t="s">
        <v>11469</v>
      </c>
      <c r="G2285" t="s">
        <v>13197</v>
      </c>
    </row>
    <row r="2286" spans="1:7" x14ac:dyDescent="0.3">
      <c r="A2286" s="42" t="s">
        <v>2464</v>
      </c>
      <c r="B2286" s="42" t="s">
        <v>2500</v>
      </c>
      <c r="C2286" s="42" t="s">
        <v>8026</v>
      </c>
      <c r="D2286" s="43" t="s">
        <v>230</v>
      </c>
      <c r="E2286" s="43" t="s">
        <v>92</v>
      </c>
      <c r="F2286" s="42" t="s">
        <v>11469</v>
      </c>
      <c r="G2286" t="s">
        <v>13197</v>
      </c>
    </row>
    <row r="2287" spans="1:7" x14ac:dyDescent="0.3">
      <c r="A2287" s="42" t="s">
        <v>2464</v>
      </c>
      <c r="B2287" s="42" t="s">
        <v>2501</v>
      </c>
      <c r="C2287" s="42" t="s">
        <v>8027</v>
      </c>
      <c r="D2287" s="43" t="s">
        <v>230</v>
      </c>
      <c r="E2287" s="43" t="s">
        <v>92</v>
      </c>
      <c r="F2287" s="42" t="s">
        <v>11469</v>
      </c>
      <c r="G2287" t="s">
        <v>13197</v>
      </c>
    </row>
    <row r="2288" spans="1:7" x14ac:dyDescent="0.3">
      <c r="A2288" s="42" t="s">
        <v>2464</v>
      </c>
      <c r="B2288" s="42" t="s">
        <v>2502</v>
      </c>
      <c r="C2288" s="42" t="s">
        <v>8028</v>
      </c>
      <c r="D2288" s="43" t="s">
        <v>230</v>
      </c>
      <c r="E2288" s="43" t="s">
        <v>92</v>
      </c>
      <c r="F2288" s="42" t="s">
        <v>11469</v>
      </c>
      <c r="G2288" t="s">
        <v>13197</v>
      </c>
    </row>
    <row r="2289" spans="1:7" x14ac:dyDescent="0.3">
      <c r="A2289" s="42" t="s">
        <v>2464</v>
      </c>
      <c r="B2289" s="42" t="s">
        <v>2503</v>
      </c>
      <c r="C2289" s="42" t="s">
        <v>8029</v>
      </c>
      <c r="D2289" s="43" t="s">
        <v>230</v>
      </c>
      <c r="E2289" s="43" t="s">
        <v>92</v>
      </c>
      <c r="F2289" s="42" t="s">
        <v>11469</v>
      </c>
      <c r="G2289" t="s">
        <v>13197</v>
      </c>
    </row>
    <row r="2290" spans="1:7" x14ac:dyDescent="0.3">
      <c r="A2290" s="42" t="s">
        <v>2464</v>
      </c>
      <c r="B2290" s="42" t="s">
        <v>2504</v>
      </c>
      <c r="C2290" s="42" t="s">
        <v>8030</v>
      </c>
      <c r="D2290" s="43" t="s">
        <v>230</v>
      </c>
      <c r="E2290" s="43" t="s">
        <v>92</v>
      </c>
      <c r="F2290" s="42" t="s">
        <v>192</v>
      </c>
      <c r="G2290" t="s">
        <v>13196</v>
      </c>
    </row>
    <row r="2291" spans="1:7" x14ac:dyDescent="0.3">
      <c r="A2291" s="42" t="s">
        <v>2464</v>
      </c>
      <c r="B2291" s="42" t="s">
        <v>2505</v>
      </c>
      <c r="C2291" s="42" t="s">
        <v>8031</v>
      </c>
      <c r="D2291" s="43" t="s">
        <v>230</v>
      </c>
      <c r="E2291" s="43" t="s">
        <v>92</v>
      </c>
      <c r="F2291" s="42" t="s">
        <v>11469</v>
      </c>
      <c r="G2291" t="s">
        <v>13197</v>
      </c>
    </row>
    <row r="2292" spans="1:7" x14ac:dyDescent="0.3">
      <c r="A2292" s="42" t="s">
        <v>2464</v>
      </c>
      <c r="B2292" s="42" t="s">
        <v>2506</v>
      </c>
      <c r="C2292" s="42" t="s">
        <v>8032</v>
      </c>
      <c r="D2292" s="43" t="s">
        <v>230</v>
      </c>
      <c r="E2292" s="43" t="s">
        <v>92</v>
      </c>
      <c r="F2292" s="42" t="s">
        <v>11469</v>
      </c>
      <c r="G2292" t="s">
        <v>13197</v>
      </c>
    </row>
    <row r="2293" spans="1:7" x14ac:dyDescent="0.3">
      <c r="A2293" s="42" t="s">
        <v>2464</v>
      </c>
      <c r="B2293" s="42" t="s">
        <v>2507</v>
      </c>
      <c r="C2293" s="42" t="s">
        <v>8033</v>
      </c>
      <c r="D2293" s="43" t="s">
        <v>230</v>
      </c>
      <c r="E2293" s="43" t="s">
        <v>92</v>
      </c>
      <c r="F2293" s="42" t="s">
        <v>11469</v>
      </c>
      <c r="G2293" t="s">
        <v>13197</v>
      </c>
    </row>
    <row r="2294" spans="1:7" x14ac:dyDescent="0.3">
      <c r="A2294" s="42" t="s">
        <v>2464</v>
      </c>
      <c r="B2294" s="42" t="s">
        <v>2508</v>
      </c>
      <c r="C2294" s="42" t="s">
        <v>8034</v>
      </c>
      <c r="D2294" s="43" t="s">
        <v>230</v>
      </c>
      <c r="E2294" s="43" t="s">
        <v>92</v>
      </c>
      <c r="F2294" s="42" t="s">
        <v>11469</v>
      </c>
      <c r="G2294" t="s">
        <v>13197</v>
      </c>
    </row>
    <row r="2295" spans="1:7" x14ac:dyDescent="0.3">
      <c r="A2295" s="42" t="s">
        <v>2464</v>
      </c>
      <c r="B2295" s="42" t="s">
        <v>2509</v>
      </c>
      <c r="C2295" s="42" t="s">
        <v>8035</v>
      </c>
      <c r="D2295" s="43" t="s">
        <v>230</v>
      </c>
      <c r="E2295" s="43" t="s">
        <v>92</v>
      </c>
      <c r="F2295" s="42" t="s">
        <v>11469</v>
      </c>
      <c r="G2295" t="s">
        <v>13197</v>
      </c>
    </row>
    <row r="2296" spans="1:7" x14ac:dyDescent="0.3">
      <c r="A2296" s="42" t="s">
        <v>2464</v>
      </c>
      <c r="B2296" s="42" t="s">
        <v>2510</v>
      </c>
      <c r="C2296" s="42" t="s">
        <v>8036</v>
      </c>
      <c r="D2296" s="43" t="s">
        <v>230</v>
      </c>
      <c r="E2296" s="43" t="s">
        <v>92</v>
      </c>
      <c r="F2296" s="42" t="s">
        <v>11469</v>
      </c>
      <c r="G2296" t="s">
        <v>13197</v>
      </c>
    </row>
    <row r="2297" spans="1:7" x14ac:dyDescent="0.3">
      <c r="A2297" s="42" t="s">
        <v>2464</v>
      </c>
      <c r="B2297" s="42" t="s">
        <v>2511</v>
      </c>
      <c r="C2297" s="42" t="s">
        <v>8037</v>
      </c>
      <c r="D2297" s="43" t="s">
        <v>230</v>
      </c>
      <c r="E2297" s="43" t="s">
        <v>92</v>
      </c>
      <c r="F2297" s="42" t="s">
        <v>11469</v>
      </c>
      <c r="G2297" t="s">
        <v>13198</v>
      </c>
    </row>
    <row r="2298" spans="1:7" x14ac:dyDescent="0.3">
      <c r="A2298" s="42" t="s">
        <v>2464</v>
      </c>
      <c r="B2298" s="42" t="s">
        <v>2512</v>
      </c>
      <c r="C2298" s="42" t="s">
        <v>8038</v>
      </c>
      <c r="D2298" s="43" t="s">
        <v>230</v>
      </c>
      <c r="E2298" s="43" t="s">
        <v>92</v>
      </c>
      <c r="F2298" s="42" t="s">
        <v>11469</v>
      </c>
      <c r="G2298" t="s">
        <v>13197</v>
      </c>
    </row>
    <row r="2299" spans="1:7" x14ac:dyDescent="0.3">
      <c r="A2299" s="42" t="s">
        <v>2464</v>
      </c>
      <c r="B2299" s="42" t="s">
        <v>2513</v>
      </c>
      <c r="C2299" s="42" t="s">
        <v>8039</v>
      </c>
      <c r="D2299" s="43" t="s">
        <v>230</v>
      </c>
      <c r="E2299" s="43" t="s">
        <v>92</v>
      </c>
      <c r="F2299" s="42" t="s">
        <v>11469</v>
      </c>
      <c r="G2299" t="s">
        <v>13197</v>
      </c>
    </row>
    <row r="2300" spans="1:7" x14ac:dyDescent="0.3">
      <c r="A2300" s="42" t="s">
        <v>2464</v>
      </c>
      <c r="B2300" s="42" t="s">
        <v>2514</v>
      </c>
      <c r="C2300" s="42" t="s">
        <v>8040</v>
      </c>
      <c r="D2300" s="43" t="s">
        <v>230</v>
      </c>
      <c r="E2300" s="43" t="s">
        <v>92</v>
      </c>
      <c r="F2300" s="42" t="s">
        <v>11469</v>
      </c>
      <c r="G2300" t="s">
        <v>13197</v>
      </c>
    </row>
    <row r="2301" spans="1:7" x14ac:dyDescent="0.3">
      <c r="A2301" s="42" t="s">
        <v>2464</v>
      </c>
      <c r="B2301" s="42" t="s">
        <v>2515</v>
      </c>
      <c r="C2301" s="42" t="s">
        <v>8041</v>
      </c>
      <c r="D2301" s="43" t="s">
        <v>230</v>
      </c>
      <c r="E2301" s="43" t="s">
        <v>92</v>
      </c>
      <c r="F2301" s="42" t="s">
        <v>11469</v>
      </c>
      <c r="G2301" t="s">
        <v>13197</v>
      </c>
    </row>
    <row r="2302" spans="1:7" x14ac:dyDescent="0.3">
      <c r="A2302" s="42" t="s">
        <v>2464</v>
      </c>
      <c r="B2302" s="42" t="s">
        <v>2516</v>
      </c>
      <c r="C2302" s="42" t="s">
        <v>8042</v>
      </c>
      <c r="D2302" s="43" t="s">
        <v>230</v>
      </c>
      <c r="E2302" s="43" t="s">
        <v>92</v>
      </c>
      <c r="F2302" s="42" t="s">
        <v>11469</v>
      </c>
      <c r="G2302" t="s">
        <v>13197</v>
      </c>
    </row>
    <row r="2303" spans="1:7" x14ac:dyDescent="0.3">
      <c r="A2303" s="42" t="s">
        <v>2464</v>
      </c>
      <c r="B2303" s="42" t="s">
        <v>2517</v>
      </c>
      <c r="C2303" s="42" t="s">
        <v>8043</v>
      </c>
      <c r="D2303" s="43" t="s">
        <v>230</v>
      </c>
      <c r="E2303" s="43" t="s">
        <v>92</v>
      </c>
      <c r="F2303" s="42" t="s">
        <v>11469</v>
      </c>
      <c r="G2303" t="s">
        <v>13197</v>
      </c>
    </row>
    <row r="2304" spans="1:7" x14ac:dyDescent="0.3">
      <c r="A2304" s="42" t="s">
        <v>2464</v>
      </c>
      <c r="B2304" s="42" t="s">
        <v>2518</v>
      </c>
      <c r="C2304" s="42" t="s">
        <v>8044</v>
      </c>
      <c r="D2304" s="43" t="s">
        <v>230</v>
      </c>
      <c r="E2304" s="43" t="s">
        <v>92</v>
      </c>
      <c r="F2304" s="42" t="s">
        <v>11469</v>
      </c>
      <c r="G2304" t="s">
        <v>13197</v>
      </c>
    </row>
    <row r="2305" spans="1:7" x14ac:dyDescent="0.3">
      <c r="A2305" s="42" t="s">
        <v>2464</v>
      </c>
      <c r="B2305" s="42" t="s">
        <v>2519</v>
      </c>
      <c r="C2305" s="42" t="s">
        <v>8045</v>
      </c>
      <c r="D2305" s="43" t="s">
        <v>230</v>
      </c>
      <c r="E2305" s="43" t="s">
        <v>92</v>
      </c>
      <c r="F2305" s="42" t="s">
        <v>11469</v>
      </c>
      <c r="G2305" t="s">
        <v>13197</v>
      </c>
    </row>
    <row r="2306" spans="1:7" x14ac:dyDescent="0.3">
      <c r="A2306" s="42" t="s">
        <v>2464</v>
      </c>
      <c r="B2306" s="42" t="s">
        <v>2520</v>
      </c>
      <c r="C2306" s="42" t="s">
        <v>8046</v>
      </c>
      <c r="D2306" s="43" t="s">
        <v>230</v>
      </c>
      <c r="E2306" s="43" t="s">
        <v>92</v>
      </c>
      <c r="F2306" s="42" t="s">
        <v>192</v>
      </c>
      <c r="G2306" t="s">
        <v>13196</v>
      </c>
    </row>
    <row r="2307" spans="1:7" x14ac:dyDescent="0.3">
      <c r="A2307" s="42" t="s">
        <v>2464</v>
      </c>
      <c r="B2307" s="42" t="s">
        <v>2521</v>
      </c>
      <c r="C2307" s="42" t="s">
        <v>8047</v>
      </c>
      <c r="D2307" s="43" t="s">
        <v>230</v>
      </c>
      <c r="E2307" s="43" t="s">
        <v>92</v>
      </c>
      <c r="F2307" s="42" t="s">
        <v>11469</v>
      </c>
      <c r="G2307" t="s">
        <v>13197</v>
      </c>
    </row>
    <row r="2308" spans="1:7" x14ac:dyDescent="0.3">
      <c r="A2308" s="42" t="s">
        <v>2464</v>
      </c>
      <c r="B2308" s="42" t="s">
        <v>2522</v>
      </c>
      <c r="C2308" s="42" t="s">
        <v>8048</v>
      </c>
      <c r="D2308" s="43" t="s">
        <v>230</v>
      </c>
      <c r="E2308" s="43" t="s">
        <v>92</v>
      </c>
      <c r="F2308" s="42" t="s">
        <v>192</v>
      </c>
      <c r="G2308" t="s">
        <v>13196</v>
      </c>
    </row>
    <row r="2309" spans="1:7" x14ac:dyDescent="0.3">
      <c r="A2309" s="42" t="s">
        <v>2464</v>
      </c>
      <c r="B2309" s="42" t="s">
        <v>2523</v>
      </c>
      <c r="C2309" s="42" t="s">
        <v>8049</v>
      </c>
      <c r="D2309" s="43" t="s">
        <v>230</v>
      </c>
      <c r="E2309" s="43" t="s">
        <v>92</v>
      </c>
      <c r="F2309" s="42" t="s">
        <v>11469</v>
      </c>
      <c r="G2309" t="s">
        <v>13197</v>
      </c>
    </row>
    <row r="2310" spans="1:7" x14ac:dyDescent="0.3">
      <c r="A2310" s="42" t="s">
        <v>2464</v>
      </c>
      <c r="B2310" s="42" t="s">
        <v>2524</v>
      </c>
      <c r="C2310" s="42" t="s">
        <v>8050</v>
      </c>
      <c r="D2310" s="43" t="s">
        <v>230</v>
      </c>
      <c r="E2310" s="43" t="s">
        <v>92</v>
      </c>
      <c r="F2310" s="42" t="s">
        <v>11469</v>
      </c>
      <c r="G2310" t="s">
        <v>13197</v>
      </c>
    </row>
    <row r="2311" spans="1:7" x14ac:dyDescent="0.3">
      <c r="A2311" s="42" t="s">
        <v>2464</v>
      </c>
      <c r="B2311" s="42" t="s">
        <v>2525</v>
      </c>
      <c r="C2311" s="42" t="s">
        <v>8051</v>
      </c>
      <c r="D2311" s="43" t="s">
        <v>230</v>
      </c>
      <c r="E2311" s="43" t="s">
        <v>92</v>
      </c>
      <c r="F2311" s="42" t="s">
        <v>192</v>
      </c>
      <c r="G2311" t="s">
        <v>13196</v>
      </c>
    </row>
    <row r="2312" spans="1:7" x14ac:dyDescent="0.3">
      <c r="A2312" s="42" t="s">
        <v>2464</v>
      </c>
      <c r="B2312" s="42" t="s">
        <v>2526</v>
      </c>
      <c r="C2312" s="42" t="s">
        <v>8052</v>
      </c>
      <c r="D2312" s="43" t="s">
        <v>230</v>
      </c>
      <c r="E2312" s="43" t="s">
        <v>92</v>
      </c>
      <c r="F2312" s="42" t="s">
        <v>11469</v>
      </c>
      <c r="G2312" t="s">
        <v>13197</v>
      </c>
    </row>
    <row r="2313" spans="1:7" x14ac:dyDescent="0.3">
      <c r="A2313" s="42" t="s">
        <v>2464</v>
      </c>
      <c r="B2313" s="42" t="s">
        <v>2527</v>
      </c>
      <c r="C2313" s="42" t="s">
        <v>8053</v>
      </c>
      <c r="D2313" s="43" t="s">
        <v>230</v>
      </c>
      <c r="E2313" s="43" t="s">
        <v>92</v>
      </c>
      <c r="F2313" s="42" t="s">
        <v>11469</v>
      </c>
      <c r="G2313" t="s">
        <v>13197</v>
      </c>
    </row>
    <row r="2314" spans="1:7" x14ac:dyDescent="0.3">
      <c r="A2314" s="42" t="s">
        <v>2464</v>
      </c>
      <c r="B2314" s="42" t="s">
        <v>2528</v>
      </c>
      <c r="C2314" s="42" t="s">
        <v>8054</v>
      </c>
      <c r="D2314" s="43" t="s">
        <v>230</v>
      </c>
      <c r="E2314" s="43" t="s">
        <v>92</v>
      </c>
      <c r="F2314" s="42" t="s">
        <v>11469</v>
      </c>
      <c r="G2314" t="s">
        <v>13197</v>
      </c>
    </row>
    <row r="2315" spans="1:7" x14ac:dyDescent="0.3">
      <c r="A2315" s="42" t="s">
        <v>2464</v>
      </c>
      <c r="B2315" s="42" t="s">
        <v>2529</v>
      </c>
      <c r="C2315" s="42" t="s">
        <v>8055</v>
      </c>
      <c r="D2315" s="43" t="s">
        <v>230</v>
      </c>
      <c r="E2315" s="43" t="s">
        <v>92</v>
      </c>
      <c r="F2315" s="42" t="s">
        <v>11469</v>
      </c>
      <c r="G2315" t="s">
        <v>13197</v>
      </c>
    </row>
    <row r="2316" spans="1:7" x14ac:dyDescent="0.3">
      <c r="A2316" s="42" t="s">
        <v>2464</v>
      </c>
      <c r="B2316" s="42" t="s">
        <v>2530</v>
      </c>
      <c r="C2316" s="42" t="s">
        <v>8056</v>
      </c>
      <c r="D2316" s="43" t="s">
        <v>230</v>
      </c>
      <c r="E2316" s="43" t="s">
        <v>92</v>
      </c>
      <c r="F2316" s="42" t="s">
        <v>11469</v>
      </c>
      <c r="G2316" t="s">
        <v>13197</v>
      </c>
    </row>
    <row r="2317" spans="1:7" x14ac:dyDescent="0.3">
      <c r="A2317" s="42" t="s">
        <v>2464</v>
      </c>
      <c r="B2317" s="42" t="s">
        <v>2531</v>
      </c>
      <c r="C2317" s="42" t="s">
        <v>8057</v>
      </c>
      <c r="D2317" s="43" t="s">
        <v>230</v>
      </c>
      <c r="E2317" s="43" t="s">
        <v>92</v>
      </c>
      <c r="F2317" s="42" t="s">
        <v>11469</v>
      </c>
      <c r="G2317" t="s">
        <v>13197</v>
      </c>
    </row>
    <row r="2318" spans="1:7" x14ac:dyDescent="0.3">
      <c r="A2318" s="42" t="s">
        <v>2464</v>
      </c>
      <c r="B2318" s="42" t="s">
        <v>2532</v>
      </c>
      <c r="C2318" s="42" t="s">
        <v>8058</v>
      </c>
      <c r="D2318" s="43" t="s">
        <v>230</v>
      </c>
      <c r="E2318" s="43" t="s">
        <v>92</v>
      </c>
      <c r="F2318" s="42" t="s">
        <v>11469</v>
      </c>
      <c r="G2318" t="s">
        <v>13197</v>
      </c>
    </row>
    <row r="2319" spans="1:7" x14ac:dyDescent="0.3">
      <c r="A2319" s="42" t="s">
        <v>2464</v>
      </c>
      <c r="B2319" s="42" t="s">
        <v>2533</v>
      </c>
      <c r="C2319" s="42" t="s">
        <v>8059</v>
      </c>
      <c r="D2319" s="43" t="s">
        <v>230</v>
      </c>
      <c r="E2319" s="43" t="s">
        <v>92</v>
      </c>
      <c r="F2319" s="42" t="s">
        <v>11469</v>
      </c>
      <c r="G2319" t="s">
        <v>13197</v>
      </c>
    </row>
    <row r="2320" spans="1:7" x14ac:dyDescent="0.3">
      <c r="A2320" s="42" t="s">
        <v>2464</v>
      </c>
      <c r="B2320" s="42" t="s">
        <v>2534</v>
      </c>
      <c r="C2320" s="42" t="s">
        <v>8060</v>
      </c>
      <c r="D2320" s="43" t="s">
        <v>230</v>
      </c>
      <c r="E2320" s="43" t="s">
        <v>92</v>
      </c>
      <c r="F2320" s="42" t="s">
        <v>11469</v>
      </c>
      <c r="G2320" t="s">
        <v>13197</v>
      </c>
    </row>
    <row r="2321" spans="1:7" x14ac:dyDescent="0.3">
      <c r="A2321" s="42" t="s">
        <v>2464</v>
      </c>
      <c r="B2321" s="42" t="s">
        <v>2535</v>
      </c>
      <c r="C2321" s="42" t="s">
        <v>8061</v>
      </c>
      <c r="D2321" s="43" t="s">
        <v>230</v>
      </c>
      <c r="E2321" s="43" t="s">
        <v>92</v>
      </c>
      <c r="F2321" s="42" t="s">
        <v>11469</v>
      </c>
      <c r="G2321" t="s">
        <v>13197</v>
      </c>
    </row>
    <row r="2322" spans="1:7" x14ac:dyDescent="0.3">
      <c r="A2322" s="42" t="s">
        <v>2464</v>
      </c>
      <c r="B2322" s="42" t="s">
        <v>2536</v>
      </c>
      <c r="C2322" s="42" t="s">
        <v>8062</v>
      </c>
      <c r="D2322" s="43" t="s">
        <v>230</v>
      </c>
      <c r="E2322" s="43" t="s">
        <v>92</v>
      </c>
      <c r="F2322" s="42" t="s">
        <v>192</v>
      </c>
      <c r="G2322" t="s">
        <v>13196</v>
      </c>
    </row>
    <row r="2323" spans="1:7" x14ac:dyDescent="0.3">
      <c r="A2323" s="42" t="s">
        <v>2464</v>
      </c>
      <c r="B2323" s="42" t="s">
        <v>2537</v>
      </c>
      <c r="C2323" s="42" t="s">
        <v>8063</v>
      </c>
      <c r="D2323" s="43" t="s">
        <v>230</v>
      </c>
      <c r="E2323" s="43" t="s">
        <v>92</v>
      </c>
      <c r="F2323" s="42" t="s">
        <v>192</v>
      </c>
      <c r="G2323" t="s">
        <v>13196</v>
      </c>
    </row>
    <row r="2324" spans="1:7" x14ac:dyDescent="0.3">
      <c r="A2324" s="42" t="s">
        <v>2464</v>
      </c>
      <c r="B2324" s="42" t="s">
        <v>2538</v>
      </c>
      <c r="C2324" s="42" t="s">
        <v>8064</v>
      </c>
      <c r="D2324" s="43" t="s">
        <v>230</v>
      </c>
      <c r="E2324" s="43" t="s">
        <v>92</v>
      </c>
      <c r="F2324" s="42" t="s">
        <v>11469</v>
      </c>
      <c r="G2324" t="s">
        <v>13197</v>
      </c>
    </row>
    <row r="2325" spans="1:7" x14ac:dyDescent="0.3">
      <c r="A2325" s="42" t="s">
        <v>2464</v>
      </c>
      <c r="B2325" s="42" t="s">
        <v>2539</v>
      </c>
      <c r="C2325" s="42" t="s">
        <v>8065</v>
      </c>
      <c r="D2325" s="43" t="s">
        <v>230</v>
      </c>
      <c r="E2325" s="43" t="s">
        <v>92</v>
      </c>
      <c r="F2325" s="42" t="s">
        <v>11469</v>
      </c>
      <c r="G2325" t="s">
        <v>13197</v>
      </c>
    </row>
    <row r="2326" spans="1:7" x14ac:dyDescent="0.3">
      <c r="A2326" s="42" t="s">
        <v>2464</v>
      </c>
      <c r="B2326" s="42" t="s">
        <v>2540</v>
      </c>
      <c r="C2326" s="42" t="s">
        <v>8066</v>
      </c>
      <c r="D2326" s="43" t="s">
        <v>230</v>
      </c>
      <c r="E2326" s="43" t="s">
        <v>92</v>
      </c>
      <c r="F2326" s="42" t="s">
        <v>11469</v>
      </c>
      <c r="G2326" t="s">
        <v>13197</v>
      </c>
    </row>
    <row r="2327" spans="1:7" x14ac:dyDescent="0.3">
      <c r="A2327" s="42" t="s">
        <v>2464</v>
      </c>
      <c r="B2327" s="42" t="s">
        <v>2541</v>
      </c>
      <c r="C2327" s="42" t="s">
        <v>8067</v>
      </c>
      <c r="D2327" s="43" t="s">
        <v>230</v>
      </c>
      <c r="E2327" s="43" t="s">
        <v>92</v>
      </c>
      <c r="F2327" s="42" t="s">
        <v>192</v>
      </c>
      <c r="G2327" t="s">
        <v>13196</v>
      </c>
    </row>
    <row r="2328" spans="1:7" x14ac:dyDescent="0.3">
      <c r="A2328" s="42" t="s">
        <v>2464</v>
      </c>
      <c r="B2328" s="42" t="s">
        <v>2542</v>
      </c>
      <c r="C2328" s="42" t="s">
        <v>8068</v>
      </c>
      <c r="D2328" s="43" t="s">
        <v>230</v>
      </c>
      <c r="E2328" s="43" t="s">
        <v>92</v>
      </c>
      <c r="F2328" s="42" t="s">
        <v>11469</v>
      </c>
      <c r="G2328" t="s">
        <v>13197</v>
      </c>
    </row>
    <row r="2329" spans="1:7" x14ac:dyDescent="0.3">
      <c r="A2329" s="42" t="s">
        <v>2464</v>
      </c>
      <c r="B2329" s="42" t="s">
        <v>2543</v>
      </c>
      <c r="C2329" s="42" t="s">
        <v>8069</v>
      </c>
      <c r="D2329" s="43" t="s">
        <v>230</v>
      </c>
      <c r="E2329" s="43" t="s">
        <v>92</v>
      </c>
      <c r="F2329" s="42" t="s">
        <v>11469</v>
      </c>
      <c r="G2329" t="s">
        <v>13197</v>
      </c>
    </row>
    <row r="2330" spans="1:7" x14ac:dyDescent="0.3">
      <c r="A2330" s="42" t="s">
        <v>2544</v>
      </c>
      <c r="B2330" s="42" t="s">
        <v>2545</v>
      </c>
      <c r="C2330" s="42" t="s">
        <v>8070</v>
      </c>
      <c r="D2330" s="43" t="s">
        <v>230</v>
      </c>
      <c r="E2330" s="43" t="s">
        <v>92</v>
      </c>
      <c r="F2330" s="42" t="s">
        <v>11469</v>
      </c>
      <c r="G2330" t="s">
        <v>13197</v>
      </c>
    </row>
    <row r="2331" spans="1:7" x14ac:dyDescent="0.3">
      <c r="A2331" s="42" t="s">
        <v>2544</v>
      </c>
      <c r="B2331" s="42" t="s">
        <v>2546</v>
      </c>
      <c r="C2331" s="42" t="s">
        <v>8071</v>
      </c>
      <c r="D2331" s="43" t="s">
        <v>230</v>
      </c>
      <c r="E2331" s="43" t="s">
        <v>92</v>
      </c>
      <c r="F2331" s="42" t="s">
        <v>11469</v>
      </c>
      <c r="G2331" t="s">
        <v>13197</v>
      </c>
    </row>
    <row r="2332" spans="1:7" x14ac:dyDescent="0.3">
      <c r="A2332" s="42" t="s">
        <v>2544</v>
      </c>
      <c r="B2332" s="42" t="s">
        <v>2544</v>
      </c>
      <c r="C2332" s="42" t="s">
        <v>8072</v>
      </c>
      <c r="D2332" s="43" t="s">
        <v>230</v>
      </c>
      <c r="E2332" s="43" t="s">
        <v>92</v>
      </c>
      <c r="F2332" s="42" t="s">
        <v>11469</v>
      </c>
      <c r="G2332" t="s">
        <v>13197</v>
      </c>
    </row>
    <row r="2333" spans="1:7" x14ac:dyDescent="0.3">
      <c r="A2333" s="42" t="s">
        <v>2547</v>
      </c>
      <c r="B2333" s="42" t="s">
        <v>2548</v>
      </c>
      <c r="C2333" s="42" t="s">
        <v>8073</v>
      </c>
      <c r="D2333" s="43" t="s">
        <v>91</v>
      </c>
      <c r="E2333" s="43" t="s">
        <v>91</v>
      </c>
      <c r="F2333" s="42" t="s">
        <v>11469</v>
      </c>
      <c r="G2333" t="s">
        <v>13197</v>
      </c>
    </row>
    <row r="2334" spans="1:7" x14ac:dyDescent="0.3">
      <c r="A2334" s="42" t="s">
        <v>2547</v>
      </c>
      <c r="B2334" s="42" t="s">
        <v>2549</v>
      </c>
      <c r="C2334" s="42" t="s">
        <v>8074</v>
      </c>
      <c r="D2334" s="43" t="s">
        <v>91</v>
      </c>
      <c r="E2334" s="43" t="s">
        <v>91</v>
      </c>
      <c r="F2334" s="42" t="s">
        <v>11469</v>
      </c>
      <c r="G2334" t="s">
        <v>13197</v>
      </c>
    </row>
    <row r="2335" spans="1:7" x14ac:dyDescent="0.3">
      <c r="A2335" s="42" t="s">
        <v>2547</v>
      </c>
      <c r="B2335" s="42" t="s">
        <v>2550</v>
      </c>
      <c r="C2335" s="42" t="s">
        <v>8075</v>
      </c>
      <c r="D2335" s="43" t="s">
        <v>91</v>
      </c>
      <c r="E2335" s="43" t="s">
        <v>91</v>
      </c>
      <c r="F2335" s="42" t="s">
        <v>11469</v>
      </c>
      <c r="G2335" t="s">
        <v>13197</v>
      </c>
    </row>
    <row r="2336" spans="1:7" x14ac:dyDescent="0.3">
      <c r="A2336" s="42" t="s">
        <v>2547</v>
      </c>
      <c r="B2336" s="42" t="s">
        <v>2551</v>
      </c>
      <c r="C2336" s="42" t="s">
        <v>8076</v>
      </c>
      <c r="D2336" s="43" t="s">
        <v>91</v>
      </c>
      <c r="E2336" s="43" t="s">
        <v>91</v>
      </c>
      <c r="F2336" s="42" t="s">
        <v>11469</v>
      </c>
      <c r="G2336" t="s">
        <v>13197</v>
      </c>
    </row>
    <row r="2337" spans="1:7" x14ac:dyDescent="0.3">
      <c r="A2337" s="42" t="s">
        <v>2547</v>
      </c>
      <c r="B2337" s="42" t="s">
        <v>2552</v>
      </c>
      <c r="C2337" s="42" t="s">
        <v>8077</v>
      </c>
      <c r="D2337" s="43" t="s">
        <v>91</v>
      </c>
      <c r="E2337" s="43" t="s">
        <v>91</v>
      </c>
      <c r="F2337" s="42" t="s">
        <v>11469</v>
      </c>
      <c r="G2337" t="s">
        <v>13197</v>
      </c>
    </row>
    <row r="2338" spans="1:7" x14ac:dyDescent="0.3">
      <c r="A2338" s="42" t="s">
        <v>2547</v>
      </c>
      <c r="B2338" s="42" t="s">
        <v>2553</v>
      </c>
      <c r="C2338" s="42" t="s">
        <v>8078</v>
      </c>
      <c r="D2338" s="43" t="s">
        <v>91</v>
      </c>
      <c r="E2338" s="43" t="s">
        <v>91</v>
      </c>
      <c r="F2338" s="42" t="s">
        <v>11469</v>
      </c>
      <c r="G2338" t="s">
        <v>13197</v>
      </c>
    </row>
    <row r="2339" spans="1:7" x14ac:dyDescent="0.3">
      <c r="A2339" s="42" t="s">
        <v>2547</v>
      </c>
      <c r="B2339" s="42" t="s">
        <v>2554</v>
      </c>
      <c r="C2339" s="42" t="s">
        <v>8079</v>
      </c>
      <c r="D2339" s="43" t="s">
        <v>91</v>
      </c>
      <c r="E2339" s="43" t="s">
        <v>91</v>
      </c>
      <c r="F2339" s="42" t="s">
        <v>11469</v>
      </c>
      <c r="G2339" t="s">
        <v>13197</v>
      </c>
    </row>
    <row r="2340" spans="1:7" x14ac:dyDescent="0.3">
      <c r="A2340" s="42" t="s">
        <v>2547</v>
      </c>
      <c r="B2340" s="42" t="s">
        <v>2555</v>
      </c>
      <c r="C2340" s="42" t="s">
        <v>8080</v>
      </c>
      <c r="D2340" s="43" t="s">
        <v>91</v>
      </c>
      <c r="E2340" s="43" t="s">
        <v>91</v>
      </c>
      <c r="F2340" s="42" t="s">
        <v>11469</v>
      </c>
      <c r="G2340" t="s">
        <v>13197</v>
      </c>
    </row>
    <row r="2341" spans="1:7" x14ac:dyDescent="0.3">
      <c r="A2341" s="42" t="s">
        <v>2547</v>
      </c>
      <c r="B2341" s="42" t="s">
        <v>2556</v>
      </c>
      <c r="C2341" s="42" t="s">
        <v>8081</v>
      </c>
      <c r="D2341" s="43" t="s">
        <v>91</v>
      </c>
      <c r="E2341" s="43" t="s">
        <v>91</v>
      </c>
      <c r="F2341" s="42" t="s">
        <v>11469</v>
      </c>
      <c r="G2341" t="s">
        <v>13197</v>
      </c>
    </row>
    <row r="2342" spans="1:7" x14ac:dyDescent="0.3">
      <c r="A2342" s="42" t="s">
        <v>2547</v>
      </c>
      <c r="B2342" s="42" t="s">
        <v>2557</v>
      </c>
      <c r="C2342" s="42" t="s">
        <v>8082</v>
      </c>
      <c r="D2342" s="43" t="s">
        <v>91</v>
      </c>
      <c r="E2342" s="43" t="s">
        <v>91</v>
      </c>
      <c r="F2342" s="42" t="s">
        <v>192</v>
      </c>
      <c r="G2342" t="s">
        <v>13196</v>
      </c>
    </row>
    <row r="2343" spans="1:7" x14ac:dyDescent="0.3">
      <c r="A2343" s="42" t="s">
        <v>2547</v>
      </c>
      <c r="B2343" s="42" t="s">
        <v>2558</v>
      </c>
      <c r="C2343" s="42" t="s">
        <v>8083</v>
      </c>
      <c r="D2343" s="43" t="s">
        <v>91</v>
      </c>
      <c r="E2343" s="43" t="s">
        <v>91</v>
      </c>
      <c r="F2343" s="42" t="s">
        <v>11469</v>
      </c>
      <c r="G2343" t="s">
        <v>13197</v>
      </c>
    </row>
    <row r="2344" spans="1:7" x14ac:dyDescent="0.3">
      <c r="A2344" s="42" t="s">
        <v>2547</v>
      </c>
      <c r="B2344" s="42" t="s">
        <v>2559</v>
      </c>
      <c r="C2344" s="42" t="s">
        <v>8084</v>
      </c>
      <c r="D2344" s="43" t="s">
        <v>91</v>
      </c>
      <c r="E2344" s="43" t="s">
        <v>91</v>
      </c>
      <c r="F2344" s="42" t="s">
        <v>11469</v>
      </c>
      <c r="G2344" t="s">
        <v>13197</v>
      </c>
    </row>
    <row r="2345" spans="1:7" x14ac:dyDescent="0.3">
      <c r="A2345" s="42" t="s">
        <v>2547</v>
      </c>
      <c r="B2345" s="42" t="s">
        <v>2560</v>
      </c>
      <c r="C2345" s="42" t="s">
        <v>8085</v>
      </c>
      <c r="D2345" s="43" t="s">
        <v>91</v>
      </c>
      <c r="E2345" s="43" t="s">
        <v>91</v>
      </c>
      <c r="F2345" s="42" t="s">
        <v>11469</v>
      </c>
      <c r="G2345" t="s">
        <v>13197</v>
      </c>
    </row>
    <row r="2346" spans="1:7" x14ac:dyDescent="0.3">
      <c r="A2346" s="42" t="s">
        <v>2547</v>
      </c>
      <c r="B2346" s="42" t="s">
        <v>2561</v>
      </c>
      <c r="C2346" s="42" t="s">
        <v>8086</v>
      </c>
      <c r="D2346" s="43" t="s">
        <v>91</v>
      </c>
      <c r="E2346" s="43" t="s">
        <v>91</v>
      </c>
      <c r="F2346" s="42" t="s">
        <v>11469</v>
      </c>
      <c r="G2346" t="s">
        <v>13197</v>
      </c>
    </row>
    <row r="2347" spans="1:7" x14ac:dyDescent="0.3">
      <c r="A2347" s="42" t="s">
        <v>2547</v>
      </c>
      <c r="B2347" s="42" t="s">
        <v>2562</v>
      </c>
      <c r="C2347" s="42" t="s">
        <v>8087</v>
      </c>
      <c r="D2347" s="43" t="s">
        <v>91</v>
      </c>
      <c r="E2347" s="43" t="s">
        <v>91</v>
      </c>
      <c r="F2347" s="42" t="s">
        <v>11469</v>
      </c>
      <c r="G2347" t="s">
        <v>13197</v>
      </c>
    </row>
    <row r="2348" spans="1:7" x14ac:dyDescent="0.3">
      <c r="A2348" s="42" t="s">
        <v>2547</v>
      </c>
      <c r="B2348" s="42" t="s">
        <v>2563</v>
      </c>
      <c r="C2348" s="42" t="s">
        <v>8088</v>
      </c>
      <c r="D2348" s="43" t="s">
        <v>91</v>
      </c>
      <c r="E2348" s="43" t="s">
        <v>91</v>
      </c>
      <c r="F2348" s="42" t="s">
        <v>11469</v>
      </c>
      <c r="G2348" t="s">
        <v>13197</v>
      </c>
    </row>
    <row r="2349" spans="1:7" x14ac:dyDescent="0.3">
      <c r="A2349" s="42" t="s">
        <v>2547</v>
      </c>
      <c r="B2349" s="42" t="s">
        <v>2564</v>
      </c>
      <c r="C2349" s="42" t="s">
        <v>8089</v>
      </c>
      <c r="D2349" s="43" t="s">
        <v>91</v>
      </c>
      <c r="E2349" s="43" t="s">
        <v>91</v>
      </c>
      <c r="F2349" s="42" t="s">
        <v>11469</v>
      </c>
      <c r="G2349" t="s">
        <v>13197</v>
      </c>
    </row>
    <row r="2350" spans="1:7" x14ac:dyDescent="0.3">
      <c r="A2350" s="42" t="s">
        <v>2547</v>
      </c>
      <c r="B2350" s="42" t="s">
        <v>2565</v>
      </c>
      <c r="C2350" s="42" t="s">
        <v>8090</v>
      </c>
      <c r="D2350" s="43" t="s">
        <v>91</v>
      </c>
      <c r="E2350" s="43" t="s">
        <v>91</v>
      </c>
      <c r="F2350" s="42" t="s">
        <v>11469</v>
      </c>
      <c r="G2350" t="s">
        <v>13197</v>
      </c>
    </row>
    <row r="2351" spans="1:7" x14ac:dyDescent="0.3">
      <c r="A2351" s="42" t="s">
        <v>2547</v>
      </c>
      <c r="B2351" s="42" t="s">
        <v>2566</v>
      </c>
      <c r="C2351" s="42" t="s">
        <v>8091</v>
      </c>
      <c r="D2351" s="43" t="s">
        <v>91</v>
      </c>
      <c r="E2351" s="43" t="s">
        <v>91</v>
      </c>
      <c r="F2351" s="42" t="s">
        <v>11469</v>
      </c>
      <c r="G2351" t="s">
        <v>13197</v>
      </c>
    </row>
    <row r="2352" spans="1:7" x14ac:dyDescent="0.3">
      <c r="A2352" s="42" t="s">
        <v>2547</v>
      </c>
      <c r="B2352" s="42" t="s">
        <v>2567</v>
      </c>
      <c r="C2352" s="42" t="s">
        <v>8092</v>
      </c>
      <c r="D2352" s="43" t="s">
        <v>91</v>
      </c>
      <c r="E2352" s="43" t="s">
        <v>91</v>
      </c>
      <c r="F2352" s="42" t="s">
        <v>11469</v>
      </c>
      <c r="G2352" t="s">
        <v>13197</v>
      </c>
    </row>
    <row r="2353" spans="1:7" x14ac:dyDescent="0.3">
      <c r="A2353" s="42" t="s">
        <v>2547</v>
      </c>
      <c r="B2353" s="42" t="s">
        <v>1863</v>
      </c>
      <c r="C2353" s="42" t="s">
        <v>8093</v>
      </c>
      <c r="D2353" s="43" t="s">
        <v>91</v>
      </c>
      <c r="E2353" s="43" t="s">
        <v>91</v>
      </c>
      <c r="F2353" s="42" t="s">
        <v>11469</v>
      </c>
      <c r="G2353" t="s">
        <v>13197</v>
      </c>
    </row>
    <row r="2354" spans="1:7" x14ac:dyDescent="0.3">
      <c r="A2354" s="42" t="s">
        <v>2547</v>
      </c>
      <c r="B2354" s="42" t="s">
        <v>2568</v>
      </c>
      <c r="C2354" s="42" t="s">
        <v>8094</v>
      </c>
      <c r="D2354" s="43" t="s">
        <v>91</v>
      </c>
      <c r="E2354" s="43" t="s">
        <v>91</v>
      </c>
      <c r="F2354" s="42" t="s">
        <v>11469</v>
      </c>
      <c r="G2354" t="s">
        <v>13197</v>
      </c>
    </row>
    <row r="2355" spans="1:7" x14ac:dyDescent="0.3">
      <c r="A2355" s="42" t="s">
        <v>2547</v>
      </c>
      <c r="B2355" s="42" t="s">
        <v>2569</v>
      </c>
      <c r="C2355" s="42" t="s">
        <v>8095</v>
      </c>
      <c r="D2355" s="43" t="s">
        <v>91</v>
      </c>
      <c r="E2355" s="43" t="s">
        <v>91</v>
      </c>
      <c r="F2355" s="42" t="s">
        <v>11469</v>
      </c>
      <c r="G2355" t="s">
        <v>13197</v>
      </c>
    </row>
    <row r="2356" spans="1:7" x14ac:dyDescent="0.3">
      <c r="A2356" s="42" t="s">
        <v>2547</v>
      </c>
      <c r="B2356" s="42" t="s">
        <v>2570</v>
      </c>
      <c r="C2356" s="42" t="s">
        <v>8096</v>
      </c>
      <c r="D2356" s="43" t="s">
        <v>91</v>
      </c>
      <c r="E2356" s="43" t="s">
        <v>91</v>
      </c>
      <c r="F2356" s="42" t="s">
        <v>11469</v>
      </c>
      <c r="G2356" t="s">
        <v>13197</v>
      </c>
    </row>
    <row r="2357" spans="1:7" x14ac:dyDescent="0.3">
      <c r="A2357" s="42" t="s">
        <v>2547</v>
      </c>
      <c r="B2357" s="42" t="s">
        <v>2571</v>
      </c>
      <c r="C2357" s="42" t="s">
        <v>8097</v>
      </c>
      <c r="D2357" s="43" t="s">
        <v>91</v>
      </c>
      <c r="E2357" s="43" t="s">
        <v>91</v>
      </c>
      <c r="F2357" s="42" t="s">
        <v>192</v>
      </c>
      <c r="G2357" t="s">
        <v>13196</v>
      </c>
    </row>
    <row r="2358" spans="1:7" x14ac:dyDescent="0.3">
      <c r="A2358" s="42" t="s">
        <v>2547</v>
      </c>
      <c r="B2358" s="42" t="s">
        <v>2572</v>
      </c>
      <c r="C2358" s="42" t="s">
        <v>8098</v>
      </c>
      <c r="D2358" s="43" t="s">
        <v>91</v>
      </c>
      <c r="E2358" s="43" t="s">
        <v>91</v>
      </c>
      <c r="F2358" s="42" t="s">
        <v>11469</v>
      </c>
      <c r="G2358" t="s">
        <v>13197</v>
      </c>
    </row>
    <row r="2359" spans="1:7" x14ac:dyDescent="0.3">
      <c r="A2359" s="42" t="s">
        <v>2547</v>
      </c>
      <c r="B2359" s="42" t="s">
        <v>2573</v>
      </c>
      <c r="C2359" s="42" t="s">
        <v>8099</v>
      </c>
      <c r="D2359" s="43" t="s">
        <v>91</v>
      </c>
      <c r="E2359" s="43" t="s">
        <v>91</v>
      </c>
      <c r="F2359" s="42" t="s">
        <v>11469</v>
      </c>
      <c r="G2359" t="s">
        <v>13197</v>
      </c>
    </row>
    <row r="2360" spans="1:7" x14ac:dyDescent="0.3">
      <c r="A2360" s="42" t="s">
        <v>2547</v>
      </c>
      <c r="B2360" s="42" t="s">
        <v>2574</v>
      </c>
      <c r="C2360" s="42" t="s">
        <v>8100</v>
      </c>
      <c r="D2360" s="43" t="s">
        <v>91</v>
      </c>
      <c r="E2360" s="43" t="s">
        <v>91</v>
      </c>
      <c r="F2360" s="42" t="s">
        <v>11469</v>
      </c>
      <c r="G2360" t="s">
        <v>13197</v>
      </c>
    </row>
    <row r="2361" spans="1:7" x14ac:dyDescent="0.3">
      <c r="A2361" s="42" t="s">
        <v>2547</v>
      </c>
      <c r="B2361" s="42" t="s">
        <v>2575</v>
      </c>
      <c r="C2361" s="42" t="s">
        <v>8101</v>
      </c>
      <c r="D2361" s="43" t="s">
        <v>91</v>
      </c>
      <c r="E2361" s="43" t="s">
        <v>91</v>
      </c>
      <c r="F2361" s="42" t="s">
        <v>11469</v>
      </c>
      <c r="G2361" t="s">
        <v>13197</v>
      </c>
    </row>
    <row r="2362" spans="1:7" x14ac:dyDescent="0.3">
      <c r="A2362" s="42" t="s">
        <v>2547</v>
      </c>
      <c r="B2362" s="42" t="s">
        <v>2576</v>
      </c>
      <c r="C2362" s="42" t="s">
        <v>8102</v>
      </c>
      <c r="D2362" s="43" t="s">
        <v>91</v>
      </c>
      <c r="E2362" s="43" t="s">
        <v>91</v>
      </c>
      <c r="F2362" s="42" t="s">
        <v>11469</v>
      </c>
      <c r="G2362" t="s">
        <v>13197</v>
      </c>
    </row>
    <row r="2363" spans="1:7" x14ac:dyDescent="0.3">
      <c r="A2363" s="42" t="s">
        <v>2547</v>
      </c>
      <c r="B2363" s="42" t="s">
        <v>2577</v>
      </c>
      <c r="C2363" s="42" t="s">
        <v>8103</v>
      </c>
      <c r="D2363" s="43" t="s">
        <v>91</v>
      </c>
      <c r="E2363" s="43" t="s">
        <v>91</v>
      </c>
      <c r="F2363" s="42" t="s">
        <v>11469</v>
      </c>
      <c r="G2363" t="s">
        <v>13197</v>
      </c>
    </row>
    <row r="2364" spans="1:7" x14ac:dyDescent="0.3">
      <c r="A2364" s="42" t="s">
        <v>2547</v>
      </c>
      <c r="B2364" s="42" t="s">
        <v>2578</v>
      </c>
      <c r="C2364" s="42" t="s">
        <v>8104</v>
      </c>
      <c r="D2364" s="43" t="s">
        <v>91</v>
      </c>
      <c r="E2364" s="43" t="s">
        <v>91</v>
      </c>
      <c r="F2364" s="42" t="s">
        <v>11469</v>
      </c>
      <c r="G2364" t="s">
        <v>13197</v>
      </c>
    </row>
    <row r="2365" spans="1:7" x14ac:dyDescent="0.3">
      <c r="A2365" s="42" t="s">
        <v>2547</v>
      </c>
      <c r="B2365" s="42" t="s">
        <v>2579</v>
      </c>
      <c r="C2365" s="42" t="s">
        <v>8105</v>
      </c>
      <c r="D2365" s="43" t="s">
        <v>91</v>
      </c>
      <c r="E2365" s="43" t="s">
        <v>91</v>
      </c>
      <c r="F2365" s="42" t="s">
        <v>11469</v>
      </c>
      <c r="G2365" t="s">
        <v>13197</v>
      </c>
    </row>
    <row r="2366" spans="1:7" x14ac:dyDescent="0.3">
      <c r="A2366" s="42" t="s">
        <v>2547</v>
      </c>
      <c r="B2366" s="42" t="s">
        <v>2580</v>
      </c>
      <c r="C2366" s="42" t="s">
        <v>8106</v>
      </c>
      <c r="D2366" s="43" t="s">
        <v>91</v>
      </c>
      <c r="E2366" s="43" t="s">
        <v>91</v>
      </c>
      <c r="F2366" s="42" t="s">
        <v>11469</v>
      </c>
      <c r="G2366" t="s">
        <v>13197</v>
      </c>
    </row>
    <row r="2367" spans="1:7" x14ac:dyDescent="0.3">
      <c r="A2367" s="42" t="s">
        <v>2547</v>
      </c>
      <c r="B2367" s="42" t="s">
        <v>2581</v>
      </c>
      <c r="C2367" s="42" t="s">
        <v>8107</v>
      </c>
      <c r="D2367" s="43" t="s">
        <v>91</v>
      </c>
      <c r="E2367" s="43" t="s">
        <v>91</v>
      </c>
      <c r="F2367" s="42" t="s">
        <v>11469</v>
      </c>
      <c r="G2367" t="s">
        <v>13197</v>
      </c>
    </row>
    <row r="2368" spans="1:7" x14ac:dyDescent="0.3">
      <c r="A2368" s="42" t="s">
        <v>2547</v>
      </c>
      <c r="B2368" s="42" t="s">
        <v>2582</v>
      </c>
      <c r="C2368" s="42" t="s">
        <v>8108</v>
      </c>
      <c r="D2368" s="43" t="s">
        <v>91</v>
      </c>
      <c r="E2368" s="43" t="s">
        <v>91</v>
      </c>
      <c r="F2368" s="42" t="s">
        <v>11469</v>
      </c>
      <c r="G2368" t="s">
        <v>13197</v>
      </c>
    </row>
    <row r="2369" spans="1:7" x14ac:dyDescent="0.3">
      <c r="A2369" s="42" t="s">
        <v>2547</v>
      </c>
      <c r="B2369" s="42" t="s">
        <v>2583</v>
      </c>
      <c r="C2369" s="42" t="s">
        <v>8109</v>
      </c>
      <c r="D2369" s="43" t="s">
        <v>91</v>
      </c>
      <c r="E2369" s="43" t="s">
        <v>91</v>
      </c>
      <c r="F2369" s="42" t="s">
        <v>11469</v>
      </c>
      <c r="G2369" t="s">
        <v>13197</v>
      </c>
    </row>
    <row r="2370" spans="1:7" x14ac:dyDescent="0.3">
      <c r="A2370" s="42" t="s">
        <v>2547</v>
      </c>
      <c r="B2370" s="42" t="s">
        <v>2584</v>
      </c>
      <c r="C2370" s="42" t="s">
        <v>8110</v>
      </c>
      <c r="D2370" s="43" t="s">
        <v>91</v>
      </c>
      <c r="E2370" s="43" t="s">
        <v>91</v>
      </c>
      <c r="F2370" s="42" t="s">
        <v>11469</v>
      </c>
      <c r="G2370" t="s">
        <v>13197</v>
      </c>
    </row>
    <row r="2371" spans="1:7" x14ac:dyDescent="0.3">
      <c r="A2371" s="42" t="s">
        <v>2547</v>
      </c>
      <c r="B2371" s="42" t="s">
        <v>2585</v>
      </c>
      <c r="C2371" s="42" t="s">
        <v>8111</v>
      </c>
      <c r="D2371" s="43" t="s">
        <v>91</v>
      </c>
      <c r="E2371" s="43" t="s">
        <v>91</v>
      </c>
      <c r="F2371" s="42" t="s">
        <v>11469</v>
      </c>
      <c r="G2371" t="s">
        <v>13197</v>
      </c>
    </row>
    <row r="2372" spans="1:7" x14ac:dyDescent="0.3">
      <c r="A2372" s="42" t="s">
        <v>2547</v>
      </c>
      <c r="B2372" s="42" t="s">
        <v>2586</v>
      </c>
      <c r="C2372" s="42" t="s">
        <v>8112</v>
      </c>
      <c r="D2372" s="43" t="s">
        <v>91</v>
      </c>
      <c r="E2372" s="43" t="s">
        <v>91</v>
      </c>
      <c r="F2372" s="42" t="s">
        <v>11469</v>
      </c>
      <c r="G2372" t="s">
        <v>13197</v>
      </c>
    </row>
    <row r="2373" spans="1:7" x14ac:dyDescent="0.3">
      <c r="A2373" s="42" t="s">
        <v>2547</v>
      </c>
      <c r="B2373" s="42" t="s">
        <v>2587</v>
      </c>
      <c r="C2373" s="42" t="s">
        <v>8113</v>
      </c>
      <c r="D2373" s="43" t="s">
        <v>91</v>
      </c>
      <c r="E2373" s="43" t="s">
        <v>91</v>
      </c>
      <c r="F2373" s="42" t="s">
        <v>11469</v>
      </c>
      <c r="G2373" t="s">
        <v>13197</v>
      </c>
    </row>
    <row r="2374" spans="1:7" x14ac:dyDescent="0.3">
      <c r="A2374" s="42" t="s">
        <v>2547</v>
      </c>
      <c r="B2374" s="42" t="s">
        <v>2588</v>
      </c>
      <c r="C2374" s="42" t="s">
        <v>8114</v>
      </c>
      <c r="D2374" s="43" t="s">
        <v>91</v>
      </c>
      <c r="E2374" s="43" t="s">
        <v>91</v>
      </c>
      <c r="F2374" s="42" t="s">
        <v>11469</v>
      </c>
      <c r="G2374" t="s">
        <v>13197</v>
      </c>
    </row>
    <row r="2375" spans="1:7" x14ac:dyDescent="0.3">
      <c r="A2375" s="42" t="s">
        <v>2547</v>
      </c>
      <c r="B2375" s="42" t="s">
        <v>2589</v>
      </c>
      <c r="C2375" s="42" t="s">
        <v>8115</v>
      </c>
      <c r="D2375" s="43" t="s">
        <v>91</v>
      </c>
      <c r="E2375" s="43" t="s">
        <v>91</v>
      </c>
      <c r="F2375" s="42" t="s">
        <v>11469</v>
      </c>
      <c r="G2375" t="s">
        <v>13197</v>
      </c>
    </row>
    <row r="2376" spans="1:7" x14ac:dyDescent="0.3">
      <c r="A2376" s="42" t="s">
        <v>2547</v>
      </c>
      <c r="B2376" s="42" t="s">
        <v>2590</v>
      </c>
      <c r="C2376" s="42" t="s">
        <v>8116</v>
      </c>
      <c r="D2376" s="43" t="s">
        <v>91</v>
      </c>
      <c r="E2376" s="43" t="s">
        <v>91</v>
      </c>
      <c r="F2376" s="42" t="s">
        <v>11469</v>
      </c>
      <c r="G2376" t="s">
        <v>13197</v>
      </c>
    </row>
    <row r="2377" spans="1:7" x14ac:dyDescent="0.3">
      <c r="A2377" s="42" t="s">
        <v>2547</v>
      </c>
      <c r="B2377" s="42" t="s">
        <v>2591</v>
      </c>
      <c r="C2377" s="42" t="s">
        <v>8117</v>
      </c>
      <c r="D2377" s="43" t="s">
        <v>91</v>
      </c>
      <c r="E2377" s="43" t="s">
        <v>91</v>
      </c>
      <c r="F2377" s="42" t="s">
        <v>11469</v>
      </c>
      <c r="G2377" t="s">
        <v>13197</v>
      </c>
    </row>
    <row r="2378" spans="1:7" x14ac:dyDescent="0.3">
      <c r="A2378" s="42" t="s">
        <v>2547</v>
      </c>
      <c r="B2378" s="42" t="s">
        <v>2592</v>
      </c>
      <c r="C2378" s="42" t="s">
        <v>8118</v>
      </c>
      <c r="D2378" s="43" t="s">
        <v>91</v>
      </c>
      <c r="E2378" s="43" t="s">
        <v>91</v>
      </c>
      <c r="F2378" s="42" t="s">
        <v>11469</v>
      </c>
      <c r="G2378" t="s">
        <v>13197</v>
      </c>
    </row>
    <row r="2379" spans="1:7" x14ac:dyDescent="0.3">
      <c r="A2379" s="42" t="s">
        <v>2547</v>
      </c>
      <c r="B2379" s="42" t="s">
        <v>2593</v>
      </c>
      <c r="C2379" s="42" t="s">
        <v>8119</v>
      </c>
      <c r="D2379" s="43" t="s">
        <v>91</v>
      </c>
      <c r="E2379" s="43" t="s">
        <v>91</v>
      </c>
      <c r="F2379" s="42" t="s">
        <v>137</v>
      </c>
      <c r="G2379" t="s">
        <v>13197</v>
      </c>
    </row>
    <row r="2380" spans="1:7" x14ac:dyDescent="0.3">
      <c r="A2380" s="42" t="s">
        <v>2547</v>
      </c>
      <c r="B2380" s="42" t="s">
        <v>2594</v>
      </c>
      <c r="C2380" s="42" t="s">
        <v>8120</v>
      </c>
      <c r="D2380" s="43" t="s">
        <v>91</v>
      </c>
      <c r="E2380" s="43" t="s">
        <v>91</v>
      </c>
      <c r="F2380" s="42" t="s">
        <v>11469</v>
      </c>
      <c r="G2380" t="s">
        <v>13197</v>
      </c>
    </row>
    <row r="2381" spans="1:7" x14ac:dyDescent="0.3">
      <c r="A2381" s="42" t="s">
        <v>2547</v>
      </c>
      <c r="B2381" s="42" t="s">
        <v>2595</v>
      </c>
      <c r="C2381" s="42" t="s">
        <v>8121</v>
      </c>
      <c r="D2381" s="43" t="s">
        <v>91</v>
      </c>
      <c r="E2381" s="43" t="s">
        <v>91</v>
      </c>
      <c r="F2381" s="42" t="s">
        <v>11469</v>
      </c>
      <c r="G2381" t="s">
        <v>13197</v>
      </c>
    </row>
    <row r="2382" spans="1:7" x14ac:dyDescent="0.3">
      <c r="A2382" s="42" t="s">
        <v>2547</v>
      </c>
      <c r="B2382" s="42" t="s">
        <v>2596</v>
      </c>
      <c r="C2382" s="42" t="s">
        <v>8122</v>
      </c>
      <c r="D2382" s="43" t="s">
        <v>91</v>
      </c>
      <c r="E2382" s="43" t="s">
        <v>91</v>
      </c>
      <c r="F2382" s="42" t="s">
        <v>11469</v>
      </c>
      <c r="G2382" t="s">
        <v>13197</v>
      </c>
    </row>
    <row r="2383" spans="1:7" x14ac:dyDescent="0.3">
      <c r="A2383" s="42" t="s">
        <v>2547</v>
      </c>
      <c r="B2383" s="42" t="s">
        <v>2597</v>
      </c>
      <c r="C2383" s="42" t="s">
        <v>8123</v>
      </c>
      <c r="D2383" s="43" t="s">
        <v>91</v>
      </c>
      <c r="E2383" s="43" t="s">
        <v>91</v>
      </c>
      <c r="F2383" s="42" t="s">
        <v>11469</v>
      </c>
      <c r="G2383" t="s">
        <v>13197</v>
      </c>
    </row>
    <row r="2384" spans="1:7" x14ac:dyDescent="0.3">
      <c r="A2384" s="42" t="s">
        <v>2547</v>
      </c>
      <c r="B2384" s="42" t="s">
        <v>2598</v>
      </c>
      <c r="C2384" s="42" t="s">
        <v>8124</v>
      </c>
      <c r="D2384" s="43" t="s">
        <v>91</v>
      </c>
      <c r="E2384" s="43" t="s">
        <v>91</v>
      </c>
      <c r="F2384" s="42" t="s">
        <v>11469</v>
      </c>
      <c r="G2384" t="s">
        <v>13200</v>
      </c>
    </row>
    <row r="2385" spans="1:7" x14ac:dyDescent="0.3">
      <c r="A2385" s="42" t="s">
        <v>2547</v>
      </c>
      <c r="B2385" s="42" t="s">
        <v>2599</v>
      </c>
      <c r="C2385" s="42" t="s">
        <v>8125</v>
      </c>
      <c r="D2385" s="43" t="s">
        <v>91</v>
      </c>
      <c r="E2385" s="43" t="s">
        <v>91</v>
      </c>
      <c r="F2385" s="42" t="s">
        <v>11469</v>
      </c>
      <c r="G2385" t="s">
        <v>13197</v>
      </c>
    </row>
    <row r="2386" spans="1:7" x14ac:dyDescent="0.3">
      <c r="A2386" s="42" t="s">
        <v>2547</v>
      </c>
      <c r="B2386" s="42" t="s">
        <v>2600</v>
      </c>
      <c r="C2386" s="42" t="s">
        <v>8126</v>
      </c>
      <c r="D2386" s="43" t="s">
        <v>91</v>
      </c>
      <c r="E2386" s="43" t="s">
        <v>91</v>
      </c>
      <c r="F2386" s="42" t="s">
        <v>11469</v>
      </c>
      <c r="G2386" t="s">
        <v>13197</v>
      </c>
    </row>
    <row r="2387" spans="1:7" x14ac:dyDescent="0.3">
      <c r="A2387" s="42" t="s">
        <v>2547</v>
      </c>
      <c r="B2387" s="42" t="s">
        <v>2601</v>
      </c>
      <c r="C2387" s="42" t="s">
        <v>8127</v>
      </c>
      <c r="D2387" s="43" t="s">
        <v>91</v>
      </c>
      <c r="E2387" s="43" t="s">
        <v>91</v>
      </c>
      <c r="F2387" s="42" t="s">
        <v>11469</v>
      </c>
      <c r="G2387" t="s">
        <v>13197</v>
      </c>
    </row>
    <row r="2388" spans="1:7" x14ac:dyDescent="0.3">
      <c r="A2388" s="42" t="s">
        <v>2547</v>
      </c>
      <c r="B2388" s="42" t="s">
        <v>2602</v>
      </c>
      <c r="C2388" s="42" t="s">
        <v>8128</v>
      </c>
      <c r="D2388" s="43" t="s">
        <v>91</v>
      </c>
      <c r="E2388" s="43" t="s">
        <v>91</v>
      </c>
      <c r="F2388" s="42" t="s">
        <v>11469</v>
      </c>
      <c r="G2388" t="s">
        <v>13197</v>
      </c>
    </row>
    <row r="2389" spans="1:7" x14ac:dyDescent="0.3">
      <c r="A2389" s="42" t="s">
        <v>2547</v>
      </c>
      <c r="B2389" s="42" t="s">
        <v>2603</v>
      </c>
      <c r="C2389" s="42" t="s">
        <v>8129</v>
      </c>
      <c r="D2389" s="43" t="s">
        <v>91</v>
      </c>
      <c r="E2389" s="43" t="s">
        <v>91</v>
      </c>
      <c r="F2389" s="42" t="s">
        <v>11469</v>
      </c>
      <c r="G2389" t="s">
        <v>13197</v>
      </c>
    </row>
    <row r="2390" spans="1:7" x14ac:dyDescent="0.3">
      <c r="A2390" s="42" t="s">
        <v>2547</v>
      </c>
      <c r="B2390" s="42" t="s">
        <v>2604</v>
      </c>
      <c r="C2390" s="42" t="s">
        <v>8130</v>
      </c>
      <c r="D2390" s="43" t="s">
        <v>91</v>
      </c>
      <c r="E2390" s="43" t="s">
        <v>91</v>
      </c>
      <c r="F2390" s="42" t="s">
        <v>11469</v>
      </c>
      <c r="G2390" t="s">
        <v>13197</v>
      </c>
    </row>
    <row r="2391" spans="1:7" x14ac:dyDescent="0.3">
      <c r="A2391" s="42" t="s">
        <v>2547</v>
      </c>
      <c r="B2391" s="42" t="s">
        <v>2605</v>
      </c>
      <c r="C2391" s="42" t="s">
        <v>8131</v>
      </c>
      <c r="D2391" s="43" t="s">
        <v>91</v>
      </c>
      <c r="E2391" s="43" t="s">
        <v>91</v>
      </c>
      <c r="F2391" s="42" t="s">
        <v>11469</v>
      </c>
      <c r="G2391" t="s">
        <v>13197</v>
      </c>
    </row>
    <row r="2392" spans="1:7" x14ac:dyDescent="0.3">
      <c r="A2392" s="42" t="s">
        <v>2547</v>
      </c>
      <c r="B2392" s="42" t="s">
        <v>2606</v>
      </c>
      <c r="C2392" s="42" t="s">
        <v>8132</v>
      </c>
      <c r="D2392" s="43" t="s">
        <v>91</v>
      </c>
      <c r="E2392" s="43" t="s">
        <v>91</v>
      </c>
      <c r="F2392" s="42" t="s">
        <v>11469</v>
      </c>
      <c r="G2392" t="s">
        <v>13197</v>
      </c>
    </row>
    <row r="2393" spans="1:7" x14ac:dyDescent="0.3">
      <c r="A2393" s="42" t="s">
        <v>2547</v>
      </c>
      <c r="B2393" s="42" t="s">
        <v>2607</v>
      </c>
      <c r="C2393" s="42" t="s">
        <v>8133</v>
      </c>
      <c r="D2393" s="43" t="s">
        <v>91</v>
      </c>
      <c r="E2393" s="43" t="s">
        <v>91</v>
      </c>
      <c r="F2393" s="42" t="s">
        <v>11469</v>
      </c>
      <c r="G2393" t="s">
        <v>13197</v>
      </c>
    </row>
    <row r="2394" spans="1:7" x14ac:dyDescent="0.3">
      <c r="A2394" s="42" t="s">
        <v>2547</v>
      </c>
      <c r="B2394" s="42" t="s">
        <v>2608</v>
      </c>
      <c r="C2394" s="42" t="s">
        <v>8134</v>
      </c>
      <c r="D2394" s="43" t="s">
        <v>91</v>
      </c>
      <c r="E2394" s="43" t="s">
        <v>91</v>
      </c>
      <c r="F2394" s="42" t="s">
        <v>192</v>
      </c>
      <c r="G2394" t="s">
        <v>13196</v>
      </c>
    </row>
    <row r="2395" spans="1:7" x14ac:dyDescent="0.3">
      <c r="A2395" s="42" t="s">
        <v>2547</v>
      </c>
      <c r="B2395" s="42" t="s">
        <v>2609</v>
      </c>
      <c r="C2395" s="42" t="s">
        <v>8135</v>
      </c>
      <c r="D2395" s="43" t="s">
        <v>91</v>
      </c>
      <c r="E2395" s="43" t="s">
        <v>91</v>
      </c>
      <c r="F2395" s="42" t="s">
        <v>11469</v>
      </c>
      <c r="G2395" t="s">
        <v>13197</v>
      </c>
    </row>
    <row r="2396" spans="1:7" x14ac:dyDescent="0.3">
      <c r="A2396" s="42" t="s">
        <v>2547</v>
      </c>
      <c r="B2396" s="42" t="s">
        <v>2610</v>
      </c>
      <c r="C2396" s="42" t="s">
        <v>8136</v>
      </c>
      <c r="D2396" s="43" t="s">
        <v>91</v>
      </c>
      <c r="E2396" s="43" t="s">
        <v>91</v>
      </c>
      <c r="F2396" s="42" t="s">
        <v>11469</v>
      </c>
      <c r="G2396" t="s">
        <v>13197</v>
      </c>
    </row>
    <row r="2397" spans="1:7" x14ac:dyDescent="0.3">
      <c r="A2397" s="42" t="s">
        <v>2547</v>
      </c>
      <c r="B2397" s="42" t="s">
        <v>2611</v>
      </c>
      <c r="C2397" s="42" t="s">
        <v>8137</v>
      </c>
      <c r="D2397" s="43" t="s">
        <v>91</v>
      </c>
      <c r="E2397" s="43" t="s">
        <v>91</v>
      </c>
      <c r="F2397" s="42" t="s">
        <v>11469</v>
      </c>
      <c r="G2397" t="s">
        <v>13197</v>
      </c>
    </row>
    <row r="2398" spans="1:7" x14ac:dyDescent="0.3">
      <c r="A2398" s="42" t="s">
        <v>2547</v>
      </c>
      <c r="B2398" s="42" t="s">
        <v>2612</v>
      </c>
      <c r="C2398" s="42" t="s">
        <v>8138</v>
      </c>
      <c r="D2398" s="43" t="s">
        <v>91</v>
      </c>
      <c r="E2398" s="43" t="s">
        <v>91</v>
      </c>
      <c r="F2398" s="42" t="s">
        <v>192</v>
      </c>
      <c r="G2398" t="s">
        <v>13196</v>
      </c>
    </row>
    <row r="2399" spans="1:7" x14ac:dyDescent="0.3">
      <c r="A2399" s="42" t="s">
        <v>2547</v>
      </c>
      <c r="B2399" s="42" t="s">
        <v>2613</v>
      </c>
      <c r="C2399" s="42" t="s">
        <v>8139</v>
      </c>
      <c r="D2399" s="43" t="s">
        <v>91</v>
      </c>
      <c r="E2399" s="43" t="s">
        <v>91</v>
      </c>
      <c r="F2399" s="42" t="s">
        <v>192</v>
      </c>
      <c r="G2399" t="s">
        <v>13196</v>
      </c>
    </row>
    <row r="2400" spans="1:7" x14ac:dyDescent="0.3">
      <c r="A2400" s="42" t="s">
        <v>2547</v>
      </c>
      <c r="B2400" s="42" t="s">
        <v>2614</v>
      </c>
      <c r="C2400" s="42" t="s">
        <v>8140</v>
      </c>
      <c r="D2400" s="43" t="s">
        <v>91</v>
      </c>
      <c r="E2400" s="43" t="s">
        <v>91</v>
      </c>
      <c r="F2400" s="42" t="s">
        <v>11469</v>
      </c>
      <c r="G2400" t="s">
        <v>13197</v>
      </c>
    </row>
    <row r="2401" spans="1:7" x14ac:dyDescent="0.3">
      <c r="A2401" s="42" t="s">
        <v>2547</v>
      </c>
      <c r="B2401" s="42" t="s">
        <v>2615</v>
      </c>
      <c r="C2401" s="42" t="s">
        <v>8141</v>
      </c>
      <c r="D2401" s="43" t="s">
        <v>91</v>
      </c>
      <c r="E2401" s="43" t="s">
        <v>91</v>
      </c>
      <c r="F2401" s="42" t="s">
        <v>11469</v>
      </c>
      <c r="G2401" t="s">
        <v>13197</v>
      </c>
    </row>
    <row r="2402" spans="1:7" x14ac:dyDescent="0.3">
      <c r="A2402" s="42" t="s">
        <v>2547</v>
      </c>
      <c r="B2402" s="42" t="s">
        <v>2616</v>
      </c>
      <c r="C2402" s="42" t="s">
        <v>8142</v>
      </c>
      <c r="D2402" s="43" t="s">
        <v>91</v>
      </c>
      <c r="E2402" s="43" t="s">
        <v>91</v>
      </c>
      <c r="F2402" s="42" t="s">
        <v>11469</v>
      </c>
      <c r="G2402" t="s">
        <v>13197</v>
      </c>
    </row>
    <row r="2403" spans="1:7" x14ac:dyDescent="0.3">
      <c r="A2403" s="42" t="s">
        <v>2547</v>
      </c>
      <c r="B2403" s="42" t="s">
        <v>2617</v>
      </c>
      <c r="C2403" s="42" t="s">
        <v>8143</v>
      </c>
      <c r="D2403" s="43" t="s">
        <v>91</v>
      </c>
      <c r="E2403" s="43" t="s">
        <v>91</v>
      </c>
      <c r="F2403" s="42" t="s">
        <v>11469</v>
      </c>
      <c r="G2403" t="s">
        <v>13197</v>
      </c>
    </row>
    <row r="2404" spans="1:7" x14ac:dyDescent="0.3">
      <c r="A2404" s="42" t="s">
        <v>2547</v>
      </c>
      <c r="B2404" s="42" t="s">
        <v>2618</v>
      </c>
      <c r="C2404" s="42" t="s">
        <v>8144</v>
      </c>
      <c r="D2404" s="43" t="s">
        <v>91</v>
      </c>
      <c r="E2404" s="43" t="s">
        <v>91</v>
      </c>
      <c r="F2404" s="42" t="s">
        <v>11469</v>
      </c>
      <c r="G2404" t="s">
        <v>13197</v>
      </c>
    </row>
    <row r="2405" spans="1:7" x14ac:dyDescent="0.3">
      <c r="A2405" s="42" t="s">
        <v>2547</v>
      </c>
      <c r="B2405" s="42" t="s">
        <v>2619</v>
      </c>
      <c r="C2405" s="42" t="s">
        <v>8145</v>
      </c>
      <c r="D2405" s="43" t="s">
        <v>91</v>
      </c>
      <c r="E2405" s="43" t="s">
        <v>91</v>
      </c>
      <c r="F2405" s="42" t="s">
        <v>11469</v>
      </c>
      <c r="G2405" t="s">
        <v>13197</v>
      </c>
    </row>
    <row r="2406" spans="1:7" x14ac:dyDescent="0.3">
      <c r="A2406" s="42" t="s">
        <v>2547</v>
      </c>
      <c r="B2406" s="42" t="s">
        <v>2620</v>
      </c>
      <c r="C2406" s="42" t="s">
        <v>8146</v>
      </c>
      <c r="D2406" s="43" t="s">
        <v>91</v>
      </c>
      <c r="E2406" s="43" t="s">
        <v>91</v>
      </c>
      <c r="F2406" s="42" t="s">
        <v>11469</v>
      </c>
      <c r="G2406" t="s">
        <v>13197</v>
      </c>
    </row>
    <row r="2407" spans="1:7" x14ac:dyDescent="0.3">
      <c r="A2407" s="42" t="s">
        <v>2547</v>
      </c>
      <c r="B2407" s="42" t="s">
        <v>2621</v>
      </c>
      <c r="C2407" s="42" t="s">
        <v>8147</v>
      </c>
      <c r="D2407" s="43" t="s">
        <v>91</v>
      </c>
      <c r="E2407" s="43" t="s">
        <v>91</v>
      </c>
      <c r="F2407" s="42" t="s">
        <v>11469</v>
      </c>
      <c r="G2407" t="s">
        <v>13197</v>
      </c>
    </row>
    <row r="2408" spans="1:7" x14ac:dyDescent="0.3">
      <c r="A2408" s="42" t="s">
        <v>2547</v>
      </c>
      <c r="B2408" s="42" t="s">
        <v>2095</v>
      </c>
      <c r="C2408" s="42" t="s">
        <v>8148</v>
      </c>
      <c r="D2408" s="43" t="s">
        <v>91</v>
      </c>
      <c r="E2408" s="43" t="s">
        <v>91</v>
      </c>
      <c r="F2408" s="42" t="s">
        <v>11469</v>
      </c>
      <c r="G2408" t="s">
        <v>13197</v>
      </c>
    </row>
    <row r="2409" spans="1:7" x14ac:dyDescent="0.3">
      <c r="A2409" s="42" t="s">
        <v>2547</v>
      </c>
      <c r="B2409" s="42" t="s">
        <v>2622</v>
      </c>
      <c r="C2409" s="42" t="s">
        <v>8149</v>
      </c>
      <c r="D2409" s="43" t="s">
        <v>91</v>
      </c>
      <c r="E2409" s="43" t="s">
        <v>91</v>
      </c>
      <c r="F2409" s="42" t="s">
        <v>11469</v>
      </c>
      <c r="G2409" t="s">
        <v>13197</v>
      </c>
    </row>
    <row r="2410" spans="1:7" x14ac:dyDescent="0.3">
      <c r="A2410" s="42" t="s">
        <v>2547</v>
      </c>
      <c r="B2410" s="42" t="s">
        <v>2623</v>
      </c>
      <c r="C2410" s="42" t="s">
        <v>8150</v>
      </c>
      <c r="D2410" s="43" t="s">
        <v>91</v>
      </c>
      <c r="E2410" s="43" t="s">
        <v>91</v>
      </c>
      <c r="F2410" s="42" t="s">
        <v>11469</v>
      </c>
      <c r="G2410" t="s">
        <v>13197</v>
      </c>
    </row>
    <row r="2411" spans="1:7" x14ac:dyDescent="0.3">
      <c r="A2411" s="42" t="s">
        <v>2547</v>
      </c>
      <c r="B2411" s="42" t="s">
        <v>2624</v>
      </c>
      <c r="C2411" s="42" t="s">
        <v>8151</v>
      </c>
      <c r="D2411" s="43" t="s">
        <v>91</v>
      </c>
      <c r="E2411" s="43" t="s">
        <v>91</v>
      </c>
      <c r="F2411" s="42" t="s">
        <v>192</v>
      </c>
      <c r="G2411" t="s">
        <v>13196</v>
      </c>
    </row>
    <row r="2412" spans="1:7" x14ac:dyDescent="0.3">
      <c r="A2412" s="42" t="s">
        <v>2547</v>
      </c>
      <c r="B2412" s="42" t="s">
        <v>2625</v>
      </c>
      <c r="C2412" s="42" t="s">
        <v>8152</v>
      </c>
      <c r="D2412" s="43" t="s">
        <v>91</v>
      </c>
      <c r="E2412" s="43" t="s">
        <v>91</v>
      </c>
      <c r="F2412" s="42" t="s">
        <v>192</v>
      </c>
      <c r="G2412" t="s">
        <v>13196</v>
      </c>
    </row>
    <row r="2413" spans="1:7" x14ac:dyDescent="0.3">
      <c r="A2413" s="42" t="s">
        <v>2547</v>
      </c>
      <c r="B2413" s="42" t="s">
        <v>2626</v>
      </c>
      <c r="C2413" s="42" t="s">
        <v>8153</v>
      </c>
      <c r="D2413" s="43" t="s">
        <v>91</v>
      </c>
      <c r="E2413" s="43" t="s">
        <v>91</v>
      </c>
      <c r="F2413" s="42" t="s">
        <v>11469</v>
      </c>
      <c r="G2413" t="s">
        <v>13197</v>
      </c>
    </row>
    <row r="2414" spans="1:7" x14ac:dyDescent="0.3">
      <c r="A2414" s="42" t="s">
        <v>2547</v>
      </c>
      <c r="B2414" s="42" t="s">
        <v>2627</v>
      </c>
      <c r="C2414" s="42" t="s">
        <v>8154</v>
      </c>
      <c r="D2414" s="43" t="s">
        <v>91</v>
      </c>
      <c r="E2414" s="43" t="s">
        <v>91</v>
      </c>
      <c r="F2414" s="42" t="s">
        <v>192</v>
      </c>
      <c r="G2414" t="s">
        <v>13196</v>
      </c>
    </row>
    <row r="2415" spans="1:7" x14ac:dyDescent="0.3">
      <c r="A2415" s="42" t="s">
        <v>2547</v>
      </c>
      <c r="B2415" s="42" t="s">
        <v>2628</v>
      </c>
      <c r="C2415" s="42" t="s">
        <v>8155</v>
      </c>
      <c r="D2415" s="43" t="s">
        <v>91</v>
      </c>
      <c r="E2415" s="43" t="s">
        <v>91</v>
      </c>
      <c r="F2415" s="42" t="s">
        <v>11469</v>
      </c>
      <c r="G2415" t="s">
        <v>13197</v>
      </c>
    </row>
    <row r="2416" spans="1:7" x14ac:dyDescent="0.3">
      <c r="A2416" s="42" t="s">
        <v>2547</v>
      </c>
      <c r="B2416" s="42" t="s">
        <v>2629</v>
      </c>
      <c r="C2416" s="42" t="s">
        <v>8156</v>
      </c>
      <c r="D2416" s="43" t="s">
        <v>91</v>
      </c>
      <c r="E2416" s="43" t="s">
        <v>91</v>
      </c>
      <c r="F2416" s="42" t="s">
        <v>11469</v>
      </c>
      <c r="G2416" t="s">
        <v>13197</v>
      </c>
    </row>
    <row r="2417" spans="1:7" x14ac:dyDescent="0.3">
      <c r="A2417" s="42" t="s">
        <v>2547</v>
      </c>
      <c r="B2417" s="42" t="s">
        <v>2630</v>
      </c>
      <c r="C2417" s="42" t="s">
        <v>8157</v>
      </c>
      <c r="D2417" s="43" t="s">
        <v>91</v>
      </c>
      <c r="E2417" s="43" t="s">
        <v>91</v>
      </c>
      <c r="F2417" s="42" t="s">
        <v>11469</v>
      </c>
      <c r="G2417" t="s">
        <v>13197</v>
      </c>
    </row>
    <row r="2418" spans="1:7" x14ac:dyDescent="0.3">
      <c r="A2418" s="42" t="s">
        <v>2547</v>
      </c>
      <c r="B2418" s="42" t="s">
        <v>2631</v>
      </c>
      <c r="C2418" s="42" t="s">
        <v>8158</v>
      </c>
      <c r="D2418" s="43" t="s">
        <v>91</v>
      </c>
      <c r="E2418" s="43" t="s">
        <v>91</v>
      </c>
      <c r="F2418" s="42" t="s">
        <v>11469</v>
      </c>
      <c r="G2418" t="s">
        <v>13197</v>
      </c>
    </row>
    <row r="2419" spans="1:7" x14ac:dyDescent="0.3">
      <c r="A2419" s="42" t="s">
        <v>2547</v>
      </c>
      <c r="B2419" s="42" t="s">
        <v>2004</v>
      </c>
      <c r="C2419" s="42" t="s">
        <v>8159</v>
      </c>
      <c r="D2419" s="43" t="s">
        <v>91</v>
      </c>
      <c r="E2419" s="43" t="s">
        <v>91</v>
      </c>
      <c r="F2419" s="42" t="s">
        <v>11469</v>
      </c>
      <c r="G2419" t="s">
        <v>13197</v>
      </c>
    </row>
    <row r="2420" spans="1:7" x14ac:dyDescent="0.3">
      <c r="A2420" s="42" t="s">
        <v>2547</v>
      </c>
      <c r="B2420" s="42" t="s">
        <v>2632</v>
      </c>
      <c r="C2420" s="42" t="s">
        <v>8160</v>
      </c>
      <c r="D2420" s="43" t="s">
        <v>91</v>
      </c>
      <c r="E2420" s="43" t="s">
        <v>91</v>
      </c>
      <c r="F2420" s="42" t="s">
        <v>11469</v>
      </c>
      <c r="G2420" t="s">
        <v>13197</v>
      </c>
    </row>
    <row r="2421" spans="1:7" x14ac:dyDescent="0.3">
      <c r="A2421" s="42" t="s">
        <v>2547</v>
      </c>
      <c r="B2421" s="42" t="s">
        <v>2633</v>
      </c>
      <c r="C2421" s="42" t="s">
        <v>8161</v>
      </c>
      <c r="D2421" s="43" t="s">
        <v>91</v>
      </c>
      <c r="E2421" s="43" t="s">
        <v>91</v>
      </c>
      <c r="F2421" s="42" t="s">
        <v>11469</v>
      </c>
      <c r="G2421" t="s">
        <v>13197</v>
      </c>
    </row>
    <row r="2422" spans="1:7" x14ac:dyDescent="0.3">
      <c r="A2422" s="42" t="s">
        <v>2547</v>
      </c>
      <c r="B2422" s="42" t="s">
        <v>2634</v>
      </c>
      <c r="C2422" s="42" t="s">
        <v>8162</v>
      </c>
      <c r="D2422" s="43" t="s">
        <v>91</v>
      </c>
      <c r="E2422" s="43" t="s">
        <v>91</v>
      </c>
      <c r="F2422" s="42" t="s">
        <v>11469</v>
      </c>
      <c r="G2422" t="s">
        <v>13197</v>
      </c>
    </row>
    <row r="2423" spans="1:7" x14ac:dyDescent="0.3">
      <c r="A2423" s="42" t="s">
        <v>2547</v>
      </c>
      <c r="B2423" s="42" t="s">
        <v>2635</v>
      </c>
      <c r="C2423" s="42" t="s">
        <v>8163</v>
      </c>
      <c r="D2423" s="43" t="s">
        <v>91</v>
      </c>
      <c r="E2423" s="43" t="s">
        <v>91</v>
      </c>
      <c r="F2423" s="42" t="s">
        <v>11469</v>
      </c>
      <c r="G2423" t="s">
        <v>13197</v>
      </c>
    </row>
    <row r="2424" spans="1:7" x14ac:dyDescent="0.3">
      <c r="A2424" s="42" t="s">
        <v>2547</v>
      </c>
      <c r="B2424" s="42" t="s">
        <v>2636</v>
      </c>
      <c r="C2424" s="42" t="s">
        <v>8164</v>
      </c>
      <c r="D2424" s="43" t="s">
        <v>91</v>
      </c>
      <c r="E2424" s="43" t="s">
        <v>91</v>
      </c>
      <c r="F2424" s="42" t="s">
        <v>11469</v>
      </c>
      <c r="G2424" t="s">
        <v>13197</v>
      </c>
    </row>
    <row r="2425" spans="1:7" x14ac:dyDescent="0.3">
      <c r="A2425" s="42" t="s">
        <v>2547</v>
      </c>
      <c r="B2425" s="42" t="s">
        <v>2637</v>
      </c>
      <c r="C2425" s="42" t="s">
        <v>8165</v>
      </c>
      <c r="D2425" s="43" t="s">
        <v>91</v>
      </c>
      <c r="E2425" s="43" t="s">
        <v>91</v>
      </c>
      <c r="F2425" s="42" t="s">
        <v>11469</v>
      </c>
      <c r="G2425" t="s">
        <v>13197</v>
      </c>
    </row>
    <row r="2426" spans="1:7" x14ac:dyDescent="0.3">
      <c r="A2426" s="42" t="s">
        <v>2547</v>
      </c>
      <c r="B2426" s="42" t="s">
        <v>2638</v>
      </c>
      <c r="C2426" s="42" t="s">
        <v>8166</v>
      </c>
      <c r="D2426" s="43" t="s">
        <v>91</v>
      </c>
      <c r="E2426" s="43" t="s">
        <v>91</v>
      </c>
      <c r="F2426" s="42" t="s">
        <v>11469</v>
      </c>
      <c r="G2426" t="s">
        <v>13197</v>
      </c>
    </row>
    <row r="2427" spans="1:7" x14ac:dyDescent="0.3">
      <c r="A2427" s="42" t="s">
        <v>2547</v>
      </c>
      <c r="B2427" s="42" t="s">
        <v>2639</v>
      </c>
      <c r="C2427" s="42" t="s">
        <v>8167</v>
      </c>
      <c r="D2427" s="43" t="s">
        <v>91</v>
      </c>
      <c r="E2427" s="43" t="s">
        <v>91</v>
      </c>
      <c r="F2427" s="42" t="s">
        <v>11469</v>
      </c>
      <c r="G2427" t="s">
        <v>13197</v>
      </c>
    </row>
    <row r="2428" spans="1:7" x14ac:dyDescent="0.3">
      <c r="A2428" s="42" t="s">
        <v>2547</v>
      </c>
      <c r="B2428" s="42" t="s">
        <v>2640</v>
      </c>
      <c r="C2428" s="42" t="s">
        <v>8168</v>
      </c>
      <c r="D2428" s="43" t="s">
        <v>91</v>
      </c>
      <c r="E2428" s="43" t="s">
        <v>91</v>
      </c>
      <c r="F2428" s="42" t="s">
        <v>11469</v>
      </c>
      <c r="G2428" t="s">
        <v>13197</v>
      </c>
    </row>
    <row r="2429" spans="1:7" x14ac:dyDescent="0.3">
      <c r="A2429" s="42" t="s">
        <v>2547</v>
      </c>
      <c r="B2429" s="42" t="s">
        <v>2641</v>
      </c>
      <c r="C2429" s="42" t="s">
        <v>8169</v>
      </c>
      <c r="D2429" s="43" t="s">
        <v>91</v>
      </c>
      <c r="E2429" s="43" t="s">
        <v>91</v>
      </c>
      <c r="F2429" s="42" t="s">
        <v>11469</v>
      </c>
      <c r="G2429" t="s">
        <v>13197</v>
      </c>
    </row>
    <row r="2430" spans="1:7" x14ac:dyDescent="0.3">
      <c r="A2430" s="42" t="s">
        <v>2547</v>
      </c>
      <c r="B2430" s="42" t="s">
        <v>2642</v>
      </c>
      <c r="C2430" s="42" t="s">
        <v>8170</v>
      </c>
      <c r="D2430" s="43" t="s">
        <v>91</v>
      </c>
      <c r="E2430" s="43" t="s">
        <v>91</v>
      </c>
      <c r="F2430" s="42" t="s">
        <v>11469</v>
      </c>
      <c r="G2430" t="s">
        <v>13197</v>
      </c>
    </row>
    <row r="2431" spans="1:7" x14ac:dyDescent="0.3">
      <c r="A2431" s="42" t="s">
        <v>2547</v>
      </c>
      <c r="B2431" s="42" t="s">
        <v>2643</v>
      </c>
      <c r="C2431" s="42" t="s">
        <v>8171</v>
      </c>
      <c r="D2431" s="43" t="s">
        <v>91</v>
      </c>
      <c r="E2431" s="43" t="s">
        <v>91</v>
      </c>
      <c r="F2431" s="42" t="s">
        <v>192</v>
      </c>
      <c r="G2431" t="s">
        <v>13196</v>
      </c>
    </row>
    <row r="2432" spans="1:7" x14ac:dyDescent="0.3">
      <c r="A2432" s="42" t="s">
        <v>2547</v>
      </c>
      <c r="B2432" s="42" t="s">
        <v>2644</v>
      </c>
      <c r="C2432" s="42" t="s">
        <v>8172</v>
      </c>
      <c r="D2432" s="43" t="s">
        <v>91</v>
      </c>
      <c r="E2432" s="43" t="s">
        <v>91</v>
      </c>
      <c r="F2432" s="42" t="s">
        <v>11469</v>
      </c>
      <c r="G2432" t="s">
        <v>13197</v>
      </c>
    </row>
    <row r="2433" spans="1:7" x14ac:dyDescent="0.3">
      <c r="A2433" s="42" t="s">
        <v>2547</v>
      </c>
      <c r="B2433" s="42" t="s">
        <v>2645</v>
      </c>
      <c r="C2433" s="42" t="s">
        <v>8173</v>
      </c>
      <c r="D2433" s="43" t="s">
        <v>91</v>
      </c>
      <c r="E2433" s="43" t="s">
        <v>91</v>
      </c>
      <c r="F2433" s="42" t="s">
        <v>11469</v>
      </c>
      <c r="G2433" t="s">
        <v>13197</v>
      </c>
    </row>
    <row r="2434" spans="1:7" x14ac:dyDescent="0.3">
      <c r="A2434" s="42" t="s">
        <v>2547</v>
      </c>
      <c r="B2434" s="42" t="s">
        <v>2646</v>
      </c>
      <c r="C2434" s="42" t="s">
        <v>8174</v>
      </c>
      <c r="D2434" s="43" t="s">
        <v>91</v>
      </c>
      <c r="E2434" s="43" t="s">
        <v>91</v>
      </c>
      <c r="F2434" s="42" t="s">
        <v>11469</v>
      </c>
      <c r="G2434" t="s">
        <v>13197</v>
      </c>
    </row>
    <row r="2435" spans="1:7" x14ac:dyDescent="0.3">
      <c r="A2435" s="42" t="s">
        <v>2547</v>
      </c>
      <c r="B2435" s="42" t="s">
        <v>2647</v>
      </c>
      <c r="C2435" s="42" t="s">
        <v>8175</v>
      </c>
      <c r="D2435" s="43" t="s">
        <v>91</v>
      </c>
      <c r="E2435" s="43" t="s">
        <v>91</v>
      </c>
      <c r="F2435" s="42" t="s">
        <v>11469</v>
      </c>
      <c r="G2435" t="s">
        <v>13197</v>
      </c>
    </row>
    <row r="2436" spans="1:7" x14ac:dyDescent="0.3">
      <c r="A2436" s="42" t="s">
        <v>2547</v>
      </c>
      <c r="B2436" s="42" t="s">
        <v>2648</v>
      </c>
      <c r="C2436" s="42" t="s">
        <v>8176</v>
      </c>
      <c r="D2436" s="43" t="s">
        <v>91</v>
      </c>
      <c r="E2436" s="43" t="s">
        <v>91</v>
      </c>
      <c r="F2436" s="42" t="s">
        <v>11469</v>
      </c>
      <c r="G2436" t="s">
        <v>13197</v>
      </c>
    </row>
    <row r="2437" spans="1:7" x14ac:dyDescent="0.3">
      <c r="A2437" s="42" t="s">
        <v>2547</v>
      </c>
      <c r="B2437" s="42" t="s">
        <v>2649</v>
      </c>
      <c r="C2437" s="42" t="s">
        <v>8177</v>
      </c>
      <c r="D2437" s="43" t="s">
        <v>91</v>
      </c>
      <c r="E2437" s="43" t="s">
        <v>91</v>
      </c>
      <c r="F2437" s="42" t="s">
        <v>11469</v>
      </c>
      <c r="G2437" t="s">
        <v>13197</v>
      </c>
    </row>
    <row r="2438" spans="1:7" x14ac:dyDescent="0.3">
      <c r="A2438" s="42" t="s">
        <v>2547</v>
      </c>
      <c r="B2438" s="42" t="s">
        <v>2650</v>
      </c>
      <c r="C2438" s="42" t="s">
        <v>8178</v>
      </c>
      <c r="D2438" s="43" t="s">
        <v>91</v>
      </c>
      <c r="E2438" s="43" t="s">
        <v>91</v>
      </c>
      <c r="F2438" s="42" t="s">
        <v>11469</v>
      </c>
      <c r="G2438" t="s">
        <v>13197</v>
      </c>
    </row>
    <row r="2439" spans="1:7" x14ac:dyDescent="0.3">
      <c r="A2439" s="42" t="s">
        <v>2547</v>
      </c>
      <c r="B2439" s="42" t="s">
        <v>2651</v>
      </c>
      <c r="C2439" s="42" t="s">
        <v>8179</v>
      </c>
      <c r="D2439" s="43" t="s">
        <v>91</v>
      </c>
      <c r="E2439" s="43" t="s">
        <v>91</v>
      </c>
      <c r="F2439" s="42" t="s">
        <v>11469</v>
      </c>
      <c r="G2439" t="s">
        <v>13197</v>
      </c>
    </row>
    <row r="2440" spans="1:7" x14ac:dyDescent="0.3">
      <c r="A2440" s="42" t="s">
        <v>2547</v>
      </c>
      <c r="B2440" s="42" t="s">
        <v>2652</v>
      </c>
      <c r="C2440" s="42" t="s">
        <v>8180</v>
      </c>
      <c r="D2440" s="43" t="s">
        <v>91</v>
      </c>
      <c r="E2440" s="43" t="s">
        <v>91</v>
      </c>
      <c r="F2440" s="42" t="s">
        <v>11469</v>
      </c>
      <c r="G2440" t="s">
        <v>13197</v>
      </c>
    </row>
    <row r="2441" spans="1:7" x14ac:dyDescent="0.3">
      <c r="A2441" s="42" t="s">
        <v>2547</v>
      </c>
      <c r="B2441" s="42" t="s">
        <v>2653</v>
      </c>
      <c r="C2441" s="42" t="s">
        <v>8181</v>
      </c>
      <c r="D2441" s="43" t="s">
        <v>91</v>
      </c>
      <c r="E2441" s="43" t="s">
        <v>91</v>
      </c>
      <c r="F2441" s="42" t="s">
        <v>11469</v>
      </c>
      <c r="G2441" t="s">
        <v>13197</v>
      </c>
    </row>
    <row r="2442" spans="1:7" x14ac:dyDescent="0.3">
      <c r="A2442" s="42" t="s">
        <v>2547</v>
      </c>
      <c r="B2442" s="42" t="s">
        <v>2654</v>
      </c>
      <c r="C2442" s="42" t="s">
        <v>8182</v>
      </c>
      <c r="D2442" s="43" t="s">
        <v>91</v>
      </c>
      <c r="E2442" s="43" t="s">
        <v>91</v>
      </c>
      <c r="F2442" s="42" t="s">
        <v>137</v>
      </c>
      <c r="G2442" t="s">
        <v>13203</v>
      </c>
    </row>
    <row r="2443" spans="1:7" x14ac:dyDescent="0.3">
      <c r="A2443" s="42" t="s">
        <v>2547</v>
      </c>
      <c r="B2443" s="42" t="s">
        <v>2655</v>
      </c>
      <c r="C2443" s="42" t="s">
        <v>8183</v>
      </c>
      <c r="D2443" s="43" t="s">
        <v>91</v>
      </c>
      <c r="E2443" s="43" t="s">
        <v>91</v>
      </c>
      <c r="F2443" s="42" t="s">
        <v>11469</v>
      </c>
      <c r="G2443" t="s">
        <v>13197</v>
      </c>
    </row>
    <row r="2444" spans="1:7" x14ac:dyDescent="0.3">
      <c r="A2444" s="42" t="s">
        <v>2547</v>
      </c>
      <c r="B2444" s="42" t="s">
        <v>2656</v>
      </c>
      <c r="C2444" s="42" t="s">
        <v>8184</v>
      </c>
      <c r="D2444" s="43" t="s">
        <v>91</v>
      </c>
      <c r="E2444" s="43" t="s">
        <v>91</v>
      </c>
      <c r="F2444" s="42" t="s">
        <v>11469</v>
      </c>
      <c r="G2444" t="s">
        <v>13197</v>
      </c>
    </row>
    <row r="2445" spans="1:7" x14ac:dyDescent="0.3">
      <c r="A2445" s="42" t="s">
        <v>2547</v>
      </c>
      <c r="B2445" s="42" t="s">
        <v>2657</v>
      </c>
      <c r="C2445" s="42" t="s">
        <v>8185</v>
      </c>
      <c r="D2445" s="43" t="s">
        <v>91</v>
      </c>
      <c r="E2445" s="43" t="s">
        <v>91</v>
      </c>
      <c r="F2445" s="42" t="s">
        <v>192</v>
      </c>
      <c r="G2445" t="s">
        <v>13196</v>
      </c>
    </row>
    <row r="2446" spans="1:7" x14ac:dyDescent="0.3">
      <c r="A2446" s="42" t="s">
        <v>2547</v>
      </c>
      <c r="B2446" s="42" t="s">
        <v>2658</v>
      </c>
      <c r="C2446" s="42" t="s">
        <v>8186</v>
      </c>
      <c r="D2446" s="43" t="s">
        <v>91</v>
      </c>
      <c r="E2446" s="43" t="s">
        <v>91</v>
      </c>
      <c r="F2446" s="42" t="s">
        <v>11469</v>
      </c>
      <c r="G2446" t="s">
        <v>13197</v>
      </c>
    </row>
    <row r="2447" spans="1:7" x14ac:dyDescent="0.3">
      <c r="A2447" s="42" t="s">
        <v>2547</v>
      </c>
      <c r="B2447" s="42" t="s">
        <v>2659</v>
      </c>
      <c r="C2447" s="42" t="s">
        <v>8187</v>
      </c>
      <c r="D2447" s="43" t="s">
        <v>91</v>
      </c>
      <c r="E2447" s="43" t="s">
        <v>91</v>
      </c>
      <c r="F2447" s="42" t="s">
        <v>11469</v>
      </c>
      <c r="G2447" t="s">
        <v>13197</v>
      </c>
    </row>
    <row r="2448" spans="1:7" x14ac:dyDescent="0.3">
      <c r="A2448" s="42" t="s">
        <v>2547</v>
      </c>
      <c r="B2448" s="42" t="s">
        <v>2660</v>
      </c>
      <c r="C2448" s="42" t="s">
        <v>8188</v>
      </c>
      <c r="D2448" s="43" t="s">
        <v>91</v>
      </c>
      <c r="E2448" s="43" t="s">
        <v>91</v>
      </c>
      <c r="F2448" s="42" t="s">
        <v>11469</v>
      </c>
      <c r="G2448" t="s">
        <v>13197</v>
      </c>
    </row>
    <row r="2449" spans="1:7" x14ac:dyDescent="0.3">
      <c r="A2449" s="42" t="s">
        <v>2547</v>
      </c>
      <c r="B2449" s="42" t="s">
        <v>2661</v>
      </c>
      <c r="C2449" s="42" t="s">
        <v>8189</v>
      </c>
      <c r="D2449" s="43" t="s">
        <v>91</v>
      </c>
      <c r="E2449" s="43" t="s">
        <v>91</v>
      </c>
      <c r="F2449" s="42" t="s">
        <v>11469</v>
      </c>
      <c r="G2449" t="s">
        <v>13197</v>
      </c>
    </row>
    <row r="2450" spans="1:7" x14ac:dyDescent="0.3">
      <c r="A2450" s="42" t="s">
        <v>2547</v>
      </c>
      <c r="B2450" s="42" t="s">
        <v>2662</v>
      </c>
      <c r="C2450" s="42" t="s">
        <v>8190</v>
      </c>
      <c r="D2450" s="43" t="s">
        <v>91</v>
      </c>
      <c r="E2450" s="43" t="s">
        <v>91</v>
      </c>
      <c r="F2450" s="42" t="s">
        <v>192</v>
      </c>
      <c r="G2450" t="s">
        <v>13196</v>
      </c>
    </row>
    <row r="2451" spans="1:7" x14ac:dyDescent="0.3">
      <c r="A2451" s="42" t="s">
        <v>2547</v>
      </c>
      <c r="B2451" s="42" t="s">
        <v>2663</v>
      </c>
      <c r="C2451" s="42" t="s">
        <v>8191</v>
      </c>
      <c r="D2451" s="43" t="s">
        <v>91</v>
      </c>
      <c r="E2451" s="43" t="s">
        <v>91</v>
      </c>
      <c r="F2451" s="42" t="s">
        <v>11469</v>
      </c>
      <c r="G2451" t="s">
        <v>13197</v>
      </c>
    </row>
    <row r="2452" spans="1:7" x14ac:dyDescent="0.3">
      <c r="A2452" s="42" t="s">
        <v>2547</v>
      </c>
      <c r="B2452" s="42" t="s">
        <v>2664</v>
      </c>
      <c r="C2452" s="42" t="s">
        <v>8192</v>
      </c>
      <c r="D2452" s="43" t="s">
        <v>91</v>
      </c>
      <c r="E2452" s="43" t="s">
        <v>91</v>
      </c>
      <c r="F2452" s="42" t="s">
        <v>11469</v>
      </c>
      <c r="G2452" t="s">
        <v>13197</v>
      </c>
    </row>
    <row r="2453" spans="1:7" x14ac:dyDescent="0.3">
      <c r="A2453" s="42" t="s">
        <v>2547</v>
      </c>
      <c r="B2453" s="42" t="s">
        <v>2665</v>
      </c>
      <c r="C2453" s="42" t="s">
        <v>8193</v>
      </c>
      <c r="D2453" s="43" t="s">
        <v>91</v>
      </c>
      <c r="E2453" s="43" t="s">
        <v>91</v>
      </c>
      <c r="F2453" s="42" t="s">
        <v>11469</v>
      </c>
      <c r="G2453" t="s">
        <v>13197</v>
      </c>
    </row>
    <row r="2454" spans="1:7" x14ac:dyDescent="0.3">
      <c r="A2454" s="42" t="s">
        <v>2547</v>
      </c>
      <c r="B2454" s="42" t="s">
        <v>2666</v>
      </c>
      <c r="C2454" s="42" t="s">
        <v>8194</v>
      </c>
      <c r="D2454" s="43" t="s">
        <v>91</v>
      </c>
      <c r="E2454" s="43" t="s">
        <v>91</v>
      </c>
      <c r="F2454" s="42" t="s">
        <v>11469</v>
      </c>
      <c r="G2454" t="s">
        <v>13197</v>
      </c>
    </row>
    <row r="2455" spans="1:7" x14ac:dyDescent="0.3">
      <c r="A2455" s="42" t="s">
        <v>2547</v>
      </c>
      <c r="B2455" s="42" t="s">
        <v>2667</v>
      </c>
      <c r="C2455" s="42" t="s">
        <v>8195</v>
      </c>
      <c r="D2455" s="43" t="s">
        <v>91</v>
      </c>
      <c r="E2455" s="43" t="s">
        <v>91</v>
      </c>
      <c r="F2455" s="42" t="s">
        <v>11469</v>
      </c>
      <c r="G2455" t="s">
        <v>13197</v>
      </c>
    </row>
    <row r="2456" spans="1:7" x14ac:dyDescent="0.3">
      <c r="A2456" s="42" t="s">
        <v>2547</v>
      </c>
      <c r="B2456" s="42" t="s">
        <v>2668</v>
      </c>
      <c r="C2456" s="42" t="s">
        <v>8196</v>
      </c>
      <c r="D2456" s="43" t="s">
        <v>91</v>
      </c>
      <c r="E2456" s="43" t="s">
        <v>91</v>
      </c>
      <c r="F2456" s="42" t="s">
        <v>11469</v>
      </c>
      <c r="G2456" t="s">
        <v>13197</v>
      </c>
    </row>
    <row r="2457" spans="1:7" x14ac:dyDescent="0.3">
      <c r="A2457" s="42" t="s">
        <v>2547</v>
      </c>
      <c r="B2457" s="42" t="s">
        <v>2669</v>
      </c>
      <c r="C2457" s="42" t="s">
        <v>8197</v>
      </c>
      <c r="D2457" s="43" t="s">
        <v>91</v>
      </c>
      <c r="E2457" s="43" t="s">
        <v>91</v>
      </c>
      <c r="F2457" s="42" t="s">
        <v>11469</v>
      </c>
      <c r="G2457" t="s">
        <v>13197</v>
      </c>
    </row>
    <row r="2458" spans="1:7" x14ac:dyDescent="0.3">
      <c r="A2458" s="42" t="s">
        <v>2547</v>
      </c>
      <c r="B2458" s="42" t="s">
        <v>2670</v>
      </c>
      <c r="C2458" s="42" t="s">
        <v>8198</v>
      </c>
      <c r="D2458" s="43" t="s">
        <v>91</v>
      </c>
      <c r="E2458" s="43" t="s">
        <v>91</v>
      </c>
      <c r="F2458" s="42" t="s">
        <v>11469</v>
      </c>
      <c r="G2458" t="s">
        <v>13197</v>
      </c>
    </row>
    <row r="2459" spans="1:7" x14ac:dyDescent="0.3">
      <c r="A2459" s="42" t="s">
        <v>2547</v>
      </c>
      <c r="B2459" s="42" t="s">
        <v>2671</v>
      </c>
      <c r="C2459" s="42" t="s">
        <v>8199</v>
      </c>
      <c r="D2459" s="43" t="s">
        <v>91</v>
      </c>
      <c r="E2459" s="43" t="s">
        <v>91</v>
      </c>
      <c r="F2459" s="42" t="s">
        <v>11469</v>
      </c>
      <c r="G2459" t="s">
        <v>13197</v>
      </c>
    </row>
    <row r="2460" spans="1:7" x14ac:dyDescent="0.3">
      <c r="A2460" s="42" t="s">
        <v>2547</v>
      </c>
      <c r="B2460" s="42" t="s">
        <v>2672</v>
      </c>
      <c r="C2460" s="42" t="s">
        <v>8200</v>
      </c>
      <c r="D2460" s="43" t="s">
        <v>91</v>
      </c>
      <c r="E2460" s="43" t="s">
        <v>91</v>
      </c>
      <c r="F2460" s="42" t="s">
        <v>11469</v>
      </c>
      <c r="G2460" t="s">
        <v>13197</v>
      </c>
    </row>
    <row r="2461" spans="1:7" x14ac:dyDescent="0.3">
      <c r="A2461" s="42" t="s">
        <v>2547</v>
      </c>
      <c r="B2461" s="42" t="s">
        <v>2673</v>
      </c>
      <c r="C2461" s="42" t="s">
        <v>8201</v>
      </c>
      <c r="D2461" s="43" t="s">
        <v>91</v>
      </c>
      <c r="E2461" s="43" t="s">
        <v>91</v>
      </c>
      <c r="F2461" s="42" t="s">
        <v>11469</v>
      </c>
      <c r="G2461" t="s">
        <v>13197</v>
      </c>
    </row>
    <row r="2462" spans="1:7" x14ac:dyDescent="0.3">
      <c r="A2462" s="42" t="s">
        <v>2547</v>
      </c>
      <c r="B2462" s="42" t="s">
        <v>2674</v>
      </c>
      <c r="C2462" s="42" t="s">
        <v>8202</v>
      </c>
      <c r="D2462" s="43" t="s">
        <v>91</v>
      </c>
      <c r="E2462" s="43" t="s">
        <v>91</v>
      </c>
      <c r="F2462" s="42" t="s">
        <v>11469</v>
      </c>
      <c r="G2462" t="s">
        <v>13197</v>
      </c>
    </row>
    <row r="2463" spans="1:7" x14ac:dyDescent="0.3">
      <c r="A2463" s="42" t="s">
        <v>2547</v>
      </c>
      <c r="B2463" s="42" t="s">
        <v>2675</v>
      </c>
      <c r="C2463" s="42" t="s">
        <v>8203</v>
      </c>
      <c r="D2463" s="43" t="s">
        <v>91</v>
      </c>
      <c r="E2463" s="43" t="s">
        <v>91</v>
      </c>
      <c r="F2463" s="42" t="s">
        <v>11469</v>
      </c>
      <c r="G2463" t="s">
        <v>13197</v>
      </c>
    </row>
    <row r="2464" spans="1:7" x14ac:dyDescent="0.3">
      <c r="A2464" s="42" t="s">
        <v>2547</v>
      </c>
      <c r="B2464" s="42" t="s">
        <v>2676</v>
      </c>
      <c r="C2464" s="42" t="s">
        <v>8204</v>
      </c>
      <c r="D2464" s="43" t="s">
        <v>91</v>
      </c>
      <c r="E2464" s="43" t="s">
        <v>91</v>
      </c>
      <c r="F2464" s="42" t="s">
        <v>11469</v>
      </c>
      <c r="G2464" t="s">
        <v>13197</v>
      </c>
    </row>
    <row r="2465" spans="1:7" x14ac:dyDescent="0.3">
      <c r="A2465" s="42" t="s">
        <v>2547</v>
      </c>
      <c r="B2465" s="42" t="s">
        <v>2677</v>
      </c>
      <c r="C2465" s="42" t="s">
        <v>8205</v>
      </c>
      <c r="D2465" s="43" t="s">
        <v>91</v>
      </c>
      <c r="E2465" s="43" t="s">
        <v>91</v>
      </c>
      <c r="F2465" s="42" t="s">
        <v>11469</v>
      </c>
      <c r="G2465" t="s">
        <v>13197</v>
      </c>
    </row>
    <row r="2466" spans="1:7" x14ac:dyDescent="0.3">
      <c r="A2466" s="42" t="s">
        <v>2547</v>
      </c>
      <c r="B2466" s="42" t="s">
        <v>2678</v>
      </c>
      <c r="C2466" s="42" t="s">
        <v>8206</v>
      </c>
      <c r="D2466" s="43" t="s">
        <v>91</v>
      </c>
      <c r="E2466" s="43" t="s">
        <v>91</v>
      </c>
      <c r="F2466" s="42" t="s">
        <v>11469</v>
      </c>
      <c r="G2466" t="s">
        <v>13197</v>
      </c>
    </row>
    <row r="2467" spans="1:7" x14ac:dyDescent="0.3">
      <c r="A2467" s="42" t="s">
        <v>2547</v>
      </c>
      <c r="B2467" s="42" t="s">
        <v>2679</v>
      </c>
      <c r="C2467" s="42" t="s">
        <v>8207</v>
      </c>
      <c r="D2467" s="43" t="s">
        <v>91</v>
      </c>
      <c r="E2467" s="43" t="s">
        <v>91</v>
      </c>
      <c r="F2467" s="42" t="s">
        <v>11469</v>
      </c>
      <c r="G2467" t="s">
        <v>13197</v>
      </c>
    </row>
    <row r="2468" spans="1:7" x14ac:dyDescent="0.3">
      <c r="A2468" s="42" t="s">
        <v>2547</v>
      </c>
      <c r="B2468" s="42" t="s">
        <v>2680</v>
      </c>
      <c r="C2468" s="42" t="s">
        <v>8208</v>
      </c>
      <c r="D2468" s="43" t="s">
        <v>91</v>
      </c>
      <c r="E2468" s="43" t="s">
        <v>91</v>
      </c>
      <c r="F2468" s="42" t="s">
        <v>11469</v>
      </c>
      <c r="G2468" t="s">
        <v>13197</v>
      </c>
    </row>
    <row r="2469" spans="1:7" x14ac:dyDescent="0.3">
      <c r="A2469" s="42" t="s">
        <v>2547</v>
      </c>
      <c r="B2469" s="42" t="s">
        <v>2681</v>
      </c>
      <c r="C2469" s="42" t="s">
        <v>8209</v>
      </c>
      <c r="D2469" s="43" t="s">
        <v>91</v>
      </c>
      <c r="E2469" s="43" t="s">
        <v>91</v>
      </c>
      <c r="F2469" s="42" t="s">
        <v>192</v>
      </c>
      <c r="G2469" t="s">
        <v>13196</v>
      </c>
    </row>
    <row r="2470" spans="1:7" x14ac:dyDescent="0.3">
      <c r="A2470" s="42" t="s">
        <v>2547</v>
      </c>
      <c r="B2470" s="42" t="s">
        <v>2682</v>
      </c>
      <c r="C2470" s="42" t="s">
        <v>8210</v>
      </c>
      <c r="D2470" s="43" t="s">
        <v>91</v>
      </c>
      <c r="E2470" s="43" t="s">
        <v>91</v>
      </c>
      <c r="F2470" s="42" t="s">
        <v>11469</v>
      </c>
      <c r="G2470" t="s">
        <v>13197</v>
      </c>
    </row>
    <row r="2471" spans="1:7" x14ac:dyDescent="0.3">
      <c r="A2471" s="42" t="s">
        <v>2547</v>
      </c>
      <c r="B2471" s="42" t="s">
        <v>2683</v>
      </c>
      <c r="C2471" s="42" t="s">
        <v>8211</v>
      </c>
      <c r="D2471" s="43" t="s">
        <v>91</v>
      </c>
      <c r="E2471" s="43" t="s">
        <v>91</v>
      </c>
      <c r="F2471" s="42" t="s">
        <v>192</v>
      </c>
      <c r="G2471" t="s">
        <v>13196</v>
      </c>
    </row>
    <row r="2472" spans="1:7" x14ac:dyDescent="0.3">
      <c r="A2472" s="42" t="s">
        <v>2547</v>
      </c>
      <c r="B2472" s="42" t="s">
        <v>2684</v>
      </c>
      <c r="C2472" s="42" t="s">
        <v>8212</v>
      </c>
      <c r="D2472" s="43" t="s">
        <v>91</v>
      </c>
      <c r="E2472" s="43" t="s">
        <v>91</v>
      </c>
      <c r="F2472" s="42" t="s">
        <v>11469</v>
      </c>
      <c r="G2472" t="s">
        <v>13197</v>
      </c>
    </row>
    <row r="2473" spans="1:7" x14ac:dyDescent="0.3">
      <c r="A2473" s="42" t="s">
        <v>2547</v>
      </c>
      <c r="B2473" s="42" t="s">
        <v>2685</v>
      </c>
      <c r="C2473" s="42" t="s">
        <v>8213</v>
      </c>
      <c r="D2473" s="43" t="s">
        <v>91</v>
      </c>
      <c r="E2473" s="43" t="s">
        <v>91</v>
      </c>
      <c r="F2473" s="42" t="s">
        <v>11469</v>
      </c>
      <c r="G2473" t="s">
        <v>13197</v>
      </c>
    </row>
    <row r="2474" spans="1:7" x14ac:dyDescent="0.3">
      <c r="A2474" s="42" t="s">
        <v>2547</v>
      </c>
      <c r="B2474" s="42" t="s">
        <v>2686</v>
      </c>
      <c r="C2474" s="42" t="s">
        <v>8214</v>
      </c>
      <c r="D2474" s="43" t="s">
        <v>91</v>
      </c>
      <c r="E2474" s="43" t="s">
        <v>91</v>
      </c>
      <c r="F2474" s="42" t="s">
        <v>11469</v>
      </c>
      <c r="G2474" t="s">
        <v>13197</v>
      </c>
    </row>
    <row r="2475" spans="1:7" x14ac:dyDescent="0.3">
      <c r="A2475" s="42" t="s">
        <v>2547</v>
      </c>
      <c r="B2475" s="42" t="s">
        <v>2687</v>
      </c>
      <c r="C2475" s="42" t="s">
        <v>8215</v>
      </c>
      <c r="D2475" s="43" t="s">
        <v>91</v>
      </c>
      <c r="E2475" s="43" t="s">
        <v>91</v>
      </c>
      <c r="F2475" s="42" t="s">
        <v>11469</v>
      </c>
      <c r="G2475" t="s">
        <v>13197</v>
      </c>
    </row>
    <row r="2476" spans="1:7" x14ac:dyDescent="0.3">
      <c r="A2476" s="42" t="s">
        <v>2547</v>
      </c>
      <c r="B2476" s="42" t="s">
        <v>2688</v>
      </c>
      <c r="C2476" s="42" t="s">
        <v>8216</v>
      </c>
      <c r="D2476" s="43" t="s">
        <v>91</v>
      </c>
      <c r="E2476" s="43" t="s">
        <v>91</v>
      </c>
      <c r="F2476" s="42" t="s">
        <v>11469</v>
      </c>
      <c r="G2476" t="s">
        <v>13197</v>
      </c>
    </row>
    <row r="2477" spans="1:7" x14ac:dyDescent="0.3">
      <c r="A2477" s="42" t="s">
        <v>2547</v>
      </c>
      <c r="B2477" s="42" t="s">
        <v>2689</v>
      </c>
      <c r="C2477" s="42" t="s">
        <v>8217</v>
      </c>
      <c r="D2477" s="43" t="s">
        <v>91</v>
      </c>
      <c r="E2477" s="43" t="s">
        <v>91</v>
      </c>
      <c r="F2477" s="42" t="s">
        <v>11469</v>
      </c>
      <c r="G2477" t="s">
        <v>13197</v>
      </c>
    </row>
    <row r="2478" spans="1:7" x14ac:dyDescent="0.3">
      <c r="A2478" s="42" t="s">
        <v>2547</v>
      </c>
      <c r="B2478" s="42" t="s">
        <v>2690</v>
      </c>
      <c r="C2478" s="42" t="s">
        <v>8218</v>
      </c>
      <c r="D2478" s="43" t="s">
        <v>91</v>
      </c>
      <c r="E2478" s="43" t="s">
        <v>91</v>
      </c>
      <c r="F2478" s="42" t="s">
        <v>11469</v>
      </c>
      <c r="G2478" t="s">
        <v>13197</v>
      </c>
    </row>
    <row r="2479" spans="1:7" x14ac:dyDescent="0.3">
      <c r="A2479" s="42" t="s">
        <v>2547</v>
      </c>
      <c r="B2479" s="42" t="s">
        <v>2691</v>
      </c>
      <c r="C2479" s="42" t="s">
        <v>8219</v>
      </c>
      <c r="D2479" s="43" t="s">
        <v>91</v>
      </c>
      <c r="E2479" s="43" t="s">
        <v>91</v>
      </c>
      <c r="F2479" s="42" t="s">
        <v>11469</v>
      </c>
      <c r="G2479" t="s">
        <v>13197</v>
      </c>
    </row>
    <row r="2480" spans="1:7" x14ac:dyDescent="0.3">
      <c r="A2480" s="42" t="s">
        <v>2547</v>
      </c>
      <c r="B2480" s="42" t="s">
        <v>2692</v>
      </c>
      <c r="C2480" s="42" t="s">
        <v>8220</v>
      </c>
      <c r="D2480" s="43" t="s">
        <v>91</v>
      </c>
      <c r="E2480" s="43" t="s">
        <v>91</v>
      </c>
      <c r="F2480" s="42" t="s">
        <v>11469</v>
      </c>
      <c r="G2480" t="s">
        <v>13197</v>
      </c>
    </row>
    <row r="2481" spans="1:7" x14ac:dyDescent="0.3">
      <c r="A2481" s="42" t="s">
        <v>2547</v>
      </c>
      <c r="B2481" s="42" t="s">
        <v>2693</v>
      </c>
      <c r="C2481" s="42" t="s">
        <v>8221</v>
      </c>
      <c r="D2481" s="43" t="s">
        <v>91</v>
      </c>
      <c r="E2481" s="43" t="s">
        <v>91</v>
      </c>
      <c r="F2481" s="42" t="s">
        <v>11469</v>
      </c>
      <c r="G2481" t="s">
        <v>13197</v>
      </c>
    </row>
    <row r="2482" spans="1:7" x14ac:dyDescent="0.3">
      <c r="A2482" s="42" t="s">
        <v>2547</v>
      </c>
      <c r="B2482" s="42" t="s">
        <v>2694</v>
      </c>
      <c r="C2482" s="42" t="s">
        <v>8222</v>
      </c>
      <c r="D2482" s="43" t="s">
        <v>91</v>
      </c>
      <c r="E2482" s="43" t="s">
        <v>91</v>
      </c>
      <c r="F2482" s="42" t="s">
        <v>11469</v>
      </c>
      <c r="G2482" t="s">
        <v>13197</v>
      </c>
    </row>
    <row r="2483" spans="1:7" x14ac:dyDescent="0.3">
      <c r="A2483" s="42" t="s">
        <v>2547</v>
      </c>
      <c r="B2483" s="42" t="s">
        <v>2695</v>
      </c>
      <c r="C2483" s="42" t="s">
        <v>8223</v>
      </c>
      <c r="D2483" s="43" t="s">
        <v>91</v>
      </c>
      <c r="E2483" s="43" t="s">
        <v>91</v>
      </c>
      <c r="F2483" s="42" t="s">
        <v>11469</v>
      </c>
      <c r="G2483" t="s">
        <v>13197</v>
      </c>
    </row>
    <row r="2484" spans="1:7" x14ac:dyDescent="0.3">
      <c r="A2484" s="42" t="s">
        <v>2547</v>
      </c>
      <c r="B2484" s="42" t="s">
        <v>2696</v>
      </c>
      <c r="C2484" s="42" t="s">
        <v>8224</v>
      </c>
      <c r="D2484" s="43" t="s">
        <v>91</v>
      </c>
      <c r="E2484" s="43" t="s">
        <v>91</v>
      </c>
      <c r="F2484" s="42" t="s">
        <v>11469</v>
      </c>
      <c r="G2484" t="s">
        <v>13197</v>
      </c>
    </row>
    <row r="2485" spans="1:7" x14ac:dyDescent="0.3">
      <c r="A2485" s="42" t="s">
        <v>2547</v>
      </c>
      <c r="B2485" s="42" t="s">
        <v>2697</v>
      </c>
      <c r="C2485" s="42" t="s">
        <v>8225</v>
      </c>
      <c r="D2485" s="43" t="s">
        <v>91</v>
      </c>
      <c r="E2485" s="43" t="s">
        <v>91</v>
      </c>
      <c r="F2485" s="42" t="s">
        <v>11469</v>
      </c>
      <c r="G2485" t="s">
        <v>13197</v>
      </c>
    </row>
    <row r="2486" spans="1:7" x14ac:dyDescent="0.3">
      <c r="A2486" s="42" t="s">
        <v>2547</v>
      </c>
      <c r="B2486" s="42" t="s">
        <v>2698</v>
      </c>
      <c r="C2486" s="42" t="s">
        <v>8226</v>
      </c>
      <c r="D2486" s="43" t="s">
        <v>91</v>
      </c>
      <c r="E2486" s="43" t="s">
        <v>91</v>
      </c>
      <c r="F2486" s="42" t="s">
        <v>11469</v>
      </c>
      <c r="G2486" t="s">
        <v>13197</v>
      </c>
    </row>
    <row r="2487" spans="1:7" x14ac:dyDescent="0.3">
      <c r="A2487" s="42" t="s">
        <v>2547</v>
      </c>
      <c r="B2487" s="42" t="s">
        <v>2699</v>
      </c>
      <c r="C2487" s="42" t="s">
        <v>8227</v>
      </c>
      <c r="D2487" s="43" t="s">
        <v>91</v>
      </c>
      <c r="E2487" s="43" t="s">
        <v>91</v>
      </c>
      <c r="F2487" s="42" t="s">
        <v>11469</v>
      </c>
      <c r="G2487" t="s">
        <v>13197</v>
      </c>
    </row>
    <row r="2488" spans="1:7" x14ac:dyDescent="0.3">
      <c r="A2488" s="42" t="s">
        <v>2547</v>
      </c>
      <c r="B2488" s="42" t="s">
        <v>2700</v>
      </c>
      <c r="C2488" s="42" t="s">
        <v>8228</v>
      </c>
      <c r="D2488" s="43" t="s">
        <v>91</v>
      </c>
      <c r="E2488" s="43" t="s">
        <v>91</v>
      </c>
      <c r="F2488" s="42" t="s">
        <v>11469</v>
      </c>
      <c r="G2488" t="s">
        <v>13197</v>
      </c>
    </row>
    <row r="2489" spans="1:7" x14ac:dyDescent="0.3">
      <c r="A2489" s="42" t="s">
        <v>2547</v>
      </c>
      <c r="B2489" s="42" t="s">
        <v>2701</v>
      </c>
      <c r="C2489" s="42" t="s">
        <v>8229</v>
      </c>
      <c r="D2489" s="43" t="s">
        <v>91</v>
      </c>
      <c r="E2489" s="43" t="s">
        <v>91</v>
      </c>
      <c r="F2489" s="42" t="s">
        <v>11469</v>
      </c>
      <c r="G2489" t="s">
        <v>13197</v>
      </c>
    </row>
    <row r="2490" spans="1:7" x14ac:dyDescent="0.3">
      <c r="A2490" s="42" t="s">
        <v>2547</v>
      </c>
      <c r="B2490" s="42" t="s">
        <v>2702</v>
      </c>
      <c r="C2490" s="42" t="s">
        <v>8230</v>
      </c>
      <c r="D2490" s="43" t="s">
        <v>91</v>
      </c>
      <c r="E2490" s="43" t="s">
        <v>91</v>
      </c>
      <c r="F2490" s="42" t="s">
        <v>11469</v>
      </c>
      <c r="G2490" t="s">
        <v>13197</v>
      </c>
    </row>
    <row r="2491" spans="1:7" x14ac:dyDescent="0.3">
      <c r="A2491" s="42" t="s">
        <v>2547</v>
      </c>
      <c r="B2491" s="42" t="s">
        <v>2703</v>
      </c>
      <c r="C2491" s="42" t="s">
        <v>8231</v>
      </c>
      <c r="D2491" s="43" t="s">
        <v>91</v>
      </c>
      <c r="E2491" s="43" t="s">
        <v>91</v>
      </c>
      <c r="F2491" s="42" t="s">
        <v>11469</v>
      </c>
      <c r="G2491" t="s">
        <v>13197</v>
      </c>
    </row>
    <row r="2492" spans="1:7" x14ac:dyDescent="0.3">
      <c r="A2492" s="42" t="s">
        <v>2547</v>
      </c>
      <c r="B2492" s="42" t="s">
        <v>2704</v>
      </c>
      <c r="C2492" s="42" t="s">
        <v>8232</v>
      </c>
      <c r="D2492" s="43" t="s">
        <v>91</v>
      </c>
      <c r="E2492" s="43" t="s">
        <v>91</v>
      </c>
      <c r="F2492" s="42" t="s">
        <v>11469</v>
      </c>
      <c r="G2492" t="s">
        <v>13197</v>
      </c>
    </row>
    <row r="2493" spans="1:7" x14ac:dyDescent="0.3">
      <c r="A2493" s="42" t="s">
        <v>2547</v>
      </c>
      <c r="B2493" s="42" t="s">
        <v>2705</v>
      </c>
      <c r="C2493" s="42" t="s">
        <v>8233</v>
      </c>
      <c r="D2493" s="43" t="s">
        <v>91</v>
      </c>
      <c r="E2493" s="43" t="s">
        <v>91</v>
      </c>
      <c r="F2493" s="42" t="s">
        <v>11469</v>
      </c>
      <c r="G2493" t="s">
        <v>13197</v>
      </c>
    </row>
    <row r="2494" spans="1:7" x14ac:dyDescent="0.3">
      <c r="A2494" s="42" t="s">
        <v>2547</v>
      </c>
      <c r="B2494" s="42" t="s">
        <v>2706</v>
      </c>
      <c r="C2494" s="42" t="s">
        <v>8234</v>
      </c>
      <c r="D2494" s="43" t="s">
        <v>91</v>
      </c>
      <c r="E2494" s="43" t="s">
        <v>91</v>
      </c>
      <c r="F2494" s="42" t="s">
        <v>11469</v>
      </c>
      <c r="G2494" t="s">
        <v>13197</v>
      </c>
    </row>
    <row r="2495" spans="1:7" x14ac:dyDescent="0.3">
      <c r="A2495" s="42" t="s">
        <v>2547</v>
      </c>
      <c r="B2495" s="42" t="s">
        <v>2707</v>
      </c>
      <c r="C2495" s="42" t="s">
        <v>8235</v>
      </c>
      <c r="D2495" s="43" t="s">
        <v>91</v>
      </c>
      <c r="E2495" s="43" t="s">
        <v>91</v>
      </c>
      <c r="F2495" s="42" t="s">
        <v>11469</v>
      </c>
      <c r="G2495" t="s">
        <v>13197</v>
      </c>
    </row>
    <row r="2496" spans="1:7" x14ac:dyDescent="0.3">
      <c r="A2496" s="42" t="s">
        <v>2547</v>
      </c>
      <c r="B2496" s="42" t="s">
        <v>2708</v>
      </c>
      <c r="C2496" s="42" t="s">
        <v>8236</v>
      </c>
      <c r="D2496" s="43" t="s">
        <v>91</v>
      </c>
      <c r="E2496" s="43" t="s">
        <v>91</v>
      </c>
      <c r="F2496" s="42" t="s">
        <v>11469</v>
      </c>
      <c r="G2496" t="s">
        <v>13197</v>
      </c>
    </row>
    <row r="2497" spans="1:7" x14ac:dyDescent="0.3">
      <c r="A2497" s="42" t="s">
        <v>2547</v>
      </c>
      <c r="B2497" s="42" t="s">
        <v>2709</v>
      </c>
      <c r="C2497" s="42" t="s">
        <v>8237</v>
      </c>
      <c r="D2497" s="43" t="s">
        <v>91</v>
      </c>
      <c r="E2497" s="43" t="s">
        <v>91</v>
      </c>
      <c r="F2497" s="42" t="s">
        <v>11469</v>
      </c>
      <c r="G2497" t="s">
        <v>13197</v>
      </c>
    </row>
    <row r="2498" spans="1:7" x14ac:dyDescent="0.3">
      <c r="A2498" s="42" t="s">
        <v>2547</v>
      </c>
      <c r="B2498" s="42" t="s">
        <v>1498</v>
      </c>
      <c r="C2498" s="42" t="s">
        <v>8238</v>
      </c>
      <c r="D2498" s="43" t="s">
        <v>91</v>
      </c>
      <c r="E2498" s="43" t="s">
        <v>91</v>
      </c>
      <c r="F2498" s="42" t="s">
        <v>11469</v>
      </c>
      <c r="G2498" t="s">
        <v>13197</v>
      </c>
    </row>
    <row r="2499" spans="1:7" x14ac:dyDescent="0.3">
      <c r="A2499" s="42" t="s">
        <v>2547</v>
      </c>
      <c r="B2499" s="42" t="s">
        <v>2710</v>
      </c>
      <c r="C2499" s="42" t="s">
        <v>8239</v>
      </c>
      <c r="D2499" s="43" t="s">
        <v>91</v>
      </c>
      <c r="E2499" s="43" t="s">
        <v>91</v>
      </c>
      <c r="F2499" s="42" t="s">
        <v>192</v>
      </c>
      <c r="G2499" t="s">
        <v>13196</v>
      </c>
    </row>
    <row r="2500" spans="1:7" x14ac:dyDescent="0.3">
      <c r="A2500" s="42" t="s">
        <v>2547</v>
      </c>
      <c r="B2500" s="42" t="s">
        <v>2711</v>
      </c>
      <c r="C2500" s="42" t="s">
        <v>8240</v>
      </c>
      <c r="D2500" s="43" t="s">
        <v>91</v>
      </c>
      <c r="E2500" s="43" t="s">
        <v>91</v>
      </c>
      <c r="F2500" s="42" t="s">
        <v>11469</v>
      </c>
      <c r="G2500" t="s">
        <v>13197</v>
      </c>
    </row>
    <row r="2501" spans="1:7" x14ac:dyDescent="0.3">
      <c r="A2501" s="42" t="s">
        <v>2547</v>
      </c>
      <c r="B2501" s="42" t="s">
        <v>2712</v>
      </c>
      <c r="C2501" s="42" t="s">
        <v>8241</v>
      </c>
      <c r="D2501" s="43" t="s">
        <v>91</v>
      </c>
      <c r="E2501" s="43" t="s">
        <v>91</v>
      </c>
      <c r="F2501" s="42" t="s">
        <v>11469</v>
      </c>
      <c r="G2501" t="s">
        <v>13197</v>
      </c>
    </row>
    <row r="2502" spans="1:7" x14ac:dyDescent="0.3">
      <c r="A2502" s="42" t="s">
        <v>2547</v>
      </c>
      <c r="B2502" s="42" t="s">
        <v>2713</v>
      </c>
      <c r="C2502" s="42" t="s">
        <v>8242</v>
      </c>
      <c r="D2502" s="43" t="s">
        <v>91</v>
      </c>
      <c r="E2502" s="43" t="s">
        <v>91</v>
      </c>
      <c r="F2502" s="42" t="s">
        <v>11469</v>
      </c>
      <c r="G2502" t="s">
        <v>13197</v>
      </c>
    </row>
    <row r="2503" spans="1:7" x14ac:dyDescent="0.3">
      <c r="A2503" s="42" t="s">
        <v>2547</v>
      </c>
      <c r="B2503" s="42" t="s">
        <v>2714</v>
      </c>
      <c r="C2503" s="42" t="s">
        <v>8243</v>
      </c>
      <c r="D2503" s="43" t="s">
        <v>91</v>
      </c>
      <c r="E2503" s="43" t="s">
        <v>91</v>
      </c>
      <c r="F2503" s="42" t="s">
        <v>11469</v>
      </c>
      <c r="G2503" t="s">
        <v>13197</v>
      </c>
    </row>
    <row r="2504" spans="1:7" x14ac:dyDescent="0.3">
      <c r="A2504" s="42" t="s">
        <v>2547</v>
      </c>
      <c r="B2504" s="42" t="s">
        <v>2715</v>
      </c>
      <c r="C2504" s="42" t="s">
        <v>8244</v>
      </c>
      <c r="D2504" s="43" t="s">
        <v>91</v>
      </c>
      <c r="E2504" s="43" t="s">
        <v>91</v>
      </c>
      <c r="F2504" s="42" t="s">
        <v>11469</v>
      </c>
      <c r="G2504" t="s">
        <v>13197</v>
      </c>
    </row>
    <row r="2505" spans="1:7" x14ac:dyDescent="0.3">
      <c r="A2505" s="42" t="s">
        <v>2547</v>
      </c>
      <c r="B2505" s="42" t="s">
        <v>2716</v>
      </c>
      <c r="C2505" s="42" t="s">
        <v>8245</v>
      </c>
      <c r="D2505" s="43" t="s">
        <v>91</v>
      </c>
      <c r="E2505" s="43" t="s">
        <v>91</v>
      </c>
      <c r="F2505" s="42" t="s">
        <v>11469</v>
      </c>
      <c r="G2505" t="s">
        <v>13197</v>
      </c>
    </row>
    <row r="2506" spans="1:7" x14ac:dyDescent="0.3">
      <c r="A2506" s="42" t="s">
        <v>2547</v>
      </c>
      <c r="B2506" s="42" t="s">
        <v>2717</v>
      </c>
      <c r="C2506" s="42" t="s">
        <v>8246</v>
      </c>
      <c r="D2506" s="43" t="s">
        <v>91</v>
      </c>
      <c r="E2506" s="43" t="s">
        <v>91</v>
      </c>
      <c r="F2506" s="42" t="s">
        <v>11469</v>
      </c>
      <c r="G2506" t="s">
        <v>13197</v>
      </c>
    </row>
    <row r="2507" spans="1:7" x14ac:dyDescent="0.3">
      <c r="A2507" s="42" t="s">
        <v>2547</v>
      </c>
      <c r="B2507" s="42" t="s">
        <v>2718</v>
      </c>
      <c r="C2507" s="42" t="s">
        <v>8247</v>
      </c>
      <c r="D2507" s="43" t="s">
        <v>91</v>
      </c>
      <c r="E2507" s="43" t="s">
        <v>91</v>
      </c>
      <c r="F2507" s="42" t="s">
        <v>11469</v>
      </c>
      <c r="G2507" t="s">
        <v>13197</v>
      </c>
    </row>
    <row r="2508" spans="1:7" x14ac:dyDescent="0.3">
      <c r="A2508" s="42" t="s">
        <v>2547</v>
      </c>
      <c r="B2508" s="42" t="s">
        <v>2719</v>
      </c>
      <c r="C2508" s="42" t="s">
        <v>8248</v>
      </c>
      <c r="D2508" s="43" t="s">
        <v>91</v>
      </c>
      <c r="E2508" s="43" t="s">
        <v>91</v>
      </c>
      <c r="F2508" s="42" t="s">
        <v>11469</v>
      </c>
      <c r="G2508" t="s">
        <v>13197</v>
      </c>
    </row>
    <row r="2509" spans="1:7" x14ac:dyDescent="0.3">
      <c r="A2509" s="42" t="s">
        <v>2547</v>
      </c>
      <c r="B2509" s="42" t="s">
        <v>2720</v>
      </c>
      <c r="C2509" s="42" t="s">
        <v>8249</v>
      </c>
      <c r="D2509" s="43" t="s">
        <v>91</v>
      </c>
      <c r="E2509" s="43" t="s">
        <v>91</v>
      </c>
      <c r="F2509" s="42" t="s">
        <v>11469</v>
      </c>
      <c r="G2509" t="s">
        <v>13197</v>
      </c>
    </row>
    <row r="2510" spans="1:7" x14ac:dyDescent="0.3">
      <c r="A2510" s="42" t="s">
        <v>2547</v>
      </c>
      <c r="B2510" s="42" t="s">
        <v>2721</v>
      </c>
      <c r="C2510" s="42" t="s">
        <v>8250</v>
      </c>
      <c r="D2510" s="43" t="s">
        <v>91</v>
      </c>
      <c r="E2510" s="43" t="s">
        <v>91</v>
      </c>
      <c r="F2510" s="42" t="s">
        <v>11469</v>
      </c>
      <c r="G2510" t="s">
        <v>13197</v>
      </c>
    </row>
    <row r="2511" spans="1:7" x14ac:dyDescent="0.3">
      <c r="A2511" s="42" t="s">
        <v>2547</v>
      </c>
      <c r="B2511" s="42" t="s">
        <v>2722</v>
      </c>
      <c r="C2511" s="42" t="s">
        <v>8251</v>
      </c>
      <c r="D2511" s="43" t="s">
        <v>91</v>
      </c>
      <c r="E2511" s="43" t="s">
        <v>91</v>
      </c>
      <c r="F2511" s="42" t="s">
        <v>11469</v>
      </c>
      <c r="G2511" t="s">
        <v>13197</v>
      </c>
    </row>
    <row r="2512" spans="1:7" x14ac:dyDescent="0.3">
      <c r="A2512" s="42" t="s">
        <v>2547</v>
      </c>
      <c r="B2512" s="42" t="s">
        <v>2723</v>
      </c>
      <c r="C2512" s="42" t="s">
        <v>8252</v>
      </c>
      <c r="D2512" s="43" t="s">
        <v>91</v>
      </c>
      <c r="E2512" s="43" t="s">
        <v>91</v>
      </c>
      <c r="F2512" s="42" t="s">
        <v>192</v>
      </c>
      <c r="G2512" t="s">
        <v>13196</v>
      </c>
    </row>
    <row r="2513" spans="1:7" x14ac:dyDescent="0.3">
      <c r="A2513" s="42" t="s">
        <v>2547</v>
      </c>
      <c r="B2513" s="42" t="s">
        <v>2724</v>
      </c>
      <c r="C2513" s="42" t="s">
        <v>8253</v>
      </c>
      <c r="D2513" s="43" t="s">
        <v>91</v>
      </c>
      <c r="E2513" s="43" t="s">
        <v>91</v>
      </c>
      <c r="F2513" s="42" t="s">
        <v>11469</v>
      </c>
      <c r="G2513" t="s">
        <v>13197</v>
      </c>
    </row>
    <row r="2514" spans="1:7" x14ac:dyDescent="0.3">
      <c r="A2514" s="42" t="s">
        <v>2547</v>
      </c>
      <c r="B2514" s="42" t="s">
        <v>2725</v>
      </c>
      <c r="C2514" s="42" t="s">
        <v>8254</v>
      </c>
      <c r="D2514" s="43" t="s">
        <v>91</v>
      </c>
      <c r="E2514" s="43" t="s">
        <v>91</v>
      </c>
      <c r="F2514" s="42" t="s">
        <v>11469</v>
      </c>
      <c r="G2514" t="s">
        <v>13197</v>
      </c>
    </row>
    <row r="2515" spans="1:7" x14ac:dyDescent="0.3">
      <c r="A2515" s="42" t="s">
        <v>2547</v>
      </c>
      <c r="B2515" s="42" t="s">
        <v>2726</v>
      </c>
      <c r="C2515" s="42" t="s">
        <v>8255</v>
      </c>
      <c r="D2515" s="43" t="s">
        <v>91</v>
      </c>
      <c r="E2515" s="43" t="s">
        <v>91</v>
      </c>
      <c r="F2515" s="42" t="s">
        <v>11469</v>
      </c>
      <c r="G2515" t="s">
        <v>13197</v>
      </c>
    </row>
    <row r="2516" spans="1:7" x14ac:dyDescent="0.3">
      <c r="A2516" s="42" t="s">
        <v>2547</v>
      </c>
      <c r="B2516" s="42" t="s">
        <v>2727</v>
      </c>
      <c r="C2516" s="42" t="s">
        <v>8256</v>
      </c>
      <c r="D2516" s="43" t="s">
        <v>91</v>
      </c>
      <c r="E2516" s="43" t="s">
        <v>91</v>
      </c>
      <c r="F2516" s="42" t="s">
        <v>11469</v>
      </c>
      <c r="G2516" t="s">
        <v>13197</v>
      </c>
    </row>
    <row r="2517" spans="1:7" x14ac:dyDescent="0.3">
      <c r="A2517" s="42" t="s">
        <v>2547</v>
      </c>
      <c r="B2517" s="42" t="s">
        <v>2728</v>
      </c>
      <c r="C2517" s="42" t="s">
        <v>8257</v>
      </c>
      <c r="D2517" s="43" t="s">
        <v>91</v>
      </c>
      <c r="E2517" s="43" t="s">
        <v>91</v>
      </c>
      <c r="F2517" s="42" t="s">
        <v>11469</v>
      </c>
      <c r="G2517" t="s">
        <v>13197</v>
      </c>
    </row>
    <row r="2518" spans="1:7" x14ac:dyDescent="0.3">
      <c r="A2518" s="42" t="s">
        <v>2547</v>
      </c>
      <c r="B2518" s="42" t="s">
        <v>2729</v>
      </c>
      <c r="C2518" s="42" t="s">
        <v>8258</v>
      </c>
      <c r="D2518" s="43" t="s">
        <v>91</v>
      </c>
      <c r="E2518" s="43" t="s">
        <v>91</v>
      </c>
      <c r="F2518" s="42" t="s">
        <v>11469</v>
      </c>
      <c r="G2518" t="s">
        <v>13197</v>
      </c>
    </row>
    <row r="2519" spans="1:7" x14ac:dyDescent="0.3">
      <c r="A2519" s="42" t="s">
        <v>2547</v>
      </c>
      <c r="B2519" s="42" t="s">
        <v>2730</v>
      </c>
      <c r="C2519" s="42" t="s">
        <v>8259</v>
      </c>
      <c r="D2519" s="43" t="s">
        <v>91</v>
      </c>
      <c r="E2519" s="43" t="s">
        <v>91</v>
      </c>
      <c r="F2519" s="42" t="s">
        <v>11469</v>
      </c>
      <c r="G2519" t="s">
        <v>13197</v>
      </c>
    </row>
    <row r="2520" spans="1:7" x14ac:dyDescent="0.3">
      <c r="A2520" s="42" t="s">
        <v>2547</v>
      </c>
      <c r="B2520" s="42" t="s">
        <v>2731</v>
      </c>
      <c r="C2520" s="42" t="s">
        <v>8260</v>
      </c>
      <c r="D2520" s="43" t="s">
        <v>91</v>
      </c>
      <c r="E2520" s="43" t="s">
        <v>91</v>
      </c>
      <c r="F2520" s="42" t="s">
        <v>11469</v>
      </c>
      <c r="G2520" t="s">
        <v>13197</v>
      </c>
    </row>
    <row r="2521" spans="1:7" x14ac:dyDescent="0.3">
      <c r="A2521" s="42" t="s">
        <v>2547</v>
      </c>
      <c r="B2521" s="42" t="s">
        <v>2732</v>
      </c>
      <c r="C2521" s="42" t="s">
        <v>8261</v>
      </c>
      <c r="D2521" s="43" t="s">
        <v>91</v>
      </c>
      <c r="E2521" s="43" t="s">
        <v>91</v>
      </c>
      <c r="F2521" s="42" t="s">
        <v>11469</v>
      </c>
      <c r="G2521" t="s">
        <v>13197</v>
      </c>
    </row>
    <row r="2522" spans="1:7" x14ac:dyDescent="0.3">
      <c r="A2522" s="42" t="s">
        <v>2547</v>
      </c>
      <c r="B2522" s="42" t="s">
        <v>2733</v>
      </c>
      <c r="C2522" s="42" t="s">
        <v>8262</v>
      </c>
      <c r="D2522" s="43" t="s">
        <v>91</v>
      </c>
      <c r="E2522" s="43" t="s">
        <v>91</v>
      </c>
      <c r="F2522" s="42" t="s">
        <v>11469</v>
      </c>
      <c r="G2522" t="s">
        <v>13197</v>
      </c>
    </row>
    <row r="2523" spans="1:7" x14ac:dyDescent="0.3">
      <c r="A2523" s="42" t="s">
        <v>2547</v>
      </c>
      <c r="B2523" s="42" t="s">
        <v>2734</v>
      </c>
      <c r="C2523" s="42" t="s">
        <v>8263</v>
      </c>
      <c r="D2523" s="43" t="s">
        <v>91</v>
      </c>
      <c r="E2523" s="43" t="s">
        <v>91</v>
      </c>
      <c r="F2523" s="42" t="s">
        <v>11469</v>
      </c>
      <c r="G2523" t="s">
        <v>13197</v>
      </c>
    </row>
    <row r="2524" spans="1:7" x14ac:dyDescent="0.3">
      <c r="A2524" s="42" t="s">
        <v>2547</v>
      </c>
      <c r="B2524" s="42" t="s">
        <v>2735</v>
      </c>
      <c r="C2524" s="42" t="s">
        <v>8264</v>
      </c>
      <c r="D2524" s="43" t="s">
        <v>91</v>
      </c>
      <c r="E2524" s="43" t="s">
        <v>91</v>
      </c>
      <c r="F2524" s="42" t="s">
        <v>192</v>
      </c>
      <c r="G2524" t="s">
        <v>13196</v>
      </c>
    </row>
    <row r="2525" spans="1:7" x14ac:dyDescent="0.3">
      <c r="A2525" s="42" t="s">
        <v>2547</v>
      </c>
      <c r="B2525" s="42" t="s">
        <v>2736</v>
      </c>
      <c r="C2525" s="42" t="s">
        <v>8265</v>
      </c>
      <c r="D2525" s="43" t="s">
        <v>91</v>
      </c>
      <c r="E2525" s="43" t="s">
        <v>91</v>
      </c>
      <c r="F2525" s="42" t="s">
        <v>11469</v>
      </c>
      <c r="G2525" t="s">
        <v>13197</v>
      </c>
    </row>
    <row r="2526" spans="1:7" x14ac:dyDescent="0.3">
      <c r="A2526" s="42" t="s">
        <v>2547</v>
      </c>
      <c r="B2526" s="42" t="s">
        <v>2737</v>
      </c>
      <c r="C2526" s="42" t="s">
        <v>8266</v>
      </c>
      <c r="D2526" s="43" t="s">
        <v>91</v>
      </c>
      <c r="E2526" s="43" t="s">
        <v>91</v>
      </c>
      <c r="F2526" s="42" t="s">
        <v>11469</v>
      </c>
      <c r="G2526" t="s">
        <v>13197</v>
      </c>
    </row>
    <row r="2527" spans="1:7" x14ac:dyDescent="0.3">
      <c r="A2527" s="42" t="s">
        <v>2547</v>
      </c>
      <c r="B2527" s="42" t="s">
        <v>2738</v>
      </c>
      <c r="C2527" s="42" t="s">
        <v>8267</v>
      </c>
      <c r="D2527" s="43" t="s">
        <v>91</v>
      </c>
      <c r="E2527" s="43" t="s">
        <v>91</v>
      </c>
      <c r="F2527" s="42" t="s">
        <v>11469</v>
      </c>
      <c r="G2527" t="s">
        <v>13197</v>
      </c>
    </row>
    <row r="2528" spans="1:7" x14ac:dyDescent="0.3">
      <c r="A2528" s="42" t="s">
        <v>2547</v>
      </c>
      <c r="B2528" s="42" t="s">
        <v>2739</v>
      </c>
      <c r="C2528" s="42" t="s">
        <v>8268</v>
      </c>
      <c r="D2528" s="43" t="s">
        <v>91</v>
      </c>
      <c r="E2528" s="43" t="s">
        <v>91</v>
      </c>
      <c r="F2528" s="42" t="s">
        <v>11469</v>
      </c>
      <c r="G2528" t="s">
        <v>13197</v>
      </c>
    </row>
    <row r="2529" spans="1:7" x14ac:dyDescent="0.3">
      <c r="A2529" s="42" t="s">
        <v>2547</v>
      </c>
      <c r="B2529" s="42" t="s">
        <v>2740</v>
      </c>
      <c r="C2529" s="42" t="s">
        <v>8269</v>
      </c>
      <c r="D2529" s="43" t="s">
        <v>91</v>
      </c>
      <c r="E2529" s="43" t="s">
        <v>91</v>
      </c>
      <c r="F2529" s="42" t="s">
        <v>11469</v>
      </c>
      <c r="G2529" t="s">
        <v>13197</v>
      </c>
    </row>
    <row r="2530" spans="1:7" x14ac:dyDescent="0.3">
      <c r="A2530" s="42" t="s">
        <v>2547</v>
      </c>
      <c r="B2530" s="42" t="s">
        <v>2741</v>
      </c>
      <c r="C2530" s="42" t="s">
        <v>8270</v>
      </c>
      <c r="D2530" s="43" t="s">
        <v>91</v>
      </c>
      <c r="E2530" s="43" t="s">
        <v>91</v>
      </c>
      <c r="F2530" s="42" t="s">
        <v>11469</v>
      </c>
      <c r="G2530" t="s">
        <v>13197</v>
      </c>
    </row>
    <row r="2531" spans="1:7" x14ac:dyDescent="0.3">
      <c r="A2531" s="42" t="s">
        <v>2547</v>
      </c>
      <c r="B2531" s="42" t="s">
        <v>2742</v>
      </c>
      <c r="C2531" s="42" t="s">
        <v>8271</v>
      </c>
      <c r="D2531" s="43" t="s">
        <v>91</v>
      </c>
      <c r="E2531" s="43" t="s">
        <v>91</v>
      </c>
      <c r="F2531" s="42" t="s">
        <v>11469</v>
      </c>
      <c r="G2531" t="s">
        <v>13197</v>
      </c>
    </row>
    <row r="2532" spans="1:7" x14ac:dyDescent="0.3">
      <c r="A2532" s="42" t="s">
        <v>2547</v>
      </c>
      <c r="B2532" s="42" t="s">
        <v>2743</v>
      </c>
      <c r="C2532" s="42" t="s">
        <v>8272</v>
      </c>
      <c r="D2532" s="43" t="s">
        <v>91</v>
      </c>
      <c r="E2532" s="43" t="s">
        <v>91</v>
      </c>
      <c r="F2532" s="42" t="s">
        <v>11469</v>
      </c>
      <c r="G2532" t="s">
        <v>13197</v>
      </c>
    </row>
    <row r="2533" spans="1:7" x14ac:dyDescent="0.3">
      <c r="A2533" s="42" t="s">
        <v>2547</v>
      </c>
      <c r="B2533" s="42" t="s">
        <v>2744</v>
      </c>
      <c r="C2533" s="42" t="s">
        <v>8273</v>
      </c>
      <c r="D2533" s="43" t="s">
        <v>91</v>
      </c>
      <c r="E2533" s="43" t="s">
        <v>91</v>
      </c>
      <c r="F2533" s="42" t="s">
        <v>11469</v>
      </c>
      <c r="G2533" t="s">
        <v>13197</v>
      </c>
    </row>
    <row r="2534" spans="1:7" x14ac:dyDescent="0.3">
      <c r="A2534" s="42" t="s">
        <v>2547</v>
      </c>
      <c r="B2534" s="42" t="s">
        <v>2745</v>
      </c>
      <c r="C2534" s="42" t="s">
        <v>8274</v>
      </c>
      <c r="D2534" s="43" t="s">
        <v>91</v>
      </c>
      <c r="E2534" s="43" t="s">
        <v>91</v>
      </c>
      <c r="F2534" s="42" t="s">
        <v>11469</v>
      </c>
      <c r="G2534" t="s">
        <v>13197</v>
      </c>
    </row>
    <row r="2535" spans="1:7" x14ac:dyDescent="0.3">
      <c r="A2535" s="42" t="s">
        <v>2547</v>
      </c>
      <c r="B2535" s="42" t="s">
        <v>2746</v>
      </c>
      <c r="C2535" s="42" t="s">
        <v>8275</v>
      </c>
      <c r="D2535" s="43" t="s">
        <v>91</v>
      </c>
      <c r="E2535" s="43" t="s">
        <v>91</v>
      </c>
      <c r="F2535" s="42" t="s">
        <v>11469</v>
      </c>
      <c r="G2535" t="s">
        <v>13197</v>
      </c>
    </row>
    <row r="2536" spans="1:7" x14ac:dyDescent="0.3">
      <c r="A2536" s="42" t="s">
        <v>2547</v>
      </c>
      <c r="B2536" s="42" t="s">
        <v>1716</v>
      </c>
      <c r="C2536" s="42" t="s">
        <v>8276</v>
      </c>
      <c r="D2536" s="43" t="s">
        <v>91</v>
      </c>
      <c r="E2536" s="43" t="s">
        <v>91</v>
      </c>
      <c r="F2536" s="42" t="s">
        <v>192</v>
      </c>
      <c r="G2536" t="s">
        <v>13196</v>
      </c>
    </row>
    <row r="2537" spans="1:7" x14ac:dyDescent="0.3">
      <c r="A2537" s="42" t="s">
        <v>2547</v>
      </c>
      <c r="B2537" s="42" t="s">
        <v>2747</v>
      </c>
      <c r="C2537" s="42" t="s">
        <v>8277</v>
      </c>
      <c r="D2537" s="43" t="s">
        <v>91</v>
      </c>
      <c r="E2537" s="43" t="s">
        <v>91</v>
      </c>
      <c r="F2537" s="42" t="s">
        <v>11469</v>
      </c>
      <c r="G2537" t="s">
        <v>13197</v>
      </c>
    </row>
    <row r="2538" spans="1:7" x14ac:dyDescent="0.3">
      <c r="A2538" s="42" t="s">
        <v>2547</v>
      </c>
      <c r="B2538" s="42" t="s">
        <v>2748</v>
      </c>
      <c r="C2538" s="42" t="s">
        <v>8278</v>
      </c>
      <c r="D2538" s="43" t="s">
        <v>91</v>
      </c>
      <c r="E2538" s="43" t="s">
        <v>91</v>
      </c>
      <c r="F2538" s="42" t="s">
        <v>11469</v>
      </c>
      <c r="G2538" t="s">
        <v>13197</v>
      </c>
    </row>
    <row r="2539" spans="1:7" x14ac:dyDescent="0.3">
      <c r="A2539" s="42" t="s">
        <v>2547</v>
      </c>
      <c r="B2539" s="42" t="s">
        <v>2749</v>
      </c>
      <c r="C2539" s="42" t="s">
        <v>8279</v>
      </c>
      <c r="D2539" s="43" t="s">
        <v>91</v>
      </c>
      <c r="E2539" s="43" t="s">
        <v>91</v>
      </c>
      <c r="F2539" s="42" t="s">
        <v>11469</v>
      </c>
      <c r="G2539" t="s">
        <v>13197</v>
      </c>
    </row>
    <row r="2540" spans="1:7" x14ac:dyDescent="0.3">
      <c r="A2540" s="42" t="s">
        <v>2547</v>
      </c>
      <c r="B2540" s="42" t="s">
        <v>2750</v>
      </c>
      <c r="C2540" s="42" t="s">
        <v>8280</v>
      </c>
      <c r="D2540" s="43" t="s">
        <v>91</v>
      </c>
      <c r="E2540" s="43" t="s">
        <v>91</v>
      </c>
      <c r="F2540" s="42" t="s">
        <v>11469</v>
      </c>
      <c r="G2540" t="s">
        <v>13197</v>
      </c>
    </row>
    <row r="2541" spans="1:7" x14ac:dyDescent="0.3">
      <c r="A2541" s="42" t="s">
        <v>2547</v>
      </c>
      <c r="B2541" s="42" t="s">
        <v>2751</v>
      </c>
      <c r="C2541" s="42" t="s">
        <v>8281</v>
      </c>
      <c r="D2541" s="43" t="s">
        <v>91</v>
      </c>
      <c r="E2541" s="43" t="s">
        <v>91</v>
      </c>
      <c r="F2541" s="42" t="s">
        <v>11469</v>
      </c>
      <c r="G2541" t="s">
        <v>13197</v>
      </c>
    </row>
    <row r="2542" spans="1:7" x14ac:dyDescent="0.3">
      <c r="A2542" s="42" t="s">
        <v>2547</v>
      </c>
      <c r="B2542" s="42" t="s">
        <v>2752</v>
      </c>
      <c r="C2542" s="42" t="s">
        <v>8282</v>
      </c>
      <c r="D2542" s="43" t="s">
        <v>91</v>
      </c>
      <c r="E2542" s="43" t="s">
        <v>91</v>
      </c>
      <c r="F2542" s="42" t="s">
        <v>11469</v>
      </c>
      <c r="G2542" t="s">
        <v>13197</v>
      </c>
    </row>
    <row r="2543" spans="1:7" x14ac:dyDescent="0.3">
      <c r="A2543" s="42" t="s">
        <v>2547</v>
      </c>
      <c r="B2543" s="42" t="s">
        <v>2753</v>
      </c>
      <c r="C2543" s="42" t="s">
        <v>8283</v>
      </c>
      <c r="D2543" s="43" t="s">
        <v>91</v>
      </c>
      <c r="E2543" s="43" t="s">
        <v>91</v>
      </c>
      <c r="F2543" s="42" t="s">
        <v>11469</v>
      </c>
      <c r="G2543" t="s">
        <v>13197</v>
      </c>
    </row>
    <row r="2544" spans="1:7" x14ac:dyDescent="0.3">
      <c r="A2544" s="42" t="s">
        <v>2547</v>
      </c>
      <c r="B2544" s="42" t="s">
        <v>2754</v>
      </c>
      <c r="C2544" s="42" t="s">
        <v>8284</v>
      </c>
      <c r="D2544" s="43" t="s">
        <v>91</v>
      </c>
      <c r="E2544" s="43" t="s">
        <v>91</v>
      </c>
      <c r="F2544" s="42" t="s">
        <v>11469</v>
      </c>
      <c r="G2544" t="s">
        <v>13197</v>
      </c>
    </row>
    <row r="2545" spans="1:7" x14ac:dyDescent="0.3">
      <c r="A2545" s="42" t="s">
        <v>2547</v>
      </c>
      <c r="B2545" s="42" t="s">
        <v>2755</v>
      </c>
      <c r="C2545" s="42" t="s">
        <v>8285</v>
      </c>
      <c r="D2545" s="43" t="s">
        <v>91</v>
      </c>
      <c r="E2545" s="43" t="s">
        <v>91</v>
      </c>
      <c r="F2545" s="42" t="s">
        <v>11469</v>
      </c>
      <c r="G2545" t="s">
        <v>13197</v>
      </c>
    </row>
    <row r="2546" spans="1:7" x14ac:dyDescent="0.3">
      <c r="A2546" s="42" t="s">
        <v>2547</v>
      </c>
      <c r="B2546" s="42" t="s">
        <v>2756</v>
      </c>
      <c r="C2546" s="42" t="s">
        <v>8286</v>
      </c>
      <c r="D2546" s="43" t="s">
        <v>91</v>
      </c>
      <c r="E2546" s="43" t="s">
        <v>91</v>
      </c>
      <c r="F2546" s="42" t="s">
        <v>11469</v>
      </c>
      <c r="G2546" t="s">
        <v>13197</v>
      </c>
    </row>
    <row r="2547" spans="1:7" x14ac:dyDescent="0.3">
      <c r="A2547" s="42" t="s">
        <v>2547</v>
      </c>
      <c r="B2547" s="42" t="s">
        <v>2757</v>
      </c>
      <c r="C2547" s="42" t="s">
        <v>8287</v>
      </c>
      <c r="D2547" s="43" t="s">
        <v>91</v>
      </c>
      <c r="E2547" s="43" t="s">
        <v>91</v>
      </c>
      <c r="F2547" s="42" t="s">
        <v>11469</v>
      </c>
      <c r="G2547" t="s">
        <v>13197</v>
      </c>
    </row>
    <row r="2548" spans="1:7" x14ac:dyDescent="0.3">
      <c r="A2548" s="42" t="s">
        <v>2547</v>
      </c>
      <c r="B2548" s="42" t="s">
        <v>2758</v>
      </c>
      <c r="C2548" s="42" t="s">
        <v>8288</v>
      </c>
      <c r="D2548" s="43" t="s">
        <v>91</v>
      </c>
      <c r="E2548" s="43" t="s">
        <v>91</v>
      </c>
      <c r="F2548" s="42" t="s">
        <v>11469</v>
      </c>
      <c r="G2548" t="s">
        <v>13197</v>
      </c>
    </row>
    <row r="2549" spans="1:7" x14ac:dyDescent="0.3">
      <c r="A2549" s="42" t="s">
        <v>2547</v>
      </c>
      <c r="B2549" s="42" t="s">
        <v>2759</v>
      </c>
      <c r="C2549" s="42" t="s">
        <v>8289</v>
      </c>
      <c r="D2549" s="43" t="s">
        <v>91</v>
      </c>
      <c r="E2549" s="43" t="s">
        <v>91</v>
      </c>
      <c r="F2549" s="42" t="s">
        <v>11469</v>
      </c>
      <c r="G2549" t="s">
        <v>13197</v>
      </c>
    </row>
    <row r="2550" spans="1:7" x14ac:dyDescent="0.3">
      <c r="A2550" s="42" t="s">
        <v>2547</v>
      </c>
      <c r="B2550" s="42" t="s">
        <v>2760</v>
      </c>
      <c r="C2550" s="42" t="s">
        <v>8290</v>
      </c>
      <c r="D2550" s="43" t="s">
        <v>91</v>
      </c>
      <c r="E2550" s="43" t="s">
        <v>91</v>
      </c>
      <c r="F2550" s="42" t="s">
        <v>11469</v>
      </c>
      <c r="G2550" t="s">
        <v>13197</v>
      </c>
    </row>
    <row r="2551" spans="1:7" x14ac:dyDescent="0.3">
      <c r="A2551" s="42" t="s">
        <v>2547</v>
      </c>
      <c r="B2551" s="42" t="s">
        <v>2761</v>
      </c>
      <c r="C2551" s="42" t="s">
        <v>8291</v>
      </c>
      <c r="D2551" s="43" t="s">
        <v>91</v>
      </c>
      <c r="E2551" s="43" t="s">
        <v>91</v>
      </c>
      <c r="F2551" s="42" t="s">
        <v>11469</v>
      </c>
      <c r="G2551" t="s">
        <v>13197</v>
      </c>
    </row>
    <row r="2552" spans="1:7" x14ac:dyDescent="0.3">
      <c r="A2552" s="42" t="s">
        <v>2547</v>
      </c>
      <c r="B2552" s="42" t="s">
        <v>2762</v>
      </c>
      <c r="C2552" s="42" t="s">
        <v>8292</v>
      </c>
      <c r="D2552" s="43" t="s">
        <v>91</v>
      </c>
      <c r="E2552" s="43" t="s">
        <v>91</v>
      </c>
      <c r="F2552" s="42" t="s">
        <v>11469</v>
      </c>
      <c r="G2552" t="s">
        <v>13197</v>
      </c>
    </row>
    <row r="2553" spans="1:7" x14ac:dyDescent="0.3">
      <c r="A2553" s="42" t="s">
        <v>2547</v>
      </c>
      <c r="B2553" s="42" t="s">
        <v>2763</v>
      </c>
      <c r="C2553" s="42" t="s">
        <v>8293</v>
      </c>
      <c r="D2553" s="43" t="s">
        <v>91</v>
      </c>
      <c r="E2553" s="43" t="s">
        <v>91</v>
      </c>
      <c r="F2553" s="42" t="s">
        <v>11469</v>
      </c>
      <c r="G2553" t="s">
        <v>13197</v>
      </c>
    </row>
    <row r="2554" spans="1:7" x14ac:dyDescent="0.3">
      <c r="A2554" s="42" t="s">
        <v>2547</v>
      </c>
      <c r="B2554" s="42" t="s">
        <v>1949</v>
      </c>
      <c r="C2554" s="42" t="s">
        <v>8294</v>
      </c>
      <c r="D2554" s="43" t="s">
        <v>91</v>
      </c>
      <c r="E2554" s="43" t="s">
        <v>91</v>
      </c>
      <c r="F2554" s="42" t="s">
        <v>192</v>
      </c>
      <c r="G2554" t="s">
        <v>13196</v>
      </c>
    </row>
    <row r="2555" spans="1:7" x14ac:dyDescent="0.3">
      <c r="A2555" s="42" t="s">
        <v>2547</v>
      </c>
      <c r="B2555" s="42" t="s">
        <v>2764</v>
      </c>
      <c r="C2555" s="42" t="s">
        <v>8295</v>
      </c>
      <c r="D2555" s="43" t="s">
        <v>91</v>
      </c>
      <c r="E2555" s="43" t="s">
        <v>91</v>
      </c>
      <c r="F2555" s="42" t="s">
        <v>11469</v>
      </c>
      <c r="G2555" t="s">
        <v>13197</v>
      </c>
    </row>
    <row r="2556" spans="1:7" x14ac:dyDescent="0.3">
      <c r="A2556" s="42" t="s">
        <v>2547</v>
      </c>
      <c r="B2556" s="42" t="s">
        <v>1355</v>
      </c>
      <c r="C2556" s="42" t="s">
        <v>8296</v>
      </c>
      <c r="D2556" s="43" t="s">
        <v>91</v>
      </c>
      <c r="E2556" s="43" t="s">
        <v>91</v>
      </c>
      <c r="F2556" s="42" t="s">
        <v>11469</v>
      </c>
      <c r="G2556" t="s">
        <v>13197</v>
      </c>
    </row>
    <row r="2557" spans="1:7" x14ac:dyDescent="0.3">
      <c r="A2557" s="42" t="s">
        <v>2547</v>
      </c>
      <c r="B2557" s="42" t="s">
        <v>1357</v>
      </c>
      <c r="C2557" s="42" t="s">
        <v>8297</v>
      </c>
      <c r="D2557" s="43" t="s">
        <v>91</v>
      </c>
      <c r="E2557" s="43" t="s">
        <v>91</v>
      </c>
      <c r="F2557" s="42" t="s">
        <v>11469</v>
      </c>
      <c r="G2557" t="s">
        <v>13197</v>
      </c>
    </row>
    <row r="2558" spans="1:7" x14ac:dyDescent="0.3">
      <c r="A2558" s="42" t="s">
        <v>2547</v>
      </c>
      <c r="B2558" s="42" t="s">
        <v>2765</v>
      </c>
      <c r="C2558" s="42" t="s">
        <v>8298</v>
      </c>
      <c r="D2558" s="43" t="s">
        <v>91</v>
      </c>
      <c r="E2558" s="43" t="s">
        <v>91</v>
      </c>
      <c r="F2558" s="42" t="s">
        <v>11469</v>
      </c>
      <c r="G2558" t="s">
        <v>13197</v>
      </c>
    </row>
    <row r="2559" spans="1:7" x14ac:dyDescent="0.3">
      <c r="A2559" s="42" t="s">
        <v>2547</v>
      </c>
      <c r="B2559" s="42" t="s">
        <v>2766</v>
      </c>
      <c r="C2559" s="42" t="s">
        <v>8299</v>
      </c>
      <c r="D2559" s="43" t="s">
        <v>91</v>
      </c>
      <c r="E2559" s="43" t="s">
        <v>91</v>
      </c>
      <c r="F2559" s="42" t="s">
        <v>11469</v>
      </c>
      <c r="G2559" t="s">
        <v>13197</v>
      </c>
    </row>
    <row r="2560" spans="1:7" x14ac:dyDescent="0.3">
      <c r="A2560" s="42" t="s">
        <v>2547</v>
      </c>
      <c r="B2560" s="42" t="s">
        <v>2767</v>
      </c>
      <c r="C2560" s="42" t="s">
        <v>8300</v>
      </c>
      <c r="D2560" s="43" t="s">
        <v>91</v>
      </c>
      <c r="E2560" s="43" t="s">
        <v>91</v>
      </c>
      <c r="F2560" s="42" t="s">
        <v>11469</v>
      </c>
      <c r="G2560" t="s">
        <v>13197</v>
      </c>
    </row>
    <row r="2561" spans="1:7" x14ac:dyDescent="0.3">
      <c r="A2561" s="42" t="s">
        <v>2547</v>
      </c>
      <c r="B2561" s="42" t="s">
        <v>2768</v>
      </c>
      <c r="C2561" s="42" t="s">
        <v>8301</v>
      </c>
      <c r="D2561" s="43" t="s">
        <v>91</v>
      </c>
      <c r="E2561" s="43" t="s">
        <v>91</v>
      </c>
      <c r="F2561" s="42" t="s">
        <v>11469</v>
      </c>
      <c r="G2561" t="s">
        <v>13197</v>
      </c>
    </row>
    <row r="2562" spans="1:7" x14ac:dyDescent="0.3">
      <c r="A2562" s="42" t="s">
        <v>2547</v>
      </c>
      <c r="B2562" s="42" t="s">
        <v>2769</v>
      </c>
      <c r="C2562" s="42" t="s">
        <v>8302</v>
      </c>
      <c r="D2562" s="43" t="s">
        <v>91</v>
      </c>
      <c r="E2562" s="43" t="s">
        <v>91</v>
      </c>
      <c r="F2562" s="42" t="s">
        <v>11469</v>
      </c>
      <c r="G2562" t="s">
        <v>13198</v>
      </c>
    </row>
    <row r="2563" spans="1:7" x14ac:dyDescent="0.3">
      <c r="A2563" s="42" t="s">
        <v>2547</v>
      </c>
      <c r="B2563" s="42" t="s">
        <v>2420</v>
      </c>
      <c r="C2563" s="42" t="s">
        <v>8303</v>
      </c>
      <c r="D2563" s="43" t="s">
        <v>91</v>
      </c>
      <c r="E2563" s="43" t="s">
        <v>91</v>
      </c>
      <c r="F2563" s="42" t="s">
        <v>11469</v>
      </c>
      <c r="G2563" t="s">
        <v>13197</v>
      </c>
    </row>
    <row r="2564" spans="1:7" x14ac:dyDescent="0.3">
      <c r="A2564" s="42" t="s">
        <v>2547</v>
      </c>
      <c r="B2564" s="42" t="s">
        <v>2770</v>
      </c>
      <c r="C2564" s="42" t="s">
        <v>8304</v>
      </c>
      <c r="D2564" s="43" t="s">
        <v>91</v>
      </c>
      <c r="E2564" s="43" t="s">
        <v>91</v>
      </c>
      <c r="F2564" s="42" t="s">
        <v>11469</v>
      </c>
      <c r="G2564" t="s">
        <v>13197</v>
      </c>
    </row>
    <row r="2565" spans="1:7" x14ac:dyDescent="0.3">
      <c r="A2565" s="42" t="s">
        <v>2547</v>
      </c>
      <c r="B2565" s="42" t="s">
        <v>2421</v>
      </c>
      <c r="C2565" s="42" t="s">
        <v>8305</v>
      </c>
      <c r="D2565" s="43" t="s">
        <v>91</v>
      </c>
      <c r="E2565" s="43" t="s">
        <v>91</v>
      </c>
      <c r="F2565" s="42" t="s">
        <v>137</v>
      </c>
      <c r="G2565" t="s">
        <v>13197</v>
      </c>
    </row>
    <row r="2566" spans="1:7" x14ac:dyDescent="0.3">
      <c r="A2566" s="42" t="s">
        <v>2547</v>
      </c>
      <c r="B2566" s="42" t="s">
        <v>2771</v>
      </c>
      <c r="C2566" s="42" t="s">
        <v>8306</v>
      </c>
      <c r="D2566" s="43" t="s">
        <v>91</v>
      </c>
      <c r="E2566" s="43" t="s">
        <v>91</v>
      </c>
      <c r="F2566" s="42" t="s">
        <v>11469</v>
      </c>
      <c r="G2566" t="s">
        <v>13197</v>
      </c>
    </row>
    <row r="2567" spans="1:7" x14ac:dyDescent="0.3">
      <c r="A2567" s="42" t="s">
        <v>2547</v>
      </c>
      <c r="B2567" s="42" t="s">
        <v>2772</v>
      </c>
      <c r="C2567" s="42" t="s">
        <v>8307</v>
      </c>
      <c r="D2567" s="43" t="s">
        <v>91</v>
      </c>
      <c r="E2567" s="43" t="s">
        <v>91</v>
      </c>
      <c r="F2567" s="42" t="s">
        <v>11469</v>
      </c>
      <c r="G2567" t="s">
        <v>13197</v>
      </c>
    </row>
    <row r="2568" spans="1:7" x14ac:dyDescent="0.3">
      <c r="A2568" s="42" t="s">
        <v>2547</v>
      </c>
      <c r="B2568" s="42" t="s">
        <v>2773</v>
      </c>
      <c r="C2568" s="42" t="s">
        <v>8308</v>
      </c>
      <c r="D2568" s="43" t="s">
        <v>91</v>
      </c>
      <c r="E2568" s="43" t="s">
        <v>91</v>
      </c>
      <c r="F2568" s="42" t="s">
        <v>11469</v>
      </c>
      <c r="G2568" t="s">
        <v>13197</v>
      </c>
    </row>
    <row r="2569" spans="1:7" x14ac:dyDescent="0.3">
      <c r="A2569" s="42" t="s">
        <v>2547</v>
      </c>
      <c r="B2569" s="42" t="s">
        <v>2774</v>
      </c>
      <c r="C2569" s="42" t="s">
        <v>8309</v>
      </c>
      <c r="D2569" s="43" t="s">
        <v>91</v>
      </c>
      <c r="E2569" s="43" t="s">
        <v>91</v>
      </c>
      <c r="F2569" s="42" t="s">
        <v>11469</v>
      </c>
      <c r="G2569" t="s">
        <v>13197</v>
      </c>
    </row>
    <row r="2570" spans="1:7" x14ac:dyDescent="0.3">
      <c r="A2570" s="42" t="s">
        <v>2547</v>
      </c>
      <c r="B2570" s="42" t="s">
        <v>2775</v>
      </c>
      <c r="C2570" s="42" t="s">
        <v>8310</v>
      </c>
      <c r="D2570" s="43" t="s">
        <v>91</v>
      </c>
      <c r="E2570" s="43" t="s">
        <v>91</v>
      </c>
      <c r="F2570" s="42" t="s">
        <v>11469</v>
      </c>
      <c r="G2570" t="s">
        <v>13197</v>
      </c>
    </row>
    <row r="2571" spans="1:7" x14ac:dyDescent="0.3">
      <c r="A2571" s="42" t="s">
        <v>2547</v>
      </c>
      <c r="B2571" s="42" t="s">
        <v>2776</v>
      </c>
      <c r="C2571" s="42" t="s">
        <v>8311</v>
      </c>
      <c r="D2571" s="43" t="s">
        <v>91</v>
      </c>
      <c r="E2571" s="43" t="s">
        <v>91</v>
      </c>
      <c r="F2571" s="42" t="s">
        <v>11469</v>
      </c>
      <c r="G2571" t="s">
        <v>13197</v>
      </c>
    </row>
    <row r="2572" spans="1:7" x14ac:dyDescent="0.3">
      <c r="A2572" s="42" t="s">
        <v>2547</v>
      </c>
      <c r="B2572" s="42" t="s">
        <v>2777</v>
      </c>
      <c r="C2572" s="42" t="s">
        <v>8312</v>
      </c>
      <c r="D2572" s="43" t="s">
        <v>91</v>
      </c>
      <c r="E2572" s="43" t="s">
        <v>91</v>
      </c>
      <c r="F2572" s="42" t="s">
        <v>11469</v>
      </c>
      <c r="G2572" t="s">
        <v>13197</v>
      </c>
    </row>
    <row r="2573" spans="1:7" x14ac:dyDescent="0.3">
      <c r="A2573" s="42" t="s">
        <v>2547</v>
      </c>
      <c r="B2573" s="42" t="s">
        <v>2778</v>
      </c>
      <c r="C2573" s="42" t="s">
        <v>8313</v>
      </c>
      <c r="D2573" s="43" t="s">
        <v>91</v>
      </c>
      <c r="E2573" s="43" t="s">
        <v>91</v>
      </c>
      <c r="F2573" s="42" t="s">
        <v>192</v>
      </c>
      <c r="G2573" t="s">
        <v>13196</v>
      </c>
    </row>
    <row r="2574" spans="1:7" x14ac:dyDescent="0.3">
      <c r="A2574" s="42" t="s">
        <v>2547</v>
      </c>
      <c r="B2574" s="42" t="s">
        <v>2779</v>
      </c>
      <c r="C2574" s="42" t="s">
        <v>8314</v>
      </c>
      <c r="D2574" s="43" t="s">
        <v>91</v>
      </c>
      <c r="E2574" s="43" t="s">
        <v>91</v>
      </c>
      <c r="F2574" s="42" t="s">
        <v>11469</v>
      </c>
      <c r="G2574" t="s">
        <v>13197</v>
      </c>
    </row>
    <row r="2575" spans="1:7" x14ac:dyDescent="0.3">
      <c r="A2575" s="42" t="s">
        <v>2547</v>
      </c>
      <c r="B2575" s="42" t="s">
        <v>2780</v>
      </c>
      <c r="C2575" s="42" t="s">
        <v>8315</v>
      </c>
      <c r="D2575" s="43" t="s">
        <v>91</v>
      </c>
      <c r="E2575" s="43" t="s">
        <v>91</v>
      </c>
      <c r="F2575" s="42" t="s">
        <v>11469</v>
      </c>
      <c r="G2575" t="s">
        <v>13197</v>
      </c>
    </row>
    <row r="2576" spans="1:7" x14ac:dyDescent="0.3">
      <c r="A2576" s="42" t="s">
        <v>2547</v>
      </c>
      <c r="B2576" s="42" t="s">
        <v>1961</v>
      </c>
      <c r="C2576" s="42" t="s">
        <v>8316</v>
      </c>
      <c r="D2576" s="43" t="s">
        <v>91</v>
      </c>
      <c r="E2576" s="43" t="s">
        <v>91</v>
      </c>
      <c r="F2576" s="42" t="s">
        <v>11469</v>
      </c>
      <c r="G2576" t="s">
        <v>13197</v>
      </c>
    </row>
    <row r="2577" spans="1:7" x14ac:dyDescent="0.3">
      <c r="A2577" s="42" t="s">
        <v>2547</v>
      </c>
      <c r="B2577" s="42" t="s">
        <v>2781</v>
      </c>
      <c r="C2577" s="42" t="s">
        <v>8317</v>
      </c>
      <c r="D2577" s="43" t="s">
        <v>91</v>
      </c>
      <c r="E2577" s="43" t="s">
        <v>91</v>
      </c>
      <c r="F2577" s="42" t="s">
        <v>11469</v>
      </c>
      <c r="G2577" t="s">
        <v>13197</v>
      </c>
    </row>
    <row r="2578" spans="1:7" x14ac:dyDescent="0.3">
      <c r="A2578" s="42" t="s">
        <v>2547</v>
      </c>
      <c r="B2578" s="42" t="s">
        <v>2782</v>
      </c>
      <c r="C2578" s="42" t="s">
        <v>8318</v>
      </c>
      <c r="D2578" s="43" t="s">
        <v>91</v>
      </c>
      <c r="E2578" s="43" t="s">
        <v>91</v>
      </c>
      <c r="F2578" s="42" t="s">
        <v>11469</v>
      </c>
      <c r="G2578" t="s">
        <v>13197</v>
      </c>
    </row>
    <row r="2579" spans="1:7" x14ac:dyDescent="0.3">
      <c r="A2579" s="42" t="s">
        <v>2547</v>
      </c>
      <c r="B2579" s="42" t="s">
        <v>1390</v>
      </c>
      <c r="C2579" s="42" t="s">
        <v>8319</v>
      </c>
      <c r="D2579" s="43" t="s">
        <v>91</v>
      </c>
      <c r="E2579" s="43" t="s">
        <v>91</v>
      </c>
      <c r="F2579" s="42" t="s">
        <v>11469</v>
      </c>
      <c r="G2579" t="s">
        <v>13197</v>
      </c>
    </row>
    <row r="2580" spans="1:7" x14ac:dyDescent="0.3">
      <c r="A2580" s="42" t="s">
        <v>2547</v>
      </c>
      <c r="B2580" s="42" t="s">
        <v>2783</v>
      </c>
      <c r="C2580" s="42" t="s">
        <v>8320</v>
      </c>
      <c r="D2580" s="43" t="s">
        <v>91</v>
      </c>
      <c r="E2580" s="43" t="s">
        <v>91</v>
      </c>
      <c r="F2580" s="42" t="s">
        <v>11469</v>
      </c>
      <c r="G2580" t="s">
        <v>13197</v>
      </c>
    </row>
    <row r="2581" spans="1:7" x14ac:dyDescent="0.3">
      <c r="A2581" s="42" t="s">
        <v>2547</v>
      </c>
      <c r="B2581" s="42" t="s">
        <v>2784</v>
      </c>
      <c r="C2581" s="42" t="s">
        <v>8321</v>
      </c>
      <c r="D2581" s="43" t="s">
        <v>91</v>
      </c>
      <c r="E2581" s="43" t="s">
        <v>91</v>
      </c>
      <c r="F2581" s="42" t="s">
        <v>192</v>
      </c>
      <c r="G2581" t="s">
        <v>13196</v>
      </c>
    </row>
    <row r="2582" spans="1:7" x14ac:dyDescent="0.3">
      <c r="A2582" s="42" t="s">
        <v>2547</v>
      </c>
      <c r="B2582" s="42" t="s">
        <v>2785</v>
      </c>
      <c r="C2582" s="42" t="s">
        <v>8322</v>
      </c>
      <c r="D2582" s="43" t="s">
        <v>91</v>
      </c>
      <c r="E2582" s="43" t="s">
        <v>91</v>
      </c>
      <c r="F2582" s="42" t="s">
        <v>11469</v>
      </c>
      <c r="G2582" t="s">
        <v>13197</v>
      </c>
    </row>
    <row r="2583" spans="1:7" x14ac:dyDescent="0.3">
      <c r="A2583" s="42" t="s">
        <v>2547</v>
      </c>
      <c r="B2583" s="42" t="s">
        <v>2786</v>
      </c>
      <c r="C2583" s="42" t="s">
        <v>8323</v>
      </c>
      <c r="D2583" s="43" t="s">
        <v>91</v>
      </c>
      <c r="E2583" s="43" t="s">
        <v>91</v>
      </c>
      <c r="F2583" s="42" t="s">
        <v>11469</v>
      </c>
      <c r="G2583" t="s">
        <v>13197</v>
      </c>
    </row>
    <row r="2584" spans="1:7" x14ac:dyDescent="0.3">
      <c r="A2584" s="42" t="s">
        <v>2547</v>
      </c>
      <c r="B2584" s="42" t="s">
        <v>2787</v>
      </c>
      <c r="C2584" s="42" t="s">
        <v>8324</v>
      </c>
      <c r="D2584" s="43" t="s">
        <v>91</v>
      </c>
      <c r="E2584" s="43" t="s">
        <v>91</v>
      </c>
      <c r="F2584" s="42" t="s">
        <v>192</v>
      </c>
      <c r="G2584" t="s">
        <v>13196</v>
      </c>
    </row>
    <row r="2585" spans="1:7" x14ac:dyDescent="0.3">
      <c r="A2585" s="42" t="s">
        <v>2547</v>
      </c>
      <c r="B2585" s="42" t="s">
        <v>2788</v>
      </c>
      <c r="C2585" s="42" t="s">
        <v>8325</v>
      </c>
      <c r="D2585" s="43" t="s">
        <v>91</v>
      </c>
      <c r="E2585" s="43" t="s">
        <v>91</v>
      </c>
      <c r="F2585" s="42" t="s">
        <v>11469</v>
      </c>
      <c r="G2585" t="s">
        <v>13197</v>
      </c>
    </row>
    <row r="2586" spans="1:7" x14ac:dyDescent="0.3">
      <c r="A2586" s="42" t="s">
        <v>2547</v>
      </c>
      <c r="B2586" s="42" t="s">
        <v>2789</v>
      </c>
      <c r="C2586" s="42" t="s">
        <v>8326</v>
      </c>
      <c r="D2586" s="43" t="s">
        <v>91</v>
      </c>
      <c r="E2586" s="43" t="s">
        <v>91</v>
      </c>
      <c r="F2586" s="42" t="s">
        <v>11469</v>
      </c>
      <c r="G2586" t="s">
        <v>13197</v>
      </c>
    </row>
    <row r="2587" spans="1:7" x14ac:dyDescent="0.3">
      <c r="A2587" s="42" t="s">
        <v>2547</v>
      </c>
      <c r="B2587" s="42" t="s">
        <v>2790</v>
      </c>
      <c r="C2587" s="42" t="s">
        <v>8327</v>
      </c>
      <c r="D2587" s="43" t="s">
        <v>91</v>
      </c>
      <c r="E2587" s="43" t="s">
        <v>91</v>
      </c>
      <c r="F2587" s="42" t="s">
        <v>11469</v>
      </c>
      <c r="G2587" t="s">
        <v>13197</v>
      </c>
    </row>
    <row r="2588" spans="1:7" x14ac:dyDescent="0.3">
      <c r="A2588" s="42" t="s">
        <v>2547</v>
      </c>
      <c r="B2588" s="42" t="s">
        <v>2791</v>
      </c>
      <c r="C2588" s="42" t="s">
        <v>8328</v>
      </c>
      <c r="D2588" s="43" t="s">
        <v>91</v>
      </c>
      <c r="E2588" s="43" t="s">
        <v>91</v>
      </c>
      <c r="F2588" s="42" t="s">
        <v>11469</v>
      </c>
      <c r="G2588" t="s">
        <v>13197</v>
      </c>
    </row>
    <row r="2589" spans="1:7" x14ac:dyDescent="0.3">
      <c r="A2589" s="42" t="s">
        <v>2547</v>
      </c>
      <c r="B2589" s="42" t="s">
        <v>2792</v>
      </c>
      <c r="C2589" s="42" t="s">
        <v>8329</v>
      </c>
      <c r="D2589" s="43" t="s">
        <v>91</v>
      </c>
      <c r="E2589" s="43" t="s">
        <v>91</v>
      </c>
      <c r="F2589" s="42" t="s">
        <v>192</v>
      </c>
      <c r="G2589" t="s">
        <v>13196</v>
      </c>
    </row>
    <row r="2590" spans="1:7" x14ac:dyDescent="0.3">
      <c r="A2590" s="42" t="s">
        <v>1760</v>
      </c>
      <c r="B2590" s="42" t="s">
        <v>2793</v>
      </c>
      <c r="C2590" s="42" t="s">
        <v>8330</v>
      </c>
      <c r="D2590" s="43" t="s">
        <v>228</v>
      </c>
      <c r="E2590" s="43" t="s">
        <v>1430</v>
      </c>
      <c r="F2590" s="42" t="s">
        <v>11469</v>
      </c>
      <c r="G2590" t="s">
        <v>13197</v>
      </c>
    </row>
    <row r="2591" spans="1:7" x14ac:dyDescent="0.3">
      <c r="A2591" s="42" t="s">
        <v>2547</v>
      </c>
      <c r="B2591" s="42" t="s">
        <v>2794</v>
      </c>
      <c r="C2591" s="42" t="s">
        <v>8331</v>
      </c>
      <c r="D2591" s="43" t="s">
        <v>91</v>
      </c>
      <c r="E2591" s="43" t="s">
        <v>91</v>
      </c>
      <c r="F2591" s="42" t="s">
        <v>11469</v>
      </c>
      <c r="G2591" t="s">
        <v>13197</v>
      </c>
    </row>
    <row r="2592" spans="1:7" x14ac:dyDescent="0.3">
      <c r="A2592" s="42" t="s">
        <v>2547</v>
      </c>
      <c r="B2592" s="42" t="s">
        <v>2795</v>
      </c>
      <c r="C2592" s="42" t="s">
        <v>8332</v>
      </c>
      <c r="D2592" s="43" t="s">
        <v>91</v>
      </c>
      <c r="E2592" s="43" t="s">
        <v>91</v>
      </c>
      <c r="F2592" s="42" t="s">
        <v>11469</v>
      </c>
      <c r="G2592" t="s">
        <v>13197</v>
      </c>
    </row>
    <row r="2593" spans="1:7" x14ac:dyDescent="0.3">
      <c r="A2593" s="42" t="s">
        <v>2547</v>
      </c>
      <c r="B2593" s="42" t="s">
        <v>2796</v>
      </c>
      <c r="C2593" s="42" t="s">
        <v>8333</v>
      </c>
      <c r="D2593" s="43" t="s">
        <v>91</v>
      </c>
      <c r="E2593" s="43" t="s">
        <v>91</v>
      </c>
      <c r="F2593" s="42" t="s">
        <v>11469</v>
      </c>
      <c r="G2593" t="s">
        <v>13197</v>
      </c>
    </row>
    <row r="2594" spans="1:7" x14ac:dyDescent="0.3">
      <c r="A2594" s="42" t="s">
        <v>2547</v>
      </c>
      <c r="B2594" s="42" t="s">
        <v>2797</v>
      </c>
      <c r="C2594" s="42" t="s">
        <v>8334</v>
      </c>
      <c r="D2594" s="43" t="s">
        <v>91</v>
      </c>
      <c r="E2594" s="43" t="s">
        <v>91</v>
      </c>
      <c r="F2594" s="42" t="s">
        <v>11469</v>
      </c>
      <c r="G2594" t="s">
        <v>13197</v>
      </c>
    </row>
    <row r="2595" spans="1:7" x14ac:dyDescent="0.3">
      <c r="A2595" s="42" t="s">
        <v>2547</v>
      </c>
      <c r="B2595" s="42" t="s">
        <v>2798</v>
      </c>
      <c r="C2595" s="42" t="s">
        <v>8335</v>
      </c>
      <c r="D2595" s="43" t="s">
        <v>91</v>
      </c>
      <c r="E2595" s="43" t="s">
        <v>91</v>
      </c>
      <c r="F2595" s="42" t="s">
        <v>11469</v>
      </c>
      <c r="G2595" t="s">
        <v>13197</v>
      </c>
    </row>
    <row r="2596" spans="1:7" x14ac:dyDescent="0.3">
      <c r="A2596" s="42" t="s">
        <v>2547</v>
      </c>
      <c r="B2596" s="42" t="s">
        <v>2799</v>
      </c>
      <c r="C2596" s="42" t="s">
        <v>8336</v>
      </c>
      <c r="D2596" s="43" t="s">
        <v>91</v>
      </c>
      <c r="E2596" s="43" t="s">
        <v>91</v>
      </c>
      <c r="F2596" s="42" t="s">
        <v>11469</v>
      </c>
      <c r="G2596" t="s">
        <v>13197</v>
      </c>
    </row>
    <row r="2597" spans="1:7" x14ac:dyDescent="0.3">
      <c r="A2597" s="42" t="s">
        <v>2547</v>
      </c>
      <c r="B2597" s="42" t="s">
        <v>2800</v>
      </c>
      <c r="C2597" s="42" t="s">
        <v>8337</v>
      </c>
      <c r="D2597" s="43" t="s">
        <v>91</v>
      </c>
      <c r="E2597" s="43" t="s">
        <v>91</v>
      </c>
      <c r="F2597" s="42" t="s">
        <v>11469</v>
      </c>
      <c r="G2597" t="s">
        <v>13197</v>
      </c>
    </row>
    <row r="2598" spans="1:7" x14ac:dyDescent="0.3">
      <c r="A2598" s="42" t="s">
        <v>2547</v>
      </c>
      <c r="B2598" s="42" t="s">
        <v>2801</v>
      </c>
      <c r="C2598" s="42" t="s">
        <v>8338</v>
      </c>
      <c r="D2598" s="43" t="s">
        <v>91</v>
      </c>
      <c r="E2598" s="43" t="s">
        <v>91</v>
      </c>
      <c r="F2598" s="42" t="s">
        <v>11469</v>
      </c>
      <c r="G2598" t="s">
        <v>13197</v>
      </c>
    </row>
    <row r="2599" spans="1:7" x14ac:dyDescent="0.3">
      <c r="A2599" s="42" t="s">
        <v>2547</v>
      </c>
      <c r="B2599" s="42" t="s">
        <v>2802</v>
      </c>
      <c r="C2599" s="42" t="s">
        <v>8339</v>
      </c>
      <c r="D2599" s="43" t="s">
        <v>91</v>
      </c>
      <c r="E2599" s="43" t="s">
        <v>91</v>
      </c>
      <c r="F2599" s="42" t="s">
        <v>11469</v>
      </c>
      <c r="G2599" t="s">
        <v>13197</v>
      </c>
    </row>
    <row r="2600" spans="1:7" x14ac:dyDescent="0.3">
      <c r="A2600" s="42" t="s">
        <v>2547</v>
      </c>
      <c r="B2600" s="42" t="s">
        <v>2803</v>
      </c>
      <c r="C2600" s="42" t="s">
        <v>8340</v>
      </c>
      <c r="D2600" s="43" t="s">
        <v>91</v>
      </c>
      <c r="E2600" s="43" t="s">
        <v>91</v>
      </c>
      <c r="F2600" s="42" t="s">
        <v>11469</v>
      </c>
      <c r="G2600" t="s">
        <v>13197</v>
      </c>
    </row>
    <row r="2601" spans="1:7" x14ac:dyDescent="0.3">
      <c r="A2601" s="42" t="s">
        <v>2547</v>
      </c>
      <c r="B2601" s="42" t="s">
        <v>2804</v>
      </c>
      <c r="C2601" s="42" t="s">
        <v>8341</v>
      </c>
      <c r="D2601" s="43" t="s">
        <v>91</v>
      </c>
      <c r="E2601" s="43" t="s">
        <v>91</v>
      </c>
      <c r="F2601" s="42" t="s">
        <v>11469</v>
      </c>
      <c r="G2601" t="s">
        <v>13197</v>
      </c>
    </row>
    <row r="2602" spans="1:7" x14ac:dyDescent="0.3">
      <c r="A2602" s="42" t="s">
        <v>2547</v>
      </c>
      <c r="B2602" s="42" t="s">
        <v>2805</v>
      </c>
      <c r="C2602" s="42" t="s">
        <v>8342</v>
      </c>
      <c r="D2602" s="43" t="s">
        <v>91</v>
      </c>
      <c r="E2602" s="43" t="s">
        <v>91</v>
      </c>
      <c r="F2602" s="42" t="s">
        <v>192</v>
      </c>
      <c r="G2602" t="s">
        <v>13196</v>
      </c>
    </row>
    <row r="2603" spans="1:7" x14ac:dyDescent="0.3">
      <c r="A2603" s="42" t="s">
        <v>2547</v>
      </c>
      <c r="B2603" s="42" t="s">
        <v>2806</v>
      </c>
      <c r="C2603" s="42" t="s">
        <v>8343</v>
      </c>
      <c r="D2603" s="43" t="s">
        <v>91</v>
      </c>
      <c r="E2603" s="43" t="s">
        <v>91</v>
      </c>
      <c r="F2603" s="42" t="s">
        <v>11469</v>
      </c>
      <c r="G2603" t="s">
        <v>13197</v>
      </c>
    </row>
    <row r="2604" spans="1:7" x14ac:dyDescent="0.3">
      <c r="A2604" s="42" t="s">
        <v>2547</v>
      </c>
      <c r="B2604" s="42" t="s">
        <v>2807</v>
      </c>
      <c r="C2604" s="42" t="s">
        <v>8344</v>
      </c>
      <c r="D2604" s="43" t="s">
        <v>91</v>
      </c>
      <c r="E2604" s="43" t="s">
        <v>91</v>
      </c>
      <c r="F2604" s="42" t="s">
        <v>11469</v>
      </c>
      <c r="G2604" t="s">
        <v>13197</v>
      </c>
    </row>
    <row r="2605" spans="1:7" x14ac:dyDescent="0.3">
      <c r="A2605" s="42" t="s">
        <v>2547</v>
      </c>
      <c r="B2605" s="42" t="s">
        <v>2808</v>
      </c>
      <c r="C2605" s="42" t="s">
        <v>8345</v>
      </c>
      <c r="D2605" s="43" t="s">
        <v>91</v>
      </c>
      <c r="E2605" s="43" t="s">
        <v>91</v>
      </c>
      <c r="F2605" s="42" t="s">
        <v>11469</v>
      </c>
      <c r="G2605" t="s">
        <v>13197</v>
      </c>
    </row>
    <row r="2606" spans="1:7" x14ac:dyDescent="0.3">
      <c r="A2606" s="42" t="s">
        <v>2547</v>
      </c>
      <c r="B2606" s="42" t="s">
        <v>2809</v>
      </c>
      <c r="C2606" s="42" t="s">
        <v>8346</v>
      </c>
      <c r="D2606" s="43" t="s">
        <v>91</v>
      </c>
      <c r="E2606" s="43" t="s">
        <v>91</v>
      </c>
      <c r="F2606" s="42" t="s">
        <v>11469</v>
      </c>
      <c r="G2606" t="s">
        <v>13197</v>
      </c>
    </row>
    <row r="2607" spans="1:7" x14ac:dyDescent="0.3">
      <c r="A2607" s="42" t="s">
        <v>2547</v>
      </c>
      <c r="B2607" s="42" t="s">
        <v>2810</v>
      </c>
      <c r="C2607" s="42" t="s">
        <v>8347</v>
      </c>
      <c r="D2607" s="43" t="s">
        <v>91</v>
      </c>
      <c r="E2607" s="43" t="s">
        <v>91</v>
      </c>
      <c r="F2607" s="42" t="s">
        <v>11469</v>
      </c>
      <c r="G2607" t="s">
        <v>13197</v>
      </c>
    </row>
    <row r="2608" spans="1:7" x14ac:dyDescent="0.3">
      <c r="A2608" s="42" t="s">
        <v>2547</v>
      </c>
      <c r="B2608" s="42" t="s">
        <v>2811</v>
      </c>
      <c r="C2608" s="42" t="s">
        <v>8348</v>
      </c>
      <c r="D2608" s="43" t="s">
        <v>91</v>
      </c>
      <c r="E2608" s="43" t="s">
        <v>91</v>
      </c>
      <c r="F2608" s="42" t="s">
        <v>11469</v>
      </c>
      <c r="G2608" t="s">
        <v>13198</v>
      </c>
    </row>
    <row r="2609" spans="1:7" x14ac:dyDescent="0.3">
      <c r="A2609" s="42" t="s">
        <v>2547</v>
      </c>
      <c r="B2609" s="42" t="s">
        <v>2812</v>
      </c>
      <c r="C2609" s="42" t="s">
        <v>8349</v>
      </c>
      <c r="D2609" s="43" t="s">
        <v>91</v>
      </c>
      <c r="E2609" s="43" t="s">
        <v>91</v>
      </c>
      <c r="F2609" s="42" t="s">
        <v>11469</v>
      </c>
      <c r="G2609" t="s">
        <v>13197</v>
      </c>
    </row>
    <row r="2610" spans="1:7" x14ac:dyDescent="0.3">
      <c r="A2610" s="42" t="s">
        <v>2547</v>
      </c>
      <c r="B2610" s="42" t="s">
        <v>2813</v>
      </c>
      <c r="C2610" s="42" t="s">
        <v>8350</v>
      </c>
      <c r="D2610" s="43" t="s">
        <v>91</v>
      </c>
      <c r="E2610" s="43" t="s">
        <v>91</v>
      </c>
      <c r="F2610" s="42" t="s">
        <v>192</v>
      </c>
      <c r="G2610" t="s">
        <v>13196</v>
      </c>
    </row>
    <row r="2611" spans="1:7" x14ac:dyDescent="0.3">
      <c r="A2611" s="42" t="s">
        <v>2547</v>
      </c>
      <c r="B2611" s="42" t="s">
        <v>2814</v>
      </c>
      <c r="C2611" s="42" t="s">
        <v>8351</v>
      </c>
      <c r="D2611" s="43" t="s">
        <v>91</v>
      </c>
      <c r="E2611" s="43" t="s">
        <v>91</v>
      </c>
      <c r="F2611" s="42" t="s">
        <v>11469</v>
      </c>
      <c r="G2611" t="s">
        <v>13197</v>
      </c>
    </row>
    <row r="2612" spans="1:7" x14ac:dyDescent="0.3">
      <c r="A2612" s="42" t="s">
        <v>2547</v>
      </c>
      <c r="B2612" s="42" t="s">
        <v>2815</v>
      </c>
      <c r="C2612" s="42" t="s">
        <v>8352</v>
      </c>
      <c r="D2612" s="43" t="s">
        <v>91</v>
      </c>
      <c r="E2612" s="43" t="s">
        <v>91</v>
      </c>
      <c r="F2612" s="42" t="s">
        <v>11469</v>
      </c>
      <c r="G2612" t="s">
        <v>13197</v>
      </c>
    </row>
    <row r="2613" spans="1:7" x14ac:dyDescent="0.3">
      <c r="A2613" s="42" t="s">
        <v>2547</v>
      </c>
      <c r="B2613" s="42" t="s">
        <v>2816</v>
      </c>
      <c r="C2613" s="42" t="s">
        <v>8353</v>
      </c>
      <c r="D2613" s="43" t="s">
        <v>91</v>
      </c>
      <c r="E2613" s="43" t="s">
        <v>91</v>
      </c>
      <c r="F2613" s="42" t="s">
        <v>11469</v>
      </c>
      <c r="G2613" t="s">
        <v>13197</v>
      </c>
    </row>
    <row r="2614" spans="1:7" x14ac:dyDescent="0.3">
      <c r="A2614" s="42" t="s">
        <v>2817</v>
      </c>
      <c r="B2614" s="42" t="s">
        <v>2818</v>
      </c>
      <c r="C2614" s="42" t="s">
        <v>8354</v>
      </c>
      <c r="D2614" s="43" t="s">
        <v>231</v>
      </c>
      <c r="E2614" s="43" t="s">
        <v>92</v>
      </c>
      <c r="F2614" s="42" t="s">
        <v>11469</v>
      </c>
      <c r="G2614" t="s">
        <v>13197</v>
      </c>
    </row>
    <row r="2615" spans="1:7" x14ac:dyDescent="0.3">
      <c r="A2615" s="42" t="s">
        <v>2817</v>
      </c>
      <c r="B2615" s="42" t="s">
        <v>2819</v>
      </c>
      <c r="C2615" s="42" t="s">
        <v>8355</v>
      </c>
      <c r="D2615" s="43" t="s">
        <v>231</v>
      </c>
      <c r="E2615" s="43" t="s">
        <v>92</v>
      </c>
      <c r="F2615" s="42" t="s">
        <v>11469</v>
      </c>
      <c r="G2615" t="s">
        <v>13197</v>
      </c>
    </row>
    <row r="2616" spans="1:7" x14ac:dyDescent="0.3">
      <c r="A2616" s="42" t="s">
        <v>2817</v>
      </c>
      <c r="B2616" s="42" t="s">
        <v>2820</v>
      </c>
      <c r="C2616" s="42" t="s">
        <v>8356</v>
      </c>
      <c r="D2616" s="43" t="s">
        <v>231</v>
      </c>
      <c r="E2616" s="43" t="s">
        <v>92</v>
      </c>
      <c r="F2616" s="42" t="s">
        <v>11469</v>
      </c>
      <c r="G2616" t="s">
        <v>13197</v>
      </c>
    </row>
    <row r="2617" spans="1:7" x14ac:dyDescent="0.3">
      <c r="A2617" s="42" t="s">
        <v>2817</v>
      </c>
      <c r="B2617" s="42" t="s">
        <v>2821</v>
      </c>
      <c r="C2617" s="42" t="s">
        <v>8357</v>
      </c>
      <c r="D2617" s="43" t="s">
        <v>231</v>
      </c>
      <c r="E2617" s="43" t="s">
        <v>92</v>
      </c>
      <c r="F2617" s="42" t="s">
        <v>11469</v>
      </c>
      <c r="G2617" t="s">
        <v>13197</v>
      </c>
    </row>
    <row r="2618" spans="1:7" x14ac:dyDescent="0.3">
      <c r="A2618" s="42" t="s">
        <v>2817</v>
      </c>
      <c r="B2618" s="42" t="s">
        <v>2822</v>
      </c>
      <c r="C2618" s="42" t="s">
        <v>8358</v>
      </c>
      <c r="D2618" s="43" t="s">
        <v>231</v>
      </c>
      <c r="E2618" s="43" t="s">
        <v>92</v>
      </c>
      <c r="F2618" s="42" t="s">
        <v>11469</v>
      </c>
      <c r="G2618" t="s">
        <v>13200</v>
      </c>
    </row>
    <row r="2619" spans="1:7" x14ac:dyDescent="0.3">
      <c r="A2619" s="42" t="s">
        <v>2817</v>
      </c>
      <c r="B2619" s="42" t="s">
        <v>2823</v>
      </c>
      <c r="C2619" s="42" t="s">
        <v>8359</v>
      </c>
      <c r="D2619" s="43" t="s">
        <v>231</v>
      </c>
      <c r="E2619" s="43" t="s">
        <v>92</v>
      </c>
      <c r="F2619" s="42" t="s">
        <v>11469</v>
      </c>
      <c r="G2619" t="s">
        <v>13197</v>
      </c>
    </row>
    <row r="2620" spans="1:7" x14ac:dyDescent="0.3">
      <c r="A2620" s="42" t="s">
        <v>2817</v>
      </c>
      <c r="B2620" s="42" t="s">
        <v>2824</v>
      </c>
      <c r="C2620" s="42" t="s">
        <v>8360</v>
      </c>
      <c r="D2620" s="43" t="s">
        <v>231</v>
      </c>
      <c r="E2620" s="43" t="s">
        <v>92</v>
      </c>
      <c r="F2620" s="42" t="s">
        <v>11469</v>
      </c>
      <c r="G2620" t="s">
        <v>13197</v>
      </c>
    </row>
    <row r="2621" spans="1:7" x14ac:dyDescent="0.3">
      <c r="A2621" s="42" t="s">
        <v>2817</v>
      </c>
      <c r="B2621" s="42" t="s">
        <v>2825</v>
      </c>
      <c r="C2621" s="42" t="s">
        <v>8361</v>
      </c>
      <c r="D2621" s="43" t="s">
        <v>231</v>
      </c>
      <c r="E2621" s="43" t="s">
        <v>92</v>
      </c>
      <c r="F2621" s="42" t="s">
        <v>11469</v>
      </c>
      <c r="G2621" t="s">
        <v>13197</v>
      </c>
    </row>
    <row r="2622" spans="1:7" x14ac:dyDescent="0.3">
      <c r="A2622" s="42" t="s">
        <v>2817</v>
      </c>
      <c r="B2622" s="42" t="s">
        <v>2826</v>
      </c>
      <c r="C2622" s="42" t="s">
        <v>8362</v>
      </c>
      <c r="D2622" s="43" t="s">
        <v>231</v>
      </c>
      <c r="E2622" s="43" t="s">
        <v>92</v>
      </c>
      <c r="F2622" s="42" t="s">
        <v>11469</v>
      </c>
      <c r="G2622" t="s">
        <v>13198</v>
      </c>
    </row>
    <row r="2623" spans="1:7" x14ac:dyDescent="0.3">
      <c r="A2623" s="42" t="s">
        <v>2817</v>
      </c>
      <c r="B2623" s="42" t="s">
        <v>2827</v>
      </c>
      <c r="C2623" s="42" t="s">
        <v>8363</v>
      </c>
      <c r="D2623" s="43" t="s">
        <v>231</v>
      </c>
      <c r="E2623" s="43" t="s">
        <v>92</v>
      </c>
      <c r="F2623" s="42" t="s">
        <v>11469</v>
      </c>
      <c r="G2623" t="s">
        <v>13197</v>
      </c>
    </row>
    <row r="2624" spans="1:7" x14ac:dyDescent="0.3">
      <c r="A2624" s="42" t="s">
        <v>2817</v>
      </c>
      <c r="B2624" s="42" t="s">
        <v>2828</v>
      </c>
      <c r="C2624" s="42" t="s">
        <v>8364</v>
      </c>
      <c r="D2624" s="43" t="s">
        <v>231</v>
      </c>
      <c r="E2624" s="43" t="s">
        <v>92</v>
      </c>
      <c r="F2624" s="42" t="s">
        <v>11469</v>
      </c>
      <c r="G2624" t="s">
        <v>13197</v>
      </c>
    </row>
    <row r="2625" spans="1:7" x14ac:dyDescent="0.3">
      <c r="A2625" s="42" t="s">
        <v>2817</v>
      </c>
      <c r="B2625" s="42" t="s">
        <v>2829</v>
      </c>
      <c r="C2625" s="42" t="s">
        <v>8365</v>
      </c>
      <c r="D2625" s="43" t="s">
        <v>89</v>
      </c>
      <c r="E2625" s="43" t="s">
        <v>1430</v>
      </c>
      <c r="F2625" s="42" t="s">
        <v>137</v>
      </c>
      <c r="G2625" t="s">
        <v>13197</v>
      </c>
    </row>
    <row r="2626" spans="1:7" x14ac:dyDescent="0.3">
      <c r="A2626" s="42" t="s">
        <v>2817</v>
      </c>
      <c r="B2626" s="42" t="s">
        <v>2830</v>
      </c>
      <c r="C2626" s="42" t="s">
        <v>8366</v>
      </c>
      <c r="D2626" s="43" t="s">
        <v>231</v>
      </c>
      <c r="E2626" s="43" t="s">
        <v>92</v>
      </c>
      <c r="F2626" s="42" t="s">
        <v>11469</v>
      </c>
      <c r="G2626" t="s">
        <v>13197</v>
      </c>
    </row>
    <row r="2627" spans="1:7" x14ac:dyDescent="0.3">
      <c r="A2627" s="42" t="s">
        <v>2817</v>
      </c>
      <c r="B2627" s="42" t="s">
        <v>2831</v>
      </c>
      <c r="C2627" s="42" t="s">
        <v>8367</v>
      </c>
      <c r="D2627" s="43" t="s">
        <v>231</v>
      </c>
      <c r="E2627" s="43" t="s">
        <v>92</v>
      </c>
      <c r="F2627" s="42" t="s">
        <v>192</v>
      </c>
      <c r="G2627" t="s">
        <v>13196</v>
      </c>
    </row>
    <row r="2628" spans="1:7" x14ac:dyDescent="0.3">
      <c r="A2628" s="42" t="s">
        <v>2817</v>
      </c>
      <c r="B2628" s="42" t="s">
        <v>2832</v>
      </c>
      <c r="C2628" s="42" t="s">
        <v>8368</v>
      </c>
      <c r="D2628" s="43" t="s">
        <v>231</v>
      </c>
      <c r="E2628" s="43" t="s">
        <v>92</v>
      </c>
      <c r="F2628" s="42" t="s">
        <v>192</v>
      </c>
      <c r="G2628" t="s">
        <v>13196</v>
      </c>
    </row>
    <row r="2629" spans="1:7" x14ac:dyDescent="0.3">
      <c r="A2629" s="42" t="s">
        <v>2817</v>
      </c>
      <c r="B2629" s="42" t="s">
        <v>2833</v>
      </c>
      <c r="C2629" s="42" t="s">
        <v>8369</v>
      </c>
      <c r="D2629" s="43" t="s">
        <v>231</v>
      </c>
      <c r="E2629" s="43" t="s">
        <v>92</v>
      </c>
      <c r="F2629" s="42" t="s">
        <v>11469</v>
      </c>
      <c r="G2629" t="s">
        <v>13197</v>
      </c>
    </row>
    <row r="2630" spans="1:7" x14ac:dyDescent="0.3">
      <c r="A2630" s="42" t="s">
        <v>2817</v>
      </c>
      <c r="B2630" s="42" t="s">
        <v>2834</v>
      </c>
      <c r="C2630" s="42" t="s">
        <v>8370</v>
      </c>
      <c r="D2630" s="43" t="s">
        <v>231</v>
      </c>
      <c r="E2630" s="43" t="s">
        <v>92</v>
      </c>
      <c r="F2630" s="42" t="s">
        <v>11469</v>
      </c>
      <c r="G2630" t="s">
        <v>13197</v>
      </c>
    </row>
    <row r="2631" spans="1:7" x14ac:dyDescent="0.3">
      <c r="A2631" s="42" t="s">
        <v>2817</v>
      </c>
      <c r="B2631" s="42" t="s">
        <v>2835</v>
      </c>
      <c r="C2631" s="42" t="s">
        <v>8371</v>
      </c>
      <c r="D2631" s="43" t="s">
        <v>89</v>
      </c>
      <c r="E2631" s="43" t="s">
        <v>1430</v>
      </c>
      <c r="F2631" s="42" t="s">
        <v>137</v>
      </c>
      <c r="G2631" t="s">
        <v>13197</v>
      </c>
    </row>
    <row r="2632" spans="1:7" x14ac:dyDescent="0.3">
      <c r="A2632" s="42" t="s">
        <v>2817</v>
      </c>
      <c r="B2632" s="42" t="s">
        <v>2836</v>
      </c>
      <c r="C2632" s="42" t="s">
        <v>8372</v>
      </c>
      <c r="D2632" s="43" t="s">
        <v>89</v>
      </c>
      <c r="E2632" s="43" t="s">
        <v>1430</v>
      </c>
      <c r="F2632" s="42" t="s">
        <v>137</v>
      </c>
      <c r="G2632" t="s">
        <v>13197</v>
      </c>
    </row>
    <row r="2633" spans="1:7" x14ac:dyDescent="0.3">
      <c r="A2633" s="42" t="s">
        <v>2817</v>
      </c>
      <c r="B2633" s="42" t="s">
        <v>2837</v>
      </c>
      <c r="C2633" s="42" t="s">
        <v>8373</v>
      </c>
      <c r="D2633" s="43" t="s">
        <v>231</v>
      </c>
      <c r="E2633" s="43" t="s">
        <v>92</v>
      </c>
      <c r="F2633" s="42" t="s">
        <v>11469</v>
      </c>
      <c r="G2633" t="s">
        <v>13197</v>
      </c>
    </row>
    <row r="2634" spans="1:7" x14ac:dyDescent="0.3">
      <c r="A2634" s="42" t="s">
        <v>2817</v>
      </c>
      <c r="B2634" s="42" t="s">
        <v>2838</v>
      </c>
      <c r="C2634" s="42" t="s">
        <v>8374</v>
      </c>
      <c r="D2634" s="43" t="s">
        <v>231</v>
      </c>
      <c r="E2634" s="43" t="s">
        <v>92</v>
      </c>
      <c r="F2634" s="42" t="s">
        <v>192</v>
      </c>
      <c r="G2634" t="s">
        <v>13196</v>
      </c>
    </row>
    <row r="2635" spans="1:7" x14ac:dyDescent="0.3">
      <c r="A2635" s="42" t="s">
        <v>2817</v>
      </c>
      <c r="B2635" s="42" t="s">
        <v>2839</v>
      </c>
      <c r="C2635" s="42" t="s">
        <v>8375</v>
      </c>
      <c r="D2635" s="43" t="s">
        <v>231</v>
      </c>
      <c r="E2635" s="43" t="s">
        <v>92</v>
      </c>
      <c r="F2635" s="42" t="s">
        <v>192</v>
      </c>
      <c r="G2635" t="s">
        <v>13196</v>
      </c>
    </row>
    <row r="2636" spans="1:7" x14ac:dyDescent="0.3">
      <c r="A2636" s="42" t="s">
        <v>2817</v>
      </c>
      <c r="B2636" s="42" t="s">
        <v>2840</v>
      </c>
      <c r="C2636" s="42" t="s">
        <v>8376</v>
      </c>
      <c r="D2636" s="43" t="s">
        <v>231</v>
      </c>
      <c r="E2636" s="43" t="s">
        <v>92</v>
      </c>
      <c r="F2636" s="42" t="s">
        <v>11469</v>
      </c>
      <c r="G2636" t="s">
        <v>13197</v>
      </c>
    </row>
    <row r="2637" spans="1:7" x14ac:dyDescent="0.3">
      <c r="A2637" s="42" t="s">
        <v>2817</v>
      </c>
      <c r="B2637" s="42" t="s">
        <v>2841</v>
      </c>
      <c r="C2637" s="42" t="s">
        <v>8377</v>
      </c>
      <c r="D2637" s="43" t="s">
        <v>231</v>
      </c>
      <c r="E2637" s="43" t="s">
        <v>92</v>
      </c>
      <c r="F2637" s="42" t="s">
        <v>11469</v>
      </c>
      <c r="G2637" t="s">
        <v>13197</v>
      </c>
    </row>
    <row r="2638" spans="1:7" x14ac:dyDescent="0.3">
      <c r="A2638" s="42" t="s">
        <v>2817</v>
      </c>
      <c r="B2638" s="42" t="s">
        <v>2842</v>
      </c>
      <c r="C2638" s="42" t="s">
        <v>8378</v>
      </c>
      <c r="D2638" s="43" t="s">
        <v>231</v>
      </c>
      <c r="E2638" s="43" t="s">
        <v>92</v>
      </c>
      <c r="F2638" s="42" t="s">
        <v>11469</v>
      </c>
      <c r="G2638" t="s">
        <v>13197</v>
      </c>
    </row>
    <row r="2639" spans="1:7" x14ac:dyDescent="0.3">
      <c r="A2639" s="42" t="s">
        <v>2817</v>
      </c>
      <c r="B2639" s="42" t="s">
        <v>2843</v>
      </c>
      <c r="C2639" s="42" t="s">
        <v>8379</v>
      </c>
      <c r="D2639" s="43" t="s">
        <v>231</v>
      </c>
      <c r="E2639" s="43" t="s">
        <v>92</v>
      </c>
      <c r="F2639" s="42" t="s">
        <v>11469</v>
      </c>
      <c r="G2639" t="s">
        <v>13197</v>
      </c>
    </row>
    <row r="2640" spans="1:7" x14ac:dyDescent="0.3">
      <c r="A2640" s="42" t="s">
        <v>2817</v>
      </c>
      <c r="B2640" s="42" t="s">
        <v>2844</v>
      </c>
      <c r="C2640" s="42" t="s">
        <v>8380</v>
      </c>
      <c r="D2640" s="43" t="s">
        <v>231</v>
      </c>
      <c r="E2640" s="43" t="s">
        <v>92</v>
      </c>
      <c r="F2640" s="42" t="s">
        <v>11469</v>
      </c>
      <c r="G2640" t="s">
        <v>13197</v>
      </c>
    </row>
    <row r="2641" spans="1:7" x14ac:dyDescent="0.3">
      <c r="A2641" s="42" t="s">
        <v>2817</v>
      </c>
      <c r="B2641" s="42" t="s">
        <v>2845</v>
      </c>
      <c r="C2641" s="42" t="s">
        <v>8381</v>
      </c>
      <c r="D2641" s="43" t="s">
        <v>231</v>
      </c>
      <c r="E2641" s="43" t="s">
        <v>92</v>
      </c>
      <c r="F2641" s="42" t="s">
        <v>11469</v>
      </c>
      <c r="G2641" t="s">
        <v>13197</v>
      </c>
    </row>
    <row r="2642" spans="1:7" x14ac:dyDescent="0.3">
      <c r="A2642" s="42" t="s">
        <v>2817</v>
      </c>
      <c r="B2642" s="42" t="s">
        <v>2846</v>
      </c>
      <c r="C2642" s="42" t="s">
        <v>8382</v>
      </c>
      <c r="D2642" s="43" t="s">
        <v>231</v>
      </c>
      <c r="E2642" s="43" t="s">
        <v>92</v>
      </c>
      <c r="F2642" s="42" t="s">
        <v>11469</v>
      </c>
      <c r="G2642" t="s">
        <v>13197</v>
      </c>
    </row>
    <row r="2643" spans="1:7" x14ac:dyDescent="0.3">
      <c r="A2643" s="42" t="s">
        <v>2817</v>
      </c>
      <c r="B2643" s="42" t="s">
        <v>2847</v>
      </c>
      <c r="C2643" s="42" t="s">
        <v>8383</v>
      </c>
      <c r="D2643" s="43" t="s">
        <v>231</v>
      </c>
      <c r="E2643" s="43" t="s">
        <v>92</v>
      </c>
      <c r="F2643" s="42" t="s">
        <v>11469</v>
      </c>
      <c r="G2643" t="s">
        <v>13197</v>
      </c>
    </row>
    <row r="2644" spans="1:7" x14ac:dyDescent="0.3">
      <c r="A2644" s="42" t="s">
        <v>2817</v>
      </c>
      <c r="B2644" s="42" t="s">
        <v>2848</v>
      </c>
      <c r="C2644" s="42" t="s">
        <v>8384</v>
      </c>
      <c r="D2644" s="43" t="s">
        <v>231</v>
      </c>
      <c r="E2644" s="43" t="s">
        <v>92</v>
      </c>
      <c r="F2644" s="42" t="s">
        <v>11469</v>
      </c>
      <c r="G2644" t="s">
        <v>13197</v>
      </c>
    </row>
    <row r="2645" spans="1:7" x14ac:dyDescent="0.3">
      <c r="A2645" s="42" t="s">
        <v>2817</v>
      </c>
      <c r="B2645" s="42" t="s">
        <v>1120</v>
      </c>
      <c r="C2645" s="42" t="s">
        <v>8385</v>
      </c>
      <c r="D2645" s="43" t="s">
        <v>231</v>
      </c>
      <c r="E2645" s="43" t="s">
        <v>92</v>
      </c>
      <c r="F2645" s="42" t="s">
        <v>11469</v>
      </c>
      <c r="G2645" t="s">
        <v>13200</v>
      </c>
    </row>
    <row r="2646" spans="1:7" x14ac:dyDescent="0.3">
      <c r="A2646" s="42" t="s">
        <v>2817</v>
      </c>
      <c r="B2646" s="42" t="s">
        <v>2849</v>
      </c>
      <c r="C2646" s="42" t="s">
        <v>8386</v>
      </c>
      <c r="D2646" s="43" t="s">
        <v>231</v>
      </c>
      <c r="E2646" s="43" t="s">
        <v>92</v>
      </c>
      <c r="F2646" s="42" t="s">
        <v>11469</v>
      </c>
      <c r="G2646" t="s">
        <v>13197</v>
      </c>
    </row>
    <row r="2647" spans="1:7" x14ac:dyDescent="0.3">
      <c r="A2647" s="42" t="s">
        <v>2817</v>
      </c>
      <c r="B2647" s="42" t="s">
        <v>2850</v>
      </c>
      <c r="C2647" s="42" t="s">
        <v>8387</v>
      </c>
      <c r="D2647" s="43" t="s">
        <v>231</v>
      </c>
      <c r="E2647" s="43" t="s">
        <v>92</v>
      </c>
      <c r="F2647" s="42" t="s">
        <v>11469</v>
      </c>
      <c r="G2647" t="s">
        <v>13197</v>
      </c>
    </row>
    <row r="2648" spans="1:7" x14ac:dyDescent="0.3">
      <c r="A2648" s="42" t="s">
        <v>2817</v>
      </c>
      <c r="B2648" s="42" t="s">
        <v>2851</v>
      </c>
      <c r="C2648" s="42" t="s">
        <v>8388</v>
      </c>
      <c r="D2648" s="43" t="s">
        <v>231</v>
      </c>
      <c r="E2648" s="43" t="s">
        <v>92</v>
      </c>
      <c r="F2648" s="42" t="s">
        <v>192</v>
      </c>
      <c r="G2648" t="s">
        <v>13196</v>
      </c>
    </row>
    <row r="2649" spans="1:7" x14ac:dyDescent="0.3">
      <c r="A2649" s="42" t="s">
        <v>2817</v>
      </c>
      <c r="B2649" s="42" t="s">
        <v>2852</v>
      </c>
      <c r="C2649" s="42" t="s">
        <v>8389</v>
      </c>
      <c r="D2649" s="43" t="s">
        <v>231</v>
      </c>
      <c r="E2649" s="43" t="s">
        <v>92</v>
      </c>
      <c r="F2649" s="42" t="s">
        <v>11469</v>
      </c>
      <c r="G2649" t="s">
        <v>13197</v>
      </c>
    </row>
    <row r="2650" spans="1:7" x14ac:dyDescent="0.3">
      <c r="A2650" s="42" t="s">
        <v>2817</v>
      </c>
      <c r="B2650" s="42" t="s">
        <v>2853</v>
      </c>
      <c r="C2650" s="42" t="s">
        <v>8390</v>
      </c>
      <c r="D2650" s="43" t="s">
        <v>231</v>
      </c>
      <c r="E2650" s="43" t="s">
        <v>92</v>
      </c>
      <c r="F2650" s="42" t="s">
        <v>11469</v>
      </c>
      <c r="G2650" t="s">
        <v>13197</v>
      </c>
    </row>
    <row r="2651" spans="1:7" x14ac:dyDescent="0.3">
      <c r="A2651" s="42" t="s">
        <v>2817</v>
      </c>
      <c r="B2651" s="42" t="s">
        <v>2854</v>
      </c>
      <c r="C2651" s="42" t="s">
        <v>8391</v>
      </c>
      <c r="D2651" s="43" t="s">
        <v>231</v>
      </c>
      <c r="E2651" s="43" t="s">
        <v>92</v>
      </c>
      <c r="F2651" s="42" t="s">
        <v>11469</v>
      </c>
      <c r="G2651" t="s">
        <v>13197</v>
      </c>
    </row>
    <row r="2652" spans="1:7" x14ac:dyDescent="0.3">
      <c r="A2652" s="42" t="s">
        <v>2817</v>
      </c>
      <c r="B2652" s="42" t="s">
        <v>2855</v>
      </c>
      <c r="C2652" s="42" t="s">
        <v>8392</v>
      </c>
      <c r="D2652" s="43" t="s">
        <v>231</v>
      </c>
      <c r="E2652" s="43" t="s">
        <v>92</v>
      </c>
      <c r="F2652" s="42" t="s">
        <v>192</v>
      </c>
      <c r="G2652" t="s">
        <v>13196</v>
      </c>
    </row>
    <row r="2653" spans="1:7" x14ac:dyDescent="0.3">
      <c r="A2653" s="42" t="s">
        <v>2817</v>
      </c>
      <c r="B2653" s="42" t="s">
        <v>2856</v>
      </c>
      <c r="C2653" s="42" t="s">
        <v>8393</v>
      </c>
      <c r="D2653" s="43" t="s">
        <v>231</v>
      </c>
      <c r="E2653" s="43" t="s">
        <v>92</v>
      </c>
      <c r="F2653" s="42" t="s">
        <v>11469</v>
      </c>
      <c r="G2653" t="s">
        <v>13197</v>
      </c>
    </row>
    <row r="2654" spans="1:7" x14ac:dyDescent="0.3">
      <c r="A2654" s="42" t="s">
        <v>2817</v>
      </c>
      <c r="B2654" s="42" t="s">
        <v>2857</v>
      </c>
      <c r="C2654" s="42" t="s">
        <v>8394</v>
      </c>
      <c r="D2654" s="43" t="s">
        <v>231</v>
      </c>
      <c r="E2654" s="43" t="s">
        <v>92</v>
      </c>
      <c r="F2654" s="42" t="s">
        <v>11469</v>
      </c>
      <c r="G2654" t="s">
        <v>13197</v>
      </c>
    </row>
    <row r="2655" spans="1:7" x14ac:dyDescent="0.3">
      <c r="A2655" s="42" t="s">
        <v>2817</v>
      </c>
      <c r="B2655" s="42" t="s">
        <v>2858</v>
      </c>
      <c r="C2655" s="42" t="s">
        <v>8395</v>
      </c>
      <c r="D2655" s="43" t="s">
        <v>231</v>
      </c>
      <c r="E2655" s="43" t="s">
        <v>92</v>
      </c>
      <c r="F2655" s="42" t="s">
        <v>11469</v>
      </c>
      <c r="G2655" t="s">
        <v>13197</v>
      </c>
    </row>
    <row r="2656" spans="1:7" x14ac:dyDescent="0.3">
      <c r="A2656" s="42" t="s">
        <v>2817</v>
      </c>
      <c r="B2656" s="42" t="s">
        <v>2859</v>
      </c>
      <c r="C2656" s="42" t="s">
        <v>8396</v>
      </c>
      <c r="D2656" s="43" t="s">
        <v>231</v>
      </c>
      <c r="E2656" s="43" t="s">
        <v>92</v>
      </c>
      <c r="F2656" s="42" t="s">
        <v>11469</v>
      </c>
      <c r="G2656" t="s">
        <v>13197</v>
      </c>
    </row>
    <row r="2657" spans="1:7" x14ac:dyDescent="0.3">
      <c r="A2657" s="42" t="s">
        <v>2817</v>
      </c>
      <c r="B2657" s="42" t="s">
        <v>2860</v>
      </c>
      <c r="C2657" s="42" t="s">
        <v>8397</v>
      </c>
      <c r="D2657" s="43" t="s">
        <v>231</v>
      </c>
      <c r="E2657" s="43" t="s">
        <v>92</v>
      </c>
      <c r="F2657" s="42" t="s">
        <v>11469</v>
      </c>
      <c r="G2657" t="s">
        <v>13197</v>
      </c>
    </row>
    <row r="2658" spans="1:7" x14ac:dyDescent="0.3">
      <c r="A2658" s="42" t="s">
        <v>2817</v>
      </c>
      <c r="B2658" s="42" t="s">
        <v>2280</v>
      </c>
      <c r="C2658" s="42" t="s">
        <v>8398</v>
      </c>
      <c r="D2658" s="43" t="s">
        <v>231</v>
      </c>
      <c r="E2658" s="43" t="s">
        <v>92</v>
      </c>
      <c r="F2658" s="42" t="s">
        <v>11469</v>
      </c>
      <c r="G2658" t="s">
        <v>13197</v>
      </c>
    </row>
    <row r="2659" spans="1:7" x14ac:dyDescent="0.3">
      <c r="A2659" s="42" t="s">
        <v>2817</v>
      </c>
      <c r="B2659" s="42" t="s">
        <v>2861</v>
      </c>
      <c r="C2659" s="42" t="s">
        <v>8399</v>
      </c>
      <c r="D2659" s="43" t="s">
        <v>231</v>
      </c>
      <c r="E2659" s="43" t="s">
        <v>92</v>
      </c>
      <c r="F2659" s="42" t="s">
        <v>192</v>
      </c>
      <c r="G2659" t="s">
        <v>13196</v>
      </c>
    </row>
    <row r="2660" spans="1:7" x14ac:dyDescent="0.3">
      <c r="A2660" s="42" t="s">
        <v>2817</v>
      </c>
      <c r="B2660" s="42" t="s">
        <v>2862</v>
      </c>
      <c r="C2660" s="42" t="s">
        <v>8400</v>
      </c>
      <c r="D2660" s="43" t="s">
        <v>231</v>
      </c>
      <c r="E2660" s="43" t="s">
        <v>92</v>
      </c>
      <c r="F2660" s="42" t="s">
        <v>11469</v>
      </c>
      <c r="G2660" t="s">
        <v>13197</v>
      </c>
    </row>
    <row r="2661" spans="1:7" x14ac:dyDescent="0.3">
      <c r="A2661" s="42" t="s">
        <v>2817</v>
      </c>
      <c r="B2661" s="42" t="s">
        <v>2863</v>
      </c>
      <c r="C2661" s="42" t="s">
        <v>8401</v>
      </c>
      <c r="D2661" s="43" t="s">
        <v>89</v>
      </c>
      <c r="E2661" s="43" t="s">
        <v>1430</v>
      </c>
      <c r="F2661" s="42" t="s">
        <v>137</v>
      </c>
      <c r="G2661" t="s">
        <v>13197</v>
      </c>
    </row>
    <row r="2662" spans="1:7" x14ac:dyDescent="0.3">
      <c r="A2662" s="42" t="s">
        <v>2817</v>
      </c>
      <c r="B2662" s="42" t="s">
        <v>2864</v>
      </c>
      <c r="C2662" s="42" t="s">
        <v>8402</v>
      </c>
      <c r="D2662" s="43" t="s">
        <v>231</v>
      </c>
      <c r="E2662" s="43" t="s">
        <v>92</v>
      </c>
      <c r="F2662" s="42" t="s">
        <v>11469</v>
      </c>
      <c r="G2662" t="s">
        <v>13197</v>
      </c>
    </row>
    <row r="2663" spans="1:7" x14ac:dyDescent="0.3">
      <c r="A2663" s="42" t="s">
        <v>2817</v>
      </c>
      <c r="B2663" s="42" t="s">
        <v>2865</v>
      </c>
      <c r="C2663" s="42" t="s">
        <v>8403</v>
      </c>
      <c r="D2663" s="43" t="s">
        <v>231</v>
      </c>
      <c r="E2663" s="43" t="s">
        <v>92</v>
      </c>
      <c r="F2663" s="42" t="s">
        <v>11469</v>
      </c>
      <c r="G2663" t="s">
        <v>13197</v>
      </c>
    </row>
    <row r="2664" spans="1:7" x14ac:dyDescent="0.3">
      <c r="A2664" s="42" t="s">
        <v>2817</v>
      </c>
      <c r="B2664" s="42" t="s">
        <v>2866</v>
      </c>
      <c r="C2664" s="42" t="s">
        <v>8404</v>
      </c>
      <c r="D2664" s="43" t="s">
        <v>231</v>
      </c>
      <c r="E2664" s="43" t="s">
        <v>92</v>
      </c>
      <c r="F2664" s="42" t="s">
        <v>11469</v>
      </c>
      <c r="G2664" t="s">
        <v>13197</v>
      </c>
    </row>
    <row r="2665" spans="1:7" x14ac:dyDescent="0.3">
      <c r="A2665" s="42" t="s">
        <v>2817</v>
      </c>
      <c r="B2665" s="42" t="s">
        <v>2867</v>
      </c>
      <c r="C2665" s="42" t="s">
        <v>8405</v>
      </c>
      <c r="D2665" s="43" t="s">
        <v>231</v>
      </c>
      <c r="E2665" s="43" t="s">
        <v>92</v>
      </c>
      <c r="F2665" s="42" t="s">
        <v>11469</v>
      </c>
      <c r="G2665" t="s">
        <v>13197</v>
      </c>
    </row>
    <row r="2666" spans="1:7" x14ac:dyDescent="0.3">
      <c r="A2666" s="42" t="s">
        <v>2817</v>
      </c>
      <c r="B2666" s="42" t="s">
        <v>2868</v>
      </c>
      <c r="C2666" s="42" t="s">
        <v>8406</v>
      </c>
      <c r="D2666" s="43" t="s">
        <v>231</v>
      </c>
      <c r="E2666" s="43" t="s">
        <v>92</v>
      </c>
      <c r="F2666" s="42" t="s">
        <v>11469</v>
      </c>
      <c r="G2666" t="s">
        <v>13197</v>
      </c>
    </row>
    <row r="2667" spans="1:7" x14ac:dyDescent="0.3">
      <c r="A2667" s="42" t="s">
        <v>2817</v>
      </c>
      <c r="B2667" s="42" t="s">
        <v>2869</v>
      </c>
      <c r="C2667" s="42" t="s">
        <v>8407</v>
      </c>
      <c r="D2667" s="43" t="s">
        <v>231</v>
      </c>
      <c r="E2667" s="43" t="s">
        <v>92</v>
      </c>
      <c r="F2667" s="42" t="s">
        <v>192</v>
      </c>
      <c r="G2667" t="s">
        <v>13196</v>
      </c>
    </row>
    <row r="2668" spans="1:7" x14ac:dyDescent="0.3">
      <c r="A2668" s="42" t="s">
        <v>2817</v>
      </c>
      <c r="B2668" s="42" t="s">
        <v>2870</v>
      </c>
      <c r="C2668" s="42" t="s">
        <v>8408</v>
      </c>
      <c r="D2668" s="43" t="s">
        <v>231</v>
      </c>
      <c r="E2668" s="43" t="s">
        <v>92</v>
      </c>
      <c r="F2668" s="42" t="s">
        <v>11469</v>
      </c>
      <c r="G2668" t="s">
        <v>13197</v>
      </c>
    </row>
    <row r="2669" spans="1:7" x14ac:dyDescent="0.3">
      <c r="A2669" s="42" t="s">
        <v>2817</v>
      </c>
      <c r="B2669" s="42" t="s">
        <v>2871</v>
      </c>
      <c r="C2669" s="42" t="s">
        <v>8409</v>
      </c>
      <c r="D2669" s="43" t="s">
        <v>231</v>
      </c>
      <c r="E2669" s="43" t="s">
        <v>92</v>
      </c>
      <c r="F2669" s="42" t="s">
        <v>11469</v>
      </c>
      <c r="G2669" t="s">
        <v>13197</v>
      </c>
    </row>
    <row r="2670" spans="1:7" x14ac:dyDescent="0.3">
      <c r="A2670" s="42" t="s">
        <v>2817</v>
      </c>
      <c r="B2670" s="42" t="s">
        <v>2872</v>
      </c>
      <c r="C2670" s="42" t="s">
        <v>8410</v>
      </c>
      <c r="D2670" s="43" t="s">
        <v>231</v>
      </c>
      <c r="E2670" s="43" t="s">
        <v>92</v>
      </c>
      <c r="F2670" s="42" t="s">
        <v>11469</v>
      </c>
      <c r="G2670" t="s">
        <v>13197</v>
      </c>
    </row>
    <row r="2671" spans="1:7" x14ac:dyDescent="0.3">
      <c r="A2671" s="42" t="s">
        <v>2817</v>
      </c>
      <c r="B2671" s="42" t="s">
        <v>2873</v>
      </c>
      <c r="C2671" s="42" t="s">
        <v>8411</v>
      </c>
      <c r="D2671" s="43" t="s">
        <v>89</v>
      </c>
      <c r="E2671" s="43" t="s">
        <v>1430</v>
      </c>
      <c r="F2671" s="42" t="s">
        <v>137</v>
      </c>
      <c r="G2671" t="s">
        <v>13197</v>
      </c>
    </row>
    <row r="2672" spans="1:7" x14ac:dyDescent="0.3">
      <c r="A2672" s="42" t="s">
        <v>2817</v>
      </c>
      <c r="B2672" s="42" t="s">
        <v>2874</v>
      </c>
      <c r="C2672" s="42" t="s">
        <v>8412</v>
      </c>
      <c r="D2672" s="43" t="s">
        <v>89</v>
      </c>
      <c r="E2672" s="43" t="s">
        <v>1430</v>
      </c>
      <c r="F2672" s="42" t="s">
        <v>137</v>
      </c>
      <c r="G2672" t="s">
        <v>13197</v>
      </c>
    </row>
    <row r="2673" spans="1:7" x14ac:dyDescent="0.3">
      <c r="A2673" s="42" t="s">
        <v>2817</v>
      </c>
      <c r="B2673" s="42" t="s">
        <v>2875</v>
      </c>
      <c r="C2673" s="42" t="s">
        <v>8413</v>
      </c>
      <c r="D2673" s="43" t="s">
        <v>231</v>
      </c>
      <c r="E2673" s="43" t="s">
        <v>92</v>
      </c>
      <c r="F2673" s="42" t="s">
        <v>11469</v>
      </c>
      <c r="G2673" t="s">
        <v>13197</v>
      </c>
    </row>
    <row r="2674" spans="1:7" x14ac:dyDescent="0.3">
      <c r="A2674" s="42" t="s">
        <v>2817</v>
      </c>
      <c r="B2674" s="42" t="s">
        <v>2876</v>
      </c>
      <c r="C2674" s="42" t="s">
        <v>8414</v>
      </c>
      <c r="D2674" s="43" t="s">
        <v>231</v>
      </c>
      <c r="E2674" s="43" t="s">
        <v>92</v>
      </c>
      <c r="F2674" s="42" t="s">
        <v>192</v>
      </c>
      <c r="G2674" t="s">
        <v>13196</v>
      </c>
    </row>
    <row r="2675" spans="1:7" x14ac:dyDescent="0.3">
      <c r="A2675" s="42" t="s">
        <v>2817</v>
      </c>
      <c r="B2675" s="42" t="s">
        <v>2877</v>
      </c>
      <c r="C2675" s="42" t="s">
        <v>8415</v>
      </c>
      <c r="D2675" s="43" t="s">
        <v>231</v>
      </c>
      <c r="E2675" s="43" t="s">
        <v>92</v>
      </c>
      <c r="F2675" s="42" t="s">
        <v>11469</v>
      </c>
      <c r="G2675" t="s">
        <v>13197</v>
      </c>
    </row>
    <row r="2676" spans="1:7" x14ac:dyDescent="0.3">
      <c r="A2676" s="42" t="s">
        <v>2817</v>
      </c>
      <c r="B2676" s="42" t="s">
        <v>2878</v>
      </c>
      <c r="C2676" s="42" t="s">
        <v>8416</v>
      </c>
      <c r="D2676" s="43" t="s">
        <v>231</v>
      </c>
      <c r="E2676" s="43" t="s">
        <v>92</v>
      </c>
      <c r="F2676" s="42" t="s">
        <v>192</v>
      </c>
      <c r="G2676" t="s">
        <v>13196</v>
      </c>
    </row>
    <row r="2677" spans="1:7" x14ac:dyDescent="0.3">
      <c r="A2677" s="42" t="s">
        <v>2817</v>
      </c>
      <c r="B2677" s="42" t="s">
        <v>2879</v>
      </c>
      <c r="C2677" s="42" t="s">
        <v>8417</v>
      </c>
      <c r="D2677" s="43" t="s">
        <v>231</v>
      </c>
      <c r="E2677" s="43" t="s">
        <v>92</v>
      </c>
      <c r="F2677" s="42" t="s">
        <v>11469</v>
      </c>
      <c r="G2677" t="s">
        <v>13197</v>
      </c>
    </row>
    <row r="2678" spans="1:7" x14ac:dyDescent="0.3">
      <c r="A2678" s="42" t="s">
        <v>2817</v>
      </c>
      <c r="B2678" s="42" t="s">
        <v>2880</v>
      </c>
      <c r="C2678" s="42" t="s">
        <v>8418</v>
      </c>
      <c r="D2678" s="43" t="s">
        <v>231</v>
      </c>
      <c r="E2678" s="43" t="s">
        <v>92</v>
      </c>
      <c r="F2678" s="42" t="s">
        <v>11469</v>
      </c>
      <c r="G2678" t="s">
        <v>13197</v>
      </c>
    </row>
    <row r="2679" spans="1:7" x14ac:dyDescent="0.3">
      <c r="A2679" s="42" t="s">
        <v>2817</v>
      </c>
      <c r="B2679" s="42" t="s">
        <v>945</v>
      </c>
      <c r="C2679" s="42" t="s">
        <v>8419</v>
      </c>
      <c r="D2679" s="43" t="s">
        <v>231</v>
      </c>
      <c r="E2679" s="43" t="s">
        <v>92</v>
      </c>
      <c r="F2679" s="42" t="s">
        <v>11469</v>
      </c>
      <c r="G2679" t="s">
        <v>13198</v>
      </c>
    </row>
    <row r="2680" spans="1:7" x14ac:dyDescent="0.3">
      <c r="A2680" s="42" t="s">
        <v>2817</v>
      </c>
      <c r="B2680" s="42" t="s">
        <v>2881</v>
      </c>
      <c r="C2680" s="42" t="s">
        <v>8420</v>
      </c>
      <c r="D2680" s="43" t="s">
        <v>231</v>
      </c>
      <c r="E2680" s="43" t="s">
        <v>92</v>
      </c>
      <c r="F2680" s="42" t="s">
        <v>11469</v>
      </c>
      <c r="G2680" t="s">
        <v>13197</v>
      </c>
    </row>
    <row r="2681" spans="1:7" x14ac:dyDescent="0.3">
      <c r="A2681" s="42" t="s">
        <v>2817</v>
      </c>
      <c r="B2681" s="42" t="s">
        <v>2882</v>
      </c>
      <c r="C2681" s="42" t="s">
        <v>8421</v>
      </c>
      <c r="D2681" s="43" t="s">
        <v>231</v>
      </c>
      <c r="E2681" s="43" t="s">
        <v>92</v>
      </c>
      <c r="F2681" s="42" t="s">
        <v>11469</v>
      </c>
      <c r="G2681" t="s">
        <v>13197</v>
      </c>
    </row>
    <row r="2682" spans="1:7" x14ac:dyDescent="0.3">
      <c r="A2682" s="42" t="s">
        <v>2817</v>
      </c>
      <c r="B2682" s="42" t="s">
        <v>2883</v>
      </c>
      <c r="C2682" s="42" t="s">
        <v>8422</v>
      </c>
      <c r="D2682" s="43" t="s">
        <v>231</v>
      </c>
      <c r="E2682" s="43" t="s">
        <v>92</v>
      </c>
      <c r="F2682" s="42" t="s">
        <v>11469</v>
      </c>
      <c r="G2682" t="s">
        <v>13197</v>
      </c>
    </row>
    <row r="2683" spans="1:7" x14ac:dyDescent="0.3">
      <c r="A2683" s="42" t="s">
        <v>2817</v>
      </c>
      <c r="B2683" s="42" t="s">
        <v>2884</v>
      </c>
      <c r="C2683" s="42" t="s">
        <v>8423</v>
      </c>
      <c r="D2683" s="43" t="s">
        <v>231</v>
      </c>
      <c r="E2683" s="43" t="s">
        <v>92</v>
      </c>
      <c r="F2683" s="42" t="s">
        <v>11469</v>
      </c>
      <c r="G2683" t="s">
        <v>13197</v>
      </c>
    </row>
    <row r="2684" spans="1:7" x14ac:dyDescent="0.3">
      <c r="A2684" s="42" t="s">
        <v>2817</v>
      </c>
      <c r="B2684" s="42" t="s">
        <v>1586</v>
      </c>
      <c r="C2684" s="42" t="s">
        <v>8424</v>
      </c>
      <c r="D2684" s="43" t="s">
        <v>231</v>
      </c>
      <c r="E2684" s="43" t="s">
        <v>92</v>
      </c>
      <c r="F2684" s="42" t="s">
        <v>11469</v>
      </c>
      <c r="G2684" t="s">
        <v>13197</v>
      </c>
    </row>
    <row r="2685" spans="1:7" x14ac:dyDescent="0.3">
      <c r="A2685" s="42" t="s">
        <v>2817</v>
      </c>
      <c r="B2685" s="42" t="s">
        <v>2885</v>
      </c>
      <c r="C2685" s="42" t="s">
        <v>8425</v>
      </c>
      <c r="D2685" s="43" t="s">
        <v>231</v>
      </c>
      <c r="E2685" s="43" t="s">
        <v>92</v>
      </c>
      <c r="F2685" s="42" t="s">
        <v>11469</v>
      </c>
      <c r="G2685" t="s">
        <v>13197</v>
      </c>
    </row>
    <row r="2686" spans="1:7" x14ac:dyDescent="0.3">
      <c r="A2686" s="42" t="s">
        <v>2817</v>
      </c>
      <c r="B2686" s="42" t="s">
        <v>2886</v>
      </c>
      <c r="C2686" s="42" t="s">
        <v>8426</v>
      </c>
      <c r="D2686" s="43" t="s">
        <v>231</v>
      </c>
      <c r="E2686" s="43" t="s">
        <v>92</v>
      </c>
      <c r="F2686" s="42" t="s">
        <v>192</v>
      </c>
      <c r="G2686" t="s">
        <v>13196</v>
      </c>
    </row>
    <row r="2687" spans="1:7" x14ac:dyDescent="0.3">
      <c r="A2687" s="42" t="s">
        <v>2817</v>
      </c>
      <c r="B2687" s="42" t="s">
        <v>2887</v>
      </c>
      <c r="C2687" s="42" t="s">
        <v>8427</v>
      </c>
      <c r="D2687" s="43" t="s">
        <v>231</v>
      </c>
      <c r="E2687" s="43" t="s">
        <v>92</v>
      </c>
      <c r="F2687" s="42" t="s">
        <v>11469</v>
      </c>
      <c r="G2687" t="s">
        <v>13197</v>
      </c>
    </row>
    <row r="2688" spans="1:7" x14ac:dyDescent="0.3">
      <c r="A2688" s="42" t="s">
        <v>2817</v>
      </c>
      <c r="B2688" s="42" t="s">
        <v>2888</v>
      </c>
      <c r="C2688" s="42" t="s">
        <v>8428</v>
      </c>
      <c r="D2688" s="43" t="s">
        <v>231</v>
      </c>
      <c r="E2688" s="43" t="s">
        <v>92</v>
      </c>
      <c r="F2688" s="42" t="s">
        <v>11469</v>
      </c>
      <c r="G2688" t="s">
        <v>13197</v>
      </c>
    </row>
    <row r="2689" spans="1:7" x14ac:dyDescent="0.3">
      <c r="A2689" s="42" t="s">
        <v>2817</v>
      </c>
      <c r="B2689" s="42" t="s">
        <v>2889</v>
      </c>
      <c r="C2689" s="42" t="s">
        <v>8429</v>
      </c>
      <c r="D2689" s="43" t="s">
        <v>89</v>
      </c>
      <c r="E2689" s="43" t="s">
        <v>1430</v>
      </c>
      <c r="F2689" s="42" t="s">
        <v>137</v>
      </c>
      <c r="G2689" t="s">
        <v>13197</v>
      </c>
    </row>
    <row r="2690" spans="1:7" x14ac:dyDescent="0.3">
      <c r="A2690" s="42" t="s">
        <v>2817</v>
      </c>
      <c r="B2690" s="42" t="s">
        <v>2890</v>
      </c>
      <c r="C2690" s="42" t="s">
        <v>8430</v>
      </c>
      <c r="D2690" s="43" t="s">
        <v>231</v>
      </c>
      <c r="E2690" s="43" t="s">
        <v>92</v>
      </c>
      <c r="F2690" s="42" t="s">
        <v>11469</v>
      </c>
      <c r="G2690" t="s">
        <v>13197</v>
      </c>
    </row>
    <row r="2691" spans="1:7" x14ac:dyDescent="0.3">
      <c r="A2691" s="42" t="s">
        <v>2817</v>
      </c>
      <c r="B2691" s="42" t="s">
        <v>2891</v>
      </c>
      <c r="C2691" s="42" t="s">
        <v>8431</v>
      </c>
      <c r="D2691" s="43" t="s">
        <v>231</v>
      </c>
      <c r="E2691" s="43" t="s">
        <v>92</v>
      </c>
      <c r="F2691" s="42" t="s">
        <v>11469</v>
      </c>
      <c r="G2691" t="s">
        <v>13197</v>
      </c>
    </row>
    <row r="2692" spans="1:7" x14ac:dyDescent="0.3">
      <c r="A2692" s="42" t="s">
        <v>2817</v>
      </c>
      <c r="B2692" s="42" t="s">
        <v>2892</v>
      </c>
      <c r="C2692" s="42" t="s">
        <v>8432</v>
      </c>
      <c r="D2692" s="43" t="s">
        <v>231</v>
      </c>
      <c r="E2692" s="43" t="s">
        <v>92</v>
      </c>
      <c r="F2692" s="42" t="s">
        <v>11469</v>
      </c>
      <c r="G2692" t="s">
        <v>13197</v>
      </c>
    </row>
    <row r="2693" spans="1:7" x14ac:dyDescent="0.3">
      <c r="A2693" s="42" t="s">
        <v>2817</v>
      </c>
      <c r="B2693" s="42" t="s">
        <v>2893</v>
      </c>
      <c r="C2693" s="42" t="s">
        <v>8433</v>
      </c>
      <c r="D2693" s="43" t="s">
        <v>231</v>
      </c>
      <c r="E2693" s="43" t="s">
        <v>92</v>
      </c>
      <c r="F2693" s="42" t="s">
        <v>11469</v>
      </c>
      <c r="G2693" t="s">
        <v>13197</v>
      </c>
    </row>
    <row r="2694" spans="1:7" x14ac:dyDescent="0.3">
      <c r="A2694" s="42" t="s">
        <v>2817</v>
      </c>
      <c r="B2694" s="42" t="s">
        <v>2894</v>
      </c>
      <c r="C2694" s="42" t="s">
        <v>8434</v>
      </c>
      <c r="D2694" s="43" t="s">
        <v>231</v>
      </c>
      <c r="E2694" s="43" t="s">
        <v>92</v>
      </c>
      <c r="F2694" s="42" t="s">
        <v>11469</v>
      </c>
      <c r="G2694" t="s">
        <v>13197</v>
      </c>
    </row>
    <row r="2695" spans="1:7" x14ac:dyDescent="0.3">
      <c r="A2695" s="42" t="s">
        <v>2817</v>
      </c>
      <c r="B2695" s="42" t="s">
        <v>2895</v>
      </c>
      <c r="C2695" s="42" t="s">
        <v>8435</v>
      </c>
      <c r="D2695" s="43" t="s">
        <v>231</v>
      </c>
      <c r="E2695" s="43" t="s">
        <v>92</v>
      </c>
      <c r="F2695" s="42" t="s">
        <v>11469</v>
      </c>
      <c r="G2695" t="s">
        <v>13197</v>
      </c>
    </row>
    <row r="2696" spans="1:7" x14ac:dyDescent="0.3">
      <c r="A2696" s="42" t="s">
        <v>2817</v>
      </c>
      <c r="B2696" s="42" t="s">
        <v>2095</v>
      </c>
      <c r="C2696" s="42" t="s">
        <v>8436</v>
      </c>
      <c r="D2696" s="43" t="s">
        <v>231</v>
      </c>
      <c r="E2696" s="43" t="s">
        <v>92</v>
      </c>
      <c r="F2696" s="42" t="s">
        <v>11469</v>
      </c>
      <c r="G2696" t="s">
        <v>13197</v>
      </c>
    </row>
    <row r="2697" spans="1:7" x14ac:dyDescent="0.3">
      <c r="A2697" s="42" t="s">
        <v>2817</v>
      </c>
      <c r="B2697" s="42" t="s">
        <v>2896</v>
      </c>
      <c r="C2697" s="42" t="s">
        <v>8437</v>
      </c>
      <c r="D2697" s="43" t="s">
        <v>231</v>
      </c>
      <c r="E2697" s="43" t="s">
        <v>92</v>
      </c>
      <c r="F2697" s="42" t="s">
        <v>11469</v>
      </c>
      <c r="G2697" t="s">
        <v>13197</v>
      </c>
    </row>
    <row r="2698" spans="1:7" x14ac:dyDescent="0.3">
      <c r="A2698" s="42" t="s">
        <v>2817</v>
      </c>
      <c r="B2698" s="42" t="s">
        <v>2897</v>
      </c>
      <c r="C2698" s="42" t="s">
        <v>8438</v>
      </c>
      <c r="D2698" s="43" t="s">
        <v>231</v>
      </c>
      <c r="E2698" s="43" t="s">
        <v>92</v>
      </c>
      <c r="F2698" s="42" t="s">
        <v>11469</v>
      </c>
      <c r="G2698" t="s">
        <v>13197</v>
      </c>
    </row>
    <row r="2699" spans="1:7" x14ac:dyDescent="0.3">
      <c r="A2699" s="42" t="s">
        <v>2817</v>
      </c>
      <c r="B2699" s="42" t="s">
        <v>2898</v>
      </c>
      <c r="C2699" s="42" t="s">
        <v>8439</v>
      </c>
      <c r="D2699" s="43" t="s">
        <v>231</v>
      </c>
      <c r="E2699" s="43" t="s">
        <v>92</v>
      </c>
      <c r="F2699" s="42" t="s">
        <v>11469</v>
      </c>
      <c r="G2699" t="s">
        <v>13197</v>
      </c>
    </row>
    <row r="2700" spans="1:7" x14ac:dyDescent="0.3">
      <c r="A2700" s="42" t="s">
        <v>2817</v>
      </c>
      <c r="B2700" s="42" t="s">
        <v>2899</v>
      </c>
      <c r="C2700" s="42" t="s">
        <v>8440</v>
      </c>
      <c r="D2700" s="43" t="s">
        <v>231</v>
      </c>
      <c r="E2700" s="43" t="s">
        <v>92</v>
      </c>
      <c r="F2700" s="42" t="s">
        <v>11469</v>
      </c>
      <c r="G2700" t="s">
        <v>13197</v>
      </c>
    </row>
    <row r="2701" spans="1:7" x14ac:dyDescent="0.3">
      <c r="A2701" s="42" t="s">
        <v>2817</v>
      </c>
      <c r="B2701" s="42" t="s">
        <v>2900</v>
      </c>
      <c r="C2701" s="42" t="s">
        <v>8441</v>
      </c>
      <c r="D2701" s="43" t="s">
        <v>231</v>
      </c>
      <c r="E2701" s="43" t="s">
        <v>92</v>
      </c>
      <c r="F2701" s="42" t="s">
        <v>11469</v>
      </c>
      <c r="G2701" t="s">
        <v>13197</v>
      </c>
    </row>
    <row r="2702" spans="1:7" x14ac:dyDescent="0.3">
      <c r="A2702" s="42" t="s">
        <v>2817</v>
      </c>
      <c r="B2702" s="42" t="s">
        <v>2901</v>
      </c>
      <c r="C2702" s="42" t="s">
        <v>8442</v>
      </c>
      <c r="D2702" s="43" t="s">
        <v>231</v>
      </c>
      <c r="E2702" s="43" t="s">
        <v>92</v>
      </c>
      <c r="F2702" s="42" t="s">
        <v>11469</v>
      </c>
      <c r="G2702" t="s">
        <v>13197</v>
      </c>
    </row>
    <row r="2703" spans="1:7" x14ac:dyDescent="0.3">
      <c r="A2703" s="42" t="s">
        <v>2817</v>
      </c>
      <c r="B2703" s="42" t="s">
        <v>2902</v>
      </c>
      <c r="C2703" s="42" t="s">
        <v>8443</v>
      </c>
      <c r="D2703" s="43" t="s">
        <v>231</v>
      </c>
      <c r="E2703" s="43" t="s">
        <v>92</v>
      </c>
      <c r="F2703" s="42" t="s">
        <v>11469</v>
      </c>
      <c r="G2703" t="s">
        <v>13197</v>
      </c>
    </row>
    <row r="2704" spans="1:7" x14ac:dyDescent="0.3">
      <c r="A2704" s="42" t="s">
        <v>2817</v>
      </c>
      <c r="B2704" s="42" t="s">
        <v>2903</v>
      </c>
      <c r="C2704" s="42" t="s">
        <v>8444</v>
      </c>
      <c r="D2704" s="43" t="s">
        <v>231</v>
      </c>
      <c r="E2704" s="43" t="s">
        <v>92</v>
      </c>
      <c r="F2704" s="42" t="s">
        <v>11469</v>
      </c>
      <c r="G2704" t="s">
        <v>13197</v>
      </c>
    </row>
    <row r="2705" spans="1:7" x14ac:dyDescent="0.3">
      <c r="A2705" s="42" t="s">
        <v>2817</v>
      </c>
      <c r="B2705" s="42" t="s">
        <v>2904</v>
      </c>
      <c r="C2705" s="42" t="s">
        <v>8445</v>
      </c>
      <c r="D2705" s="43" t="s">
        <v>231</v>
      </c>
      <c r="E2705" s="43" t="s">
        <v>92</v>
      </c>
      <c r="F2705" s="42" t="s">
        <v>11469</v>
      </c>
      <c r="G2705" t="s">
        <v>13197</v>
      </c>
    </row>
    <row r="2706" spans="1:7" x14ac:dyDescent="0.3">
      <c r="A2706" s="42" t="s">
        <v>2817</v>
      </c>
      <c r="B2706" s="42" t="s">
        <v>2905</v>
      </c>
      <c r="C2706" s="42" t="s">
        <v>8446</v>
      </c>
      <c r="D2706" s="43" t="s">
        <v>231</v>
      </c>
      <c r="E2706" s="43" t="s">
        <v>92</v>
      </c>
      <c r="F2706" s="42" t="s">
        <v>11469</v>
      </c>
      <c r="G2706" t="s">
        <v>13197</v>
      </c>
    </row>
    <row r="2707" spans="1:7" x14ac:dyDescent="0.3">
      <c r="A2707" s="42" t="s">
        <v>2817</v>
      </c>
      <c r="B2707" s="42" t="s">
        <v>2906</v>
      </c>
      <c r="C2707" s="42" t="s">
        <v>8447</v>
      </c>
      <c r="D2707" s="43" t="s">
        <v>231</v>
      </c>
      <c r="E2707" s="43" t="s">
        <v>92</v>
      </c>
      <c r="F2707" s="42" t="s">
        <v>11469</v>
      </c>
      <c r="G2707" t="s">
        <v>13197</v>
      </c>
    </row>
    <row r="2708" spans="1:7" x14ac:dyDescent="0.3">
      <c r="A2708" s="42" t="s">
        <v>2817</v>
      </c>
      <c r="B2708" s="42" t="s">
        <v>2907</v>
      </c>
      <c r="C2708" s="42" t="s">
        <v>8448</v>
      </c>
      <c r="D2708" s="43" t="s">
        <v>231</v>
      </c>
      <c r="E2708" s="43" t="s">
        <v>92</v>
      </c>
      <c r="F2708" s="42" t="s">
        <v>11469</v>
      </c>
      <c r="G2708" t="s">
        <v>13197</v>
      </c>
    </row>
    <row r="2709" spans="1:7" x14ac:dyDescent="0.3">
      <c r="A2709" s="42" t="s">
        <v>2817</v>
      </c>
      <c r="B2709" s="42" t="s">
        <v>2627</v>
      </c>
      <c r="C2709" s="42" t="s">
        <v>8449</v>
      </c>
      <c r="D2709" s="43" t="s">
        <v>231</v>
      </c>
      <c r="E2709" s="43" t="s">
        <v>92</v>
      </c>
      <c r="F2709" s="42" t="s">
        <v>192</v>
      </c>
      <c r="G2709" t="s">
        <v>13196</v>
      </c>
    </row>
    <row r="2710" spans="1:7" x14ac:dyDescent="0.3">
      <c r="A2710" s="42" t="s">
        <v>2817</v>
      </c>
      <c r="B2710" s="42" t="s">
        <v>2908</v>
      </c>
      <c r="C2710" s="42" t="s">
        <v>8450</v>
      </c>
      <c r="D2710" s="43" t="s">
        <v>231</v>
      </c>
      <c r="E2710" s="43" t="s">
        <v>92</v>
      </c>
      <c r="F2710" s="42" t="s">
        <v>11469</v>
      </c>
      <c r="G2710" t="s">
        <v>13197</v>
      </c>
    </row>
    <row r="2711" spans="1:7" x14ac:dyDescent="0.3">
      <c r="A2711" s="42" t="s">
        <v>2817</v>
      </c>
      <c r="B2711" s="42" t="s">
        <v>2909</v>
      </c>
      <c r="C2711" s="42" t="s">
        <v>8451</v>
      </c>
      <c r="D2711" s="43" t="s">
        <v>231</v>
      </c>
      <c r="E2711" s="43" t="s">
        <v>92</v>
      </c>
      <c r="F2711" s="42" t="s">
        <v>11469</v>
      </c>
      <c r="G2711" t="s">
        <v>13197</v>
      </c>
    </row>
    <row r="2712" spans="1:7" x14ac:dyDescent="0.3">
      <c r="A2712" s="42" t="s">
        <v>2817</v>
      </c>
      <c r="B2712" s="42" t="s">
        <v>2910</v>
      </c>
      <c r="C2712" s="42" t="s">
        <v>8452</v>
      </c>
      <c r="D2712" s="43" t="s">
        <v>231</v>
      </c>
      <c r="E2712" s="43" t="s">
        <v>92</v>
      </c>
      <c r="F2712" s="42" t="s">
        <v>11469</v>
      </c>
      <c r="G2712" t="s">
        <v>13197</v>
      </c>
    </row>
    <row r="2713" spans="1:7" x14ac:dyDescent="0.3">
      <c r="A2713" s="42" t="s">
        <v>2817</v>
      </c>
      <c r="B2713" s="42" t="s">
        <v>2911</v>
      </c>
      <c r="C2713" s="42" t="s">
        <v>8453</v>
      </c>
      <c r="D2713" s="43" t="s">
        <v>231</v>
      </c>
      <c r="E2713" s="43" t="s">
        <v>92</v>
      </c>
      <c r="F2713" s="42" t="s">
        <v>11469</v>
      </c>
      <c r="G2713" t="s">
        <v>13197</v>
      </c>
    </row>
    <row r="2714" spans="1:7" x14ac:dyDescent="0.3">
      <c r="A2714" s="42" t="s">
        <v>2817</v>
      </c>
      <c r="B2714" s="42" t="s">
        <v>2912</v>
      </c>
      <c r="C2714" s="42" t="s">
        <v>8454</v>
      </c>
      <c r="D2714" s="43" t="s">
        <v>231</v>
      </c>
      <c r="E2714" s="43" t="s">
        <v>92</v>
      </c>
      <c r="F2714" s="42" t="s">
        <v>192</v>
      </c>
      <c r="G2714" t="s">
        <v>13196</v>
      </c>
    </row>
    <row r="2715" spans="1:7" x14ac:dyDescent="0.3">
      <c r="A2715" s="42" t="s">
        <v>2817</v>
      </c>
      <c r="B2715" s="42" t="s">
        <v>2913</v>
      </c>
      <c r="C2715" s="42" t="s">
        <v>8455</v>
      </c>
      <c r="D2715" s="43" t="s">
        <v>231</v>
      </c>
      <c r="E2715" s="43" t="s">
        <v>92</v>
      </c>
      <c r="F2715" s="42" t="s">
        <v>11469</v>
      </c>
      <c r="G2715" t="s">
        <v>13197</v>
      </c>
    </row>
    <row r="2716" spans="1:7" x14ac:dyDescent="0.3">
      <c r="A2716" s="42" t="s">
        <v>2817</v>
      </c>
      <c r="B2716" s="42" t="s">
        <v>2914</v>
      </c>
      <c r="C2716" s="42" t="s">
        <v>8456</v>
      </c>
      <c r="D2716" s="43" t="s">
        <v>231</v>
      </c>
      <c r="E2716" s="43" t="s">
        <v>92</v>
      </c>
      <c r="F2716" s="42" t="s">
        <v>11469</v>
      </c>
      <c r="G2716" t="s">
        <v>13197</v>
      </c>
    </row>
    <row r="2717" spans="1:7" x14ac:dyDescent="0.3">
      <c r="A2717" s="42" t="s">
        <v>2817</v>
      </c>
      <c r="B2717" s="42" t="s">
        <v>2915</v>
      </c>
      <c r="C2717" s="42" t="s">
        <v>8457</v>
      </c>
      <c r="D2717" s="43" t="s">
        <v>231</v>
      </c>
      <c r="E2717" s="43" t="s">
        <v>92</v>
      </c>
      <c r="F2717" s="42" t="s">
        <v>11469</v>
      </c>
      <c r="G2717" t="s">
        <v>13197</v>
      </c>
    </row>
    <row r="2718" spans="1:7" x14ac:dyDescent="0.3">
      <c r="A2718" s="42" t="s">
        <v>2817</v>
      </c>
      <c r="B2718" s="42" t="s">
        <v>2916</v>
      </c>
      <c r="C2718" s="42" t="s">
        <v>8458</v>
      </c>
      <c r="D2718" s="43" t="s">
        <v>231</v>
      </c>
      <c r="E2718" s="43" t="s">
        <v>92</v>
      </c>
      <c r="F2718" s="42" t="s">
        <v>11469</v>
      </c>
      <c r="G2718" t="s">
        <v>13197</v>
      </c>
    </row>
    <row r="2719" spans="1:7" x14ac:dyDescent="0.3">
      <c r="A2719" s="42" t="s">
        <v>2817</v>
      </c>
      <c r="B2719" s="42" t="s">
        <v>2917</v>
      </c>
      <c r="C2719" s="42" t="s">
        <v>8459</v>
      </c>
      <c r="D2719" s="43" t="s">
        <v>231</v>
      </c>
      <c r="E2719" s="43" t="s">
        <v>92</v>
      </c>
      <c r="F2719" s="42" t="s">
        <v>11469</v>
      </c>
      <c r="G2719" t="s">
        <v>13197</v>
      </c>
    </row>
    <row r="2720" spans="1:7" x14ac:dyDescent="0.3">
      <c r="A2720" s="42" t="s">
        <v>2817</v>
      </c>
      <c r="B2720" s="42" t="s">
        <v>2918</v>
      </c>
      <c r="C2720" s="42" t="s">
        <v>8460</v>
      </c>
      <c r="D2720" s="43" t="s">
        <v>231</v>
      </c>
      <c r="E2720" s="43" t="s">
        <v>92</v>
      </c>
      <c r="F2720" s="42" t="s">
        <v>11469</v>
      </c>
      <c r="G2720" t="s">
        <v>13197</v>
      </c>
    </row>
    <row r="2721" spans="1:7" x14ac:dyDescent="0.3">
      <c r="A2721" s="42" t="s">
        <v>2817</v>
      </c>
      <c r="B2721" s="42" t="s">
        <v>2919</v>
      </c>
      <c r="C2721" s="42" t="s">
        <v>8461</v>
      </c>
      <c r="D2721" s="43" t="s">
        <v>231</v>
      </c>
      <c r="E2721" s="43" t="s">
        <v>92</v>
      </c>
      <c r="F2721" s="42" t="s">
        <v>11469</v>
      </c>
      <c r="G2721" t="s">
        <v>13197</v>
      </c>
    </row>
    <row r="2722" spans="1:7" x14ac:dyDescent="0.3">
      <c r="A2722" s="42" t="s">
        <v>2817</v>
      </c>
      <c r="B2722" s="42" t="s">
        <v>2920</v>
      </c>
      <c r="C2722" s="42" t="s">
        <v>8462</v>
      </c>
      <c r="D2722" s="43" t="s">
        <v>89</v>
      </c>
      <c r="E2722" s="43" t="s">
        <v>1430</v>
      </c>
      <c r="F2722" s="42" t="s">
        <v>137</v>
      </c>
      <c r="G2722" t="s">
        <v>13197</v>
      </c>
    </row>
    <row r="2723" spans="1:7" x14ac:dyDescent="0.3">
      <c r="A2723" s="42" t="s">
        <v>2817</v>
      </c>
      <c r="B2723" s="42" t="s">
        <v>2921</v>
      </c>
      <c r="C2723" s="42" t="s">
        <v>8463</v>
      </c>
      <c r="D2723" s="43" t="s">
        <v>89</v>
      </c>
      <c r="E2723" s="43" t="s">
        <v>1430</v>
      </c>
      <c r="F2723" s="42" t="s">
        <v>137</v>
      </c>
      <c r="G2723" t="s">
        <v>13197</v>
      </c>
    </row>
    <row r="2724" spans="1:7" x14ac:dyDescent="0.3">
      <c r="A2724" s="42" t="s">
        <v>2817</v>
      </c>
      <c r="B2724" s="42" t="s">
        <v>2922</v>
      </c>
      <c r="C2724" s="42" t="s">
        <v>8464</v>
      </c>
      <c r="D2724" s="43" t="s">
        <v>89</v>
      </c>
      <c r="E2724" s="43" t="s">
        <v>1430</v>
      </c>
      <c r="F2724" s="42" t="s">
        <v>137</v>
      </c>
      <c r="G2724" t="s">
        <v>13197</v>
      </c>
    </row>
    <row r="2725" spans="1:7" x14ac:dyDescent="0.3">
      <c r="A2725" s="42" t="s">
        <v>2817</v>
      </c>
      <c r="B2725" s="42" t="s">
        <v>2923</v>
      </c>
      <c r="C2725" s="42" t="s">
        <v>8465</v>
      </c>
      <c r="D2725" s="43" t="s">
        <v>231</v>
      </c>
      <c r="E2725" s="43" t="s">
        <v>92</v>
      </c>
      <c r="F2725" s="42" t="s">
        <v>11469</v>
      </c>
      <c r="G2725" t="s">
        <v>13197</v>
      </c>
    </row>
    <row r="2726" spans="1:7" x14ac:dyDescent="0.3">
      <c r="A2726" s="42" t="s">
        <v>2817</v>
      </c>
      <c r="B2726" s="42" t="s">
        <v>2924</v>
      </c>
      <c r="C2726" s="42" t="s">
        <v>8466</v>
      </c>
      <c r="D2726" s="43" t="s">
        <v>231</v>
      </c>
      <c r="E2726" s="43" t="s">
        <v>92</v>
      </c>
      <c r="F2726" s="42" t="s">
        <v>11469</v>
      </c>
      <c r="G2726" t="s">
        <v>13197</v>
      </c>
    </row>
    <row r="2727" spans="1:7" x14ac:dyDescent="0.3">
      <c r="A2727" s="42" t="s">
        <v>2817</v>
      </c>
      <c r="B2727" s="42" t="s">
        <v>2925</v>
      </c>
      <c r="C2727" s="42" t="s">
        <v>8467</v>
      </c>
      <c r="D2727" s="43" t="s">
        <v>231</v>
      </c>
      <c r="E2727" s="43" t="s">
        <v>92</v>
      </c>
      <c r="F2727" s="42" t="s">
        <v>11469</v>
      </c>
      <c r="G2727" t="s">
        <v>13197</v>
      </c>
    </row>
    <row r="2728" spans="1:7" x14ac:dyDescent="0.3">
      <c r="A2728" s="42" t="s">
        <v>2817</v>
      </c>
      <c r="B2728" s="42" t="s">
        <v>2009</v>
      </c>
      <c r="C2728" s="42" t="s">
        <v>8468</v>
      </c>
      <c r="D2728" s="43" t="s">
        <v>231</v>
      </c>
      <c r="E2728" s="43" t="s">
        <v>92</v>
      </c>
      <c r="F2728" s="42" t="s">
        <v>11469</v>
      </c>
      <c r="G2728" t="s">
        <v>13197</v>
      </c>
    </row>
    <row r="2729" spans="1:7" x14ac:dyDescent="0.3">
      <c r="A2729" s="42" t="s">
        <v>2817</v>
      </c>
      <c r="B2729" s="42" t="s">
        <v>2926</v>
      </c>
      <c r="C2729" s="42" t="s">
        <v>8469</v>
      </c>
      <c r="D2729" s="43" t="s">
        <v>231</v>
      </c>
      <c r="E2729" s="43" t="s">
        <v>92</v>
      </c>
      <c r="F2729" s="42" t="s">
        <v>11469</v>
      </c>
      <c r="G2729" t="s">
        <v>13197</v>
      </c>
    </row>
    <row r="2730" spans="1:7" x14ac:dyDescent="0.3">
      <c r="A2730" s="42" t="s">
        <v>2817</v>
      </c>
      <c r="B2730" s="42" t="s">
        <v>2927</v>
      </c>
      <c r="C2730" s="42" t="s">
        <v>8470</v>
      </c>
      <c r="D2730" s="43" t="s">
        <v>231</v>
      </c>
      <c r="E2730" s="43" t="s">
        <v>92</v>
      </c>
      <c r="F2730" s="42" t="s">
        <v>192</v>
      </c>
      <c r="G2730" t="s">
        <v>13196</v>
      </c>
    </row>
    <row r="2731" spans="1:7" x14ac:dyDescent="0.3">
      <c r="A2731" s="42" t="s">
        <v>2817</v>
      </c>
      <c r="B2731" s="42" t="s">
        <v>2928</v>
      </c>
      <c r="C2731" s="42" t="s">
        <v>8471</v>
      </c>
      <c r="D2731" s="43" t="s">
        <v>231</v>
      </c>
      <c r="E2731" s="43" t="s">
        <v>92</v>
      </c>
      <c r="F2731" s="42" t="s">
        <v>11469</v>
      </c>
      <c r="G2731" t="s">
        <v>13197</v>
      </c>
    </row>
    <row r="2732" spans="1:7" x14ac:dyDescent="0.3">
      <c r="A2732" s="42" t="s">
        <v>2817</v>
      </c>
      <c r="B2732" s="42" t="s">
        <v>2929</v>
      </c>
      <c r="C2732" s="42" t="s">
        <v>8472</v>
      </c>
      <c r="D2732" s="43" t="s">
        <v>231</v>
      </c>
      <c r="E2732" s="43" t="s">
        <v>92</v>
      </c>
      <c r="F2732" s="42" t="s">
        <v>11469</v>
      </c>
      <c r="G2732" t="s">
        <v>13197</v>
      </c>
    </row>
    <row r="2733" spans="1:7" x14ac:dyDescent="0.3">
      <c r="A2733" s="42" t="s">
        <v>2817</v>
      </c>
      <c r="B2733" s="42" t="s">
        <v>2930</v>
      </c>
      <c r="C2733" s="42" t="s">
        <v>8473</v>
      </c>
      <c r="D2733" s="43" t="s">
        <v>231</v>
      </c>
      <c r="E2733" s="43" t="s">
        <v>92</v>
      </c>
      <c r="F2733" s="42" t="s">
        <v>192</v>
      </c>
      <c r="G2733" t="s">
        <v>13196</v>
      </c>
    </row>
    <row r="2734" spans="1:7" x14ac:dyDescent="0.3">
      <c r="A2734" s="42" t="s">
        <v>2817</v>
      </c>
      <c r="B2734" s="42" t="s">
        <v>2931</v>
      </c>
      <c r="C2734" s="42" t="s">
        <v>8474</v>
      </c>
      <c r="D2734" s="43" t="s">
        <v>231</v>
      </c>
      <c r="E2734" s="43" t="s">
        <v>92</v>
      </c>
      <c r="F2734" s="42" t="s">
        <v>11469</v>
      </c>
      <c r="G2734" t="s">
        <v>13197</v>
      </c>
    </row>
    <row r="2735" spans="1:7" x14ac:dyDescent="0.3">
      <c r="A2735" s="42" t="s">
        <v>2817</v>
      </c>
      <c r="B2735" s="42" t="s">
        <v>2932</v>
      </c>
      <c r="C2735" s="42" t="s">
        <v>8475</v>
      </c>
      <c r="D2735" s="43" t="s">
        <v>231</v>
      </c>
      <c r="E2735" s="43" t="s">
        <v>92</v>
      </c>
      <c r="F2735" s="42" t="s">
        <v>11469</v>
      </c>
      <c r="G2735" t="s">
        <v>13197</v>
      </c>
    </row>
    <row r="2736" spans="1:7" x14ac:dyDescent="0.3">
      <c r="A2736" s="42" t="s">
        <v>2817</v>
      </c>
      <c r="B2736" s="42" t="s">
        <v>2933</v>
      </c>
      <c r="C2736" s="42" t="s">
        <v>8476</v>
      </c>
      <c r="D2736" s="43" t="s">
        <v>231</v>
      </c>
      <c r="E2736" s="43" t="s">
        <v>92</v>
      </c>
      <c r="F2736" s="42" t="s">
        <v>192</v>
      </c>
      <c r="G2736" t="s">
        <v>13196</v>
      </c>
    </row>
    <row r="2737" spans="1:7" x14ac:dyDescent="0.3">
      <c r="A2737" s="42" t="s">
        <v>2817</v>
      </c>
      <c r="B2737" s="42" t="s">
        <v>2934</v>
      </c>
      <c r="C2737" s="42" t="s">
        <v>8477</v>
      </c>
      <c r="D2737" s="43" t="s">
        <v>231</v>
      </c>
      <c r="E2737" s="43" t="s">
        <v>92</v>
      </c>
      <c r="F2737" s="42" t="s">
        <v>11469</v>
      </c>
      <c r="G2737" t="s">
        <v>13197</v>
      </c>
    </row>
    <row r="2738" spans="1:7" x14ac:dyDescent="0.3">
      <c r="A2738" s="42" t="s">
        <v>2817</v>
      </c>
      <c r="B2738" s="42" t="s">
        <v>2935</v>
      </c>
      <c r="C2738" s="42" t="s">
        <v>8478</v>
      </c>
      <c r="D2738" s="43" t="s">
        <v>231</v>
      </c>
      <c r="E2738" s="43" t="s">
        <v>92</v>
      </c>
      <c r="F2738" s="42" t="s">
        <v>11469</v>
      </c>
      <c r="G2738" t="s">
        <v>13197</v>
      </c>
    </row>
    <row r="2739" spans="1:7" x14ac:dyDescent="0.3">
      <c r="A2739" s="42" t="s">
        <v>2817</v>
      </c>
      <c r="B2739" s="42" t="s">
        <v>2936</v>
      </c>
      <c r="C2739" s="42" t="s">
        <v>8479</v>
      </c>
      <c r="D2739" s="43" t="s">
        <v>231</v>
      </c>
      <c r="E2739" s="43" t="s">
        <v>92</v>
      </c>
      <c r="F2739" s="42" t="s">
        <v>192</v>
      </c>
      <c r="G2739" t="s">
        <v>13196</v>
      </c>
    </row>
    <row r="2740" spans="1:7" x14ac:dyDescent="0.3">
      <c r="A2740" s="42" t="s">
        <v>2817</v>
      </c>
      <c r="B2740" s="42" t="s">
        <v>2937</v>
      </c>
      <c r="C2740" s="42" t="s">
        <v>8480</v>
      </c>
      <c r="D2740" s="43" t="s">
        <v>231</v>
      </c>
      <c r="E2740" s="43" t="s">
        <v>92</v>
      </c>
      <c r="F2740" s="42" t="s">
        <v>11469</v>
      </c>
      <c r="G2740" t="s">
        <v>13197</v>
      </c>
    </row>
    <row r="2741" spans="1:7" x14ac:dyDescent="0.3">
      <c r="A2741" s="42" t="s">
        <v>2817</v>
      </c>
      <c r="B2741" s="42" t="s">
        <v>2938</v>
      </c>
      <c r="C2741" s="42" t="s">
        <v>8481</v>
      </c>
      <c r="D2741" s="43" t="s">
        <v>231</v>
      </c>
      <c r="E2741" s="43" t="s">
        <v>92</v>
      </c>
      <c r="F2741" s="42" t="s">
        <v>192</v>
      </c>
      <c r="G2741" t="s">
        <v>13196</v>
      </c>
    </row>
    <row r="2742" spans="1:7" x14ac:dyDescent="0.3">
      <c r="A2742" s="42" t="s">
        <v>2817</v>
      </c>
      <c r="B2742" s="42" t="s">
        <v>2939</v>
      </c>
      <c r="C2742" s="42" t="s">
        <v>8482</v>
      </c>
      <c r="D2742" s="43" t="s">
        <v>231</v>
      </c>
      <c r="E2742" s="43" t="s">
        <v>92</v>
      </c>
      <c r="F2742" s="42" t="s">
        <v>11469</v>
      </c>
      <c r="G2742" t="s">
        <v>13197</v>
      </c>
    </row>
    <row r="2743" spans="1:7" x14ac:dyDescent="0.3">
      <c r="A2743" s="42" t="s">
        <v>2817</v>
      </c>
      <c r="B2743" s="42" t="s">
        <v>2940</v>
      </c>
      <c r="C2743" s="42" t="s">
        <v>8483</v>
      </c>
      <c r="D2743" s="43" t="s">
        <v>231</v>
      </c>
      <c r="E2743" s="43" t="s">
        <v>92</v>
      </c>
      <c r="F2743" s="42" t="s">
        <v>11469</v>
      </c>
      <c r="G2743" t="s">
        <v>13197</v>
      </c>
    </row>
    <row r="2744" spans="1:7" x14ac:dyDescent="0.3">
      <c r="A2744" s="42" t="s">
        <v>2817</v>
      </c>
      <c r="B2744" s="42" t="s">
        <v>2941</v>
      </c>
      <c r="C2744" s="42" t="s">
        <v>8484</v>
      </c>
      <c r="D2744" s="43" t="s">
        <v>231</v>
      </c>
      <c r="E2744" s="43" t="s">
        <v>92</v>
      </c>
      <c r="F2744" s="42" t="s">
        <v>11469</v>
      </c>
      <c r="G2744" t="s">
        <v>13197</v>
      </c>
    </row>
    <row r="2745" spans="1:7" x14ac:dyDescent="0.3">
      <c r="A2745" s="42" t="s">
        <v>2817</v>
      </c>
      <c r="B2745" s="42" t="s">
        <v>2942</v>
      </c>
      <c r="C2745" s="42" t="s">
        <v>8485</v>
      </c>
      <c r="D2745" s="43" t="s">
        <v>89</v>
      </c>
      <c r="E2745" s="43" t="s">
        <v>1430</v>
      </c>
      <c r="F2745" s="42" t="s">
        <v>137</v>
      </c>
      <c r="G2745" t="s">
        <v>13197</v>
      </c>
    </row>
    <row r="2746" spans="1:7" x14ac:dyDescent="0.3">
      <c r="A2746" s="42" t="s">
        <v>2817</v>
      </c>
      <c r="B2746" s="42" t="s">
        <v>2943</v>
      </c>
      <c r="C2746" s="42" t="s">
        <v>8486</v>
      </c>
      <c r="D2746" s="43" t="s">
        <v>89</v>
      </c>
      <c r="E2746" s="43" t="s">
        <v>1430</v>
      </c>
      <c r="F2746" s="42" t="s">
        <v>137</v>
      </c>
      <c r="G2746" t="s">
        <v>13197</v>
      </c>
    </row>
    <row r="2747" spans="1:7" x14ac:dyDescent="0.3">
      <c r="A2747" s="42" t="s">
        <v>2817</v>
      </c>
      <c r="B2747" s="42" t="s">
        <v>2944</v>
      </c>
      <c r="C2747" s="42" t="s">
        <v>8487</v>
      </c>
      <c r="D2747" s="43" t="s">
        <v>231</v>
      </c>
      <c r="E2747" s="43" t="s">
        <v>92</v>
      </c>
      <c r="F2747" s="42" t="s">
        <v>192</v>
      </c>
      <c r="G2747" t="s">
        <v>13196</v>
      </c>
    </row>
    <row r="2748" spans="1:7" x14ac:dyDescent="0.3">
      <c r="A2748" s="42" t="s">
        <v>2817</v>
      </c>
      <c r="B2748" s="42" t="s">
        <v>2355</v>
      </c>
      <c r="C2748" s="42" t="s">
        <v>8488</v>
      </c>
      <c r="D2748" s="43" t="s">
        <v>231</v>
      </c>
      <c r="E2748" s="43" t="s">
        <v>92</v>
      </c>
      <c r="F2748" s="42" t="s">
        <v>192</v>
      </c>
      <c r="G2748" t="s">
        <v>13196</v>
      </c>
    </row>
    <row r="2749" spans="1:7" x14ac:dyDescent="0.3">
      <c r="A2749" s="42" t="s">
        <v>2817</v>
      </c>
      <c r="B2749" s="42" t="s">
        <v>2945</v>
      </c>
      <c r="C2749" s="42" t="s">
        <v>8489</v>
      </c>
      <c r="D2749" s="43" t="s">
        <v>231</v>
      </c>
      <c r="E2749" s="43" t="s">
        <v>92</v>
      </c>
      <c r="F2749" s="42" t="s">
        <v>11469</v>
      </c>
      <c r="G2749" t="s">
        <v>13197</v>
      </c>
    </row>
    <row r="2750" spans="1:7" x14ac:dyDescent="0.3">
      <c r="A2750" s="42" t="s">
        <v>2817</v>
      </c>
      <c r="B2750" s="42" t="s">
        <v>2946</v>
      </c>
      <c r="C2750" s="42" t="s">
        <v>8490</v>
      </c>
      <c r="D2750" s="43" t="s">
        <v>231</v>
      </c>
      <c r="E2750" s="43" t="s">
        <v>92</v>
      </c>
      <c r="F2750" s="42" t="s">
        <v>11469</v>
      </c>
      <c r="G2750" t="s">
        <v>13197</v>
      </c>
    </row>
    <row r="2751" spans="1:7" x14ac:dyDescent="0.3">
      <c r="A2751" s="42" t="s">
        <v>2817</v>
      </c>
      <c r="B2751" s="42" t="s">
        <v>2947</v>
      </c>
      <c r="C2751" s="42" t="s">
        <v>8491</v>
      </c>
      <c r="D2751" s="43" t="s">
        <v>231</v>
      </c>
      <c r="E2751" s="43" t="s">
        <v>92</v>
      </c>
      <c r="F2751" s="42" t="s">
        <v>11469</v>
      </c>
      <c r="G2751" t="s">
        <v>13197</v>
      </c>
    </row>
    <row r="2752" spans="1:7" x14ac:dyDescent="0.3">
      <c r="A2752" s="42" t="s">
        <v>2817</v>
      </c>
      <c r="B2752" s="42" t="s">
        <v>2948</v>
      </c>
      <c r="C2752" s="42" t="s">
        <v>8492</v>
      </c>
      <c r="D2752" s="43" t="s">
        <v>231</v>
      </c>
      <c r="E2752" s="43" t="s">
        <v>92</v>
      </c>
      <c r="F2752" s="42" t="s">
        <v>11469</v>
      </c>
      <c r="G2752" t="s">
        <v>13197</v>
      </c>
    </row>
    <row r="2753" spans="1:7" x14ac:dyDescent="0.3">
      <c r="A2753" s="42" t="s">
        <v>2817</v>
      </c>
      <c r="B2753" s="42" t="s">
        <v>2949</v>
      </c>
      <c r="C2753" s="42" t="s">
        <v>8493</v>
      </c>
      <c r="D2753" s="43" t="s">
        <v>231</v>
      </c>
      <c r="E2753" s="43" t="s">
        <v>92</v>
      </c>
      <c r="F2753" s="42" t="s">
        <v>11469</v>
      </c>
      <c r="G2753" t="s">
        <v>13197</v>
      </c>
    </row>
    <row r="2754" spans="1:7" x14ac:dyDescent="0.3">
      <c r="A2754" s="42" t="s">
        <v>2817</v>
      </c>
      <c r="B2754" s="42" t="s">
        <v>2950</v>
      </c>
      <c r="C2754" s="42" t="s">
        <v>8494</v>
      </c>
      <c r="D2754" s="43" t="s">
        <v>231</v>
      </c>
      <c r="E2754" s="43" t="s">
        <v>92</v>
      </c>
      <c r="F2754" s="42" t="s">
        <v>11469</v>
      </c>
      <c r="G2754" t="s">
        <v>13197</v>
      </c>
    </row>
    <row r="2755" spans="1:7" x14ac:dyDescent="0.3">
      <c r="A2755" s="42" t="s">
        <v>2817</v>
      </c>
      <c r="B2755" s="42" t="s">
        <v>2951</v>
      </c>
      <c r="C2755" s="42" t="s">
        <v>8495</v>
      </c>
      <c r="D2755" s="43" t="s">
        <v>89</v>
      </c>
      <c r="E2755" s="43" t="s">
        <v>1430</v>
      </c>
      <c r="F2755" s="42" t="s">
        <v>137</v>
      </c>
      <c r="G2755" t="s">
        <v>13197</v>
      </c>
    </row>
    <row r="2756" spans="1:7" x14ac:dyDescent="0.3">
      <c r="A2756" s="42" t="s">
        <v>2817</v>
      </c>
      <c r="B2756" s="42" t="s">
        <v>2952</v>
      </c>
      <c r="C2756" s="42" t="s">
        <v>8496</v>
      </c>
      <c r="D2756" s="43" t="s">
        <v>231</v>
      </c>
      <c r="E2756" s="43" t="s">
        <v>92</v>
      </c>
      <c r="F2756" s="42" t="s">
        <v>11469</v>
      </c>
      <c r="G2756" t="s">
        <v>13197</v>
      </c>
    </row>
    <row r="2757" spans="1:7" x14ac:dyDescent="0.3">
      <c r="A2757" s="42" t="s">
        <v>2817</v>
      </c>
      <c r="B2757" s="42" t="s">
        <v>2953</v>
      </c>
      <c r="C2757" s="42" t="s">
        <v>8497</v>
      </c>
      <c r="D2757" s="43" t="s">
        <v>231</v>
      </c>
      <c r="E2757" s="43" t="s">
        <v>92</v>
      </c>
      <c r="F2757" s="42" t="s">
        <v>11469</v>
      </c>
      <c r="G2757" t="s">
        <v>13197</v>
      </c>
    </row>
    <row r="2758" spans="1:7" x14ac:dyDescent="0.3">
      <c r="A2758" s="42" t="s">
        <v>2817</v>
      </c>
      <c r="B2758" s="42" t="s">
        <v>2954</v>
      </c>
      <c r="C2758" s="42" t="s">
        <v>8498</v>
      </c>
      <c r="D2758" s="43" t="s">
        <v>89</v>
      </c>
      <c r="E2758" s="43" t="s">
        <v>1430</v>
      </c>
      <c r="F2758" s="42" t="s">
        <v>137</v>
      </c>
      <c r="G2758" t="s">
        <v>13197</v>
      </c>
    </row>
    <row r="2759" spans="1:7" x14ac:dyDescent="0.3">
      <c r="A2759" s="42" t="s">
        <v>2817</v>
      </c>
      <c r="B2759" s="42" t="s">
        <v>2955</v>
      </c>
      <c r="C2759" s="42" t="s">
        <v>8499</v>
      </c>
      <c r="D2759" s="43" t="s">
        <v>89</v>
      </c>
      <c r="E2759" s="43" t="s">
        <v>1430</v>
      </c>
      <c r="F2759" s="42" t="s">
        <v>137</v>
      </c>
      <c r="G2759" t="s">
        <v>13197</v>
      </c>
    </row>
    <row r="2760" spans="1:7" x14ac:dyDescent="0.3">
      <c r="A2760" s="42" t="s">
        <v>2817</v>
      </c>
      <c r="B2760" s="42" t="s">
        <v>2956</v>
      </c>
      <c r="C2760" s="42" t="s">
        <v>8500</v>
      </c>
      <c r="D2760" s="43" t="s">
        <v>231</v>
      </c>
      <c r="E2760" s="43" t="s">
        <v>92</v>
      </c>
      <c r="F2760" s="42" t="s">
        <v>11469</v>
      </c>
      <c r="G2760" t="s">
        <v>13197</v>
      </c>
    </row>
    <row r="2761" spans="1:7" x14ac:dyDescent="0.3">
      <c r="A2761" s="42" t="s">
        <v>2817</v>
      </c>
      <c r="B2761" s="42" t="s">
        <v>2957</v>
      </c>
      <c r="C2761" s="42" t="s">
        <v>8501</v>
      </c>
      <c r="D2761" s="43" t="s">
        <v>231</v>
      </c>
      <c r="E2761" s="43" t="s">
        <v>92</v>
      </c>
      <c r="F2761" s="42" t="s">
        <v>11469</v>
      </c>
      <c r="G2761" t="s">
        <v>13197</v>
      </c>
    </row>
    <row r="2762" spans="1:7" x14ac:dyDescent="0.3">
      <c r="A2762" s="42" t="s">
        <v>2817</v>
      </c>
      <c r="B2762" s="42" t="s">
        <v>2958</v>
      </c>
      <c r="C2762" s="42" t="s">
        <v>8502</v>
      </c>
      <c r="D2762" s="43" t="s">
        <v>231</v>
      </c>
      <c r="E2762" s="43" t="s">
        <v>92</v>
      </c>
      <c r="F2762" s="42" t="s">
        <v>192</v>
      </c>
      <c r="G2762" t="s">
        <v>13196</v>
      </c>
    </row>
    <row r="2763" spans="1:7" x14ac:dyDescent="0.3">
      <c r="A2763" s="42" t="s">
        <v>2817</v>
      </c>
      <c r="B2763" s="42" t="s">
        <v>2959</v>
      </c>
      <c r="C2763" s="42" t="s">
        <v>8503</v>
      </c>
      <c r="D2763" s="43" t="s">
        <v>231</v>
      </c>
      <c r="E2763" s="43" t="s">
        <v>92</v>
      </c>
      <c r="F2763" s="42" t="s">
        <v>11469</v>
      </c>
      <c r="G2763" t="s">
        <v>13197</v>
      </c>
    </row>
    <row r="2764" spans="1:7" x14ac:dyDescent="0.3">
      <c r="A2764" s="42" t="s">
        <v>2817</v>
      </c>
      <c r="B2764" s="42" t="s">
        <v>2960</v>
      </c>
      <c r="C2764" s="42" t="s">
        <v>8504</v>
      </c>
      <c r="D2764" s="43" t="s">
        <v>231</v>
      </c>
      <c r="E2764" s="43" t="s">
        <v>92</v>
      </c>
      <c r="F2764" s="42" t="s">
        <v>11469</v>
      </c>
      <c r="G2764" t="s">
        <v>13197</v>
      </c>
    </row>
    <row r="2765" spans="1:7" x14ac:dyDescent="0.3">
      <c r="A2765" s="42" t="s">
        <v>2817</v>
      </c>
      <c r="B2765" s="42" t="s">
        <v>2961</v>
      </c>
      <c r="C2765" s="42" t="s">
        <v>8505</v>
      </c>
      <c r="D2765" s="43" t="s">
        <v>231</v>
      </c>
      <c r="E2765" s="43" t="s">
        <v>92</v>
      </c>
      <c r="F2765" s="42" t="s">
        <v>11469</v>
      </c>
      <c r="G2765" t="s">
        <v>13197</v>
      </c>
    </row>
    <row r="2766" spans="1:7" x14ac:dyDescent="0.3">
      <c r="A2766" s="42" t="s">
        <v>2817</v>
      </c>
      <c r="B2766" s="42" t="s">
        <v>2962</v>
      </c>
      <c r="C2766" s="42" t="s">
        <v>8506</v>
      </c>
      <c r="D2766" s="43" t="s">
        <v>231</v>
      </c>
      <c r="E2766" s="43" t="s">
        <v>92</v>
      </c>
      <c r="F2766" s="42" t="s">
        <v>11469</v>
      </c>
      <c r="G2766" t="s">
        <v>13197</v>
      </c>
    </row>
    <row r="2767" spans="1:7" x14ac:dyDescent="0.3">
      <c r="A2767" s="42" t="s">
        <v>2817</v>
      </c>
      <c r="B2767" s="42" t="s">
        <v>2963</v>
      </c>
      <c r="C2767" s="42" t="s">
        <v>8507</v>
      </c>
      <c r="D2767" s="43" t="s">
        <v>231</v>
      </c>
      <c r="E2767" s="43" t="s">
        <v>92</v>
      </c>
      <c r="F2767" s="42" t="s">
        <v>192</v>
      </c>
      <c r="G2767" t="s">
        <v>13196</v>
      </c>
    </row>
    <row r="2768" spans="1:7" x14ac:dyDescent="0.3">
      <c r="A2768" s="42" t="s">
        <v>2817</v>
      </c>
      <c r="B2768" s="42" t="s">
        <v>2964</v>
      </c>
      <c r="C2768" s="42" t="s">
        <v>8508</v>
      </c>
      <c r="D2768" s="43" t="s">
        <v>231</v>
      </c>
      <c r="E2768" s="43" t="s">
        <v>92</v>
      </c>
      <c r="F2768" s="42" t="s">
        <v>11469</v>
      </c>
      <c r="G2768" t="s">
        <v>13197</v>
      </c>
    </row>
    <row r="2769" spans="1:7" x14ac:dyDescent="0.3">
      <c r="A2769" s="42" t="s">
        <v>2817</v>
      </c>
      <c r="B2769" s="42" t="s">
        <v>2965</v>
      </c>
      <c r="C2769" s="42" t="s">
        <v>8509</v>
      </c>
      <c r="D2769" s="43" t="s">
        <v>231</v>
      </c>
      <c r="E2769" s="43" t="s">
        <v>92</v>
      </c>
      <c r="F2769" s="42" t="s">
        <v>11469</v>
      </c>
      <c r="G2769" t="s">
        <v>13197</v>
      </c>
    </row>
    <row r="2770" spans="1:7" x14ac:dyDescent="0.3">
      <c r="A2770" s="42" t="s">
        <v>2817</v>
      </c>
      <c r="B2770" s="42" t="s">
        <v>2966</v>
      </c>
      <c r="C2770" s="42" t="s">
        <v>8510</v>
      </c>
      <c r="D2770" s="43" t="s">
        <v>231</v>
      </c>
      <c r="E2770" s="43" t="s">
        <v>92</v>
      </c>
      <c r="F2770" s="42" t="s">
        <v>11469</v>
      </c>
      <c r="G2770" t="s">
        <v>13197</v>
      </c>
    </row>
    <row r="2771" spans="1:7" x14ac:dyDescent="0.3">
      <c r="A2771" s="42" t="s">
        <v>2817</v>
      </c>
      <c r="B2771" s="42" t="s">
        <v>2967</v>
      </c>
      <c r="C2771" s="42" t="s">
        <v>8511</v>
      </c>
      <c r="D2771" s="43" t="s">
        <v>231</v>
      </c>
      <c r="E2771" s="43" t="s">
        <v>92</v>
      </c>
      <c r="F2771" s="42" t="s">
        <v>192</v>
      </c>
      <c r="G2771" t="s">
        <v>13196</v>
      </c>
    </row>
    <row r="2772" spans="1:7" x14ac:dyDescent="0.3">
      <c r="A2772" s="42" t="s">
        <v>2817</v>
      </c>
      <c r="B2772" s="42" t="s">
        <v>2360</v>
      </c>
      <c r="C2772" s="42" t="s">
        <v>8512</v>
      </c>
      <c r="D2772" s="43" t="s">
        <v>231</v>
      </c>
      <c r="E2772" s="43" t="s">
        <v>92</v>
      </c>
      <c r="F2772" s="42" t="s">
        <v>11469</v>
      </c>
      <c r="G2772" t="s">
        <v>13197</v>
      </c>
    </row>
    <row r="2773" spans="1:7" x14ac:dyDescent="0.3">
      <c r="A2773" s="42" t="s">
        <v>2817</v>
      </c>
      <c r="B2773" s="42" t="s">
        <v>2968</v>
      </c>
      <c r="C2773" s="42" t="s">
        <v>8513</v>
      </c>
      <c r="D2773" s="43" t="s">
        <v>231</v>
      </c>
      <c r="E2773" s="43" t="s">
        <v>92</v>
      </c>
      <c r="F2773" s="42" t="s">
        <v>11469</v>
      </c>
      <c r="G2773" t="s">
        <v>13197</v>
      </c>
    </row>
    <row r="2774" spans="1:7" x14ac:dyDescent="0.3">
      <c r="A2774" s="42" t="s">
        <v>2817</v>
      </c>
      <c r="B2774" s="42" t="s">
        <v>2969</v>
      </c>
      <c r="C2774" s="42" t="s">
        <v>8514</v>
      </c>
      <c r="D2774" s="43" t="s">
        <v>231</v>
      </c>
      <c r="E2774" s="43" t="s">
        <v>92</v>
      </c>
      <c r="F2774" s="42" t="s">
        <v>11469</v>
      </c>
      <c r="G2774" t="s">
        <v>13197</v>
      </c>
    </row>
    <row r="2775" spans="1:7" x14ac:dyDescent="0.3">
      <c r="A2775" s="42" t="s">
        <v>2817</v>
      </c>
      <c r="B2775" s="42" t="s">
        <v>2970</v>
      </c>
      <c r="C2775" s="42" t="s">
        <v>8515</v>
      </c>
      <c r="D2775" s="43" t="s">
        <v>231</v>
      </c>
      <c r="E2775" s="43" t="s">
        <v>92</v>
      </c>
      <c r="F2775" s="42" t="s">
        <v>11469</v>
      </c>
      <c r="G2775" t="s">
        <v>13197</v>
      </c>
    </row>
    <row r="2776" spans="1:7" x14ac:dyDescent="0.3">
      <c r="A2776" s="42" t="s">
        <v>2817</v>
      </c>
      <c r="B2776" s="42" t="s">
        <v>2971</v>
      </c>
      <c r="C2776" s="42" t="s">
        <v>8516</v>
      </c>
      <c r="D2776" s="43" t="s">
        <v>231</v>
      </c>
      <c r="E2776" s="43" t="s">
        <v>92</v>
      </c>
      <c r="F2776" s="42" t="s">
        <v>11469</v>
      </c>
      <c r="G2776" t="s">
        <v>13197</v>
      </c>
    </row>
    <row r="2777" spans="1:7" x14ac:dyDescent="0.3">
      <c r="A2777" s="42" t="s">
        <v>2817</v>
      </c>
      <c r="B2777" s="42" t="s">
        <v>2972</v>
      </c>
      <c r="C2777" s="42" t="s">
        <v>8517</v>
      </c>
      <c r="D2777" s="43" t="s">
        <v>231</v>
      </c>
      <c r="E2777" s="43" t="s">
        <v>92</v>
      </c>
      <c r="F2777" s="42" t="s">
        <v>11469</v>
      </c>
      <c r="G2777" t="s">
        <v>13197</v>
      </c>
    </row>
    <row r="2778" spans="1:7" x14ac:dyDescent="0.3">
      <c r="A2778" s="42" t="s">
        <v>2817</v>
      </c>
      <c r="B2778" s="42" t="s">
        <v>2973</v>
      </c>
      <c r="C2778" s="42" t="s">
        <v>8518</v>
      </c>
      <c r="D2778" s="43" t="s">
        <v>231</v>
      </c>
      <c r="E2778" s="43" t="s">
        <v>92</v>
      </c>
      <c r="F2778" s="42" t="s">
        <v>192</v>
      </c>
      <c r="G2778" t="s">
        <v>13196</v>
      </c>
    </row>
    <row r="2779" spans="1:7" x14ac:dyDescent="0.3">
      <c r="A2779" s="42" t="s">
        <v>2817</v>
      </c>
      <c r="B2779" s="42" t="s">
        <v>2974</v>
      </c>
      <c r="C2779" s="42" t="s">
        <v>8519</v>
      </c>
      <c r="D2779" s="43" t="s">
        <v>231</v>
      </c>
      <c r="E2779" s="43" t="s">
        <v>92</v>
      </c>
      <c r="F2779" s="42" t="s">
        <v>192</v>
      </c>
      <c r="G2779" t="s">
        <v>13196</v>
      </c>
    </row>
    <row r="2780" spans="1:7" x14ac:dyDescent="0.3">
      <c r="A2780" s="42" t="s">
        <v>2817</v>
      </c>
      <c r="B2780" s="42" t="s">
        <v>2975</v>
      </c>
      <c r="C2780" s="42" t="s">
        <v>8520</v>
      </c>
      <c r="D2780" s="43" t="s">
        <v>231</v>
      </c>
      <c r="E2780" s="43" t="s">
        <v>92</v>
      </c>
      <c r="F2780" s="42" t="s">
        <v>11469</v>
      </c>
      <c r="G2780" t="s">
        <v>13197</v>
      </c>
    </row>
    <row r="2781" spans="1:7" x14ac:dyDescent="0.3">
      <c r="A2781" s="42" t="s">
        <v>2817</v>
      </c>
      <c r="B2781" s="42" t="s">
        <v>2976</v>
      </c>
      <c r="C2781" s="42" t="s">
        <v>8521</v>
      </c>
      <c r="D2781" s="43" t="s">
        <v>231</v>
      </c>
      <c r="E2781" s="43" t="s">
        <v>92</v>
      </c>
      <c r="F2781" s="42" t="s">
        <v>11469</v>
      </c>
      <c r="G2781" t="s">
        <v>13197</v>
      </c>
    </row>
    <row r="2782" spans="1:7" x14ac:dyDescent="0.3">
      <c r="A2782" s="42" t="s">
        <v>2817</v>
      </c>
      <c r="B2782" s="42" t="s">
        <v>2977</v>
      </c>
      <c r="C2782" s="42" t="s">
        <v>8522</v>
      </c>
      <c r="D2782" s="43" t="s">
        <v>231</v>
      </c>
      <c r="E2782" s="43" t="s">
        <v>92</v>
      </c>
      <c r="F2782" s="42" t="s">
        <v>11469</v>
      </c>
      <c r="G2782" t="s">
        <v>13197</v>
      </c>
    </row>
    <row r="2783" spans="1:7" x14ac:dyDescent="0.3">
      <c r="A2783" s="42" t="s">
        <v>2817</v>
      </c>
      <c r="B2783" s="42" t="s">
        <v>2978</v>
      </c>
      <c r="C2783" s="42" t="s">
        <v>8523</v>
      </c>
      <c r="D2783" s="43" t="s">
        <v>231</v>
      </c>
      <c r="E2783" s="43" t="s">
        <v>92</v>
      </c>
      <c r="F2783" s="42" t="s">
        <v>11469</v>
      </c>
      <c r="G2783" t="s">
        <v>13197</v>
      </c>
    </row>
    <row r="2784" spans="1:7" x14ac:dyDescent="0.3">
      <c r="A2784" s="42" t="s">
        <v>2817</v>
      </c>
      <c r="B2784" s="42" t="s">
        <v>2979</v>
      </c>
      <c r="C2784" s="42" t="s">
        <v>8524</v>
      </c>
      <c r="D2784" s="43" t="s">
        <v>231</v>
      </c>
      <c r="E2784" s="43" t="s">
        <v>92</v>
      </c>
      <c r="F2784" s="42" t="s">
        <v>192</v>
      </c>
      <c r="G2784" t="s">
        <v>13196</v>
      </c>
    </row>
    <row r="2785" spans="1:7" x14ac:dyDescent="0.3">
      <c r="A2785" s="42" t="s">
        <v>2817</v>
      </c>
      <c r="B2785" s="42" t="s">
        <v>2980</v>
      </c>
      <c r="C2785" s="42" t="s">
        <v>8525</v>
      </c>
      <c r="D2785" s="43" t="s">
        <v>231</v>
      </c>
      <c r="E2785" s="43" t="s">
        <v>92</v>
      </c>
      <c r="F2785" s="42" t="s">
        <v>11469</v>
      </c>
      <c r="G2785" t="s">
        <v>13197</v>
      </c>
    </row>
    <row r="2786" spans="1:7" x14ac:dyDescent="0.3">
      <c r="A2786" s="42" t="s">
        <v>2817</v>
      </c>
      <c r="B2786" s="42" t="s">
        <v>2981</v>
      </c>
      <c r="C2786" s="42" t="s">
        <v>8526</v>
      </c>
      <c r="D2786" s="43" t="s">
        <v>231</v>
      </c>
      <c r="E2786" s="43" t="s">
        <v>92</v>
      </c>
      <c r="F2786" s="42" t="s">
        <v>11469</v>
      </c>
      <c r="G2786" t="s">
        <v>13197</v>
      </c>
    </row>
    <row r="2787" spans="1:7" x14ac:dyDescent="0.3">
      <c r="A2787" s="42" t="s">
        <v>2817</v>
      </c>
      <c r="B2787" s="42" t="s">
        <v>2982</v>
      </c>
      <c r="C2787" s="42" t="s">
        <v>8527</v>
      </c>
      <c r="D2787" s="43" t="s">
        <v>231</v>
      </c>
      <c r="E2787" s="43" t="s">
        <v>92</v>
      </c>
      <c r="F2787" s="42" t="s">
        <v>11469</v>
      </c>
      <c r="G2787" t="s">
        <v>13197</v>
      </c>
    </row>
    <row r="2788" spans="1:7" x14ac:dyDescent="0.3">
      <c r="A2788" s="42" t="s">
        <v>2817</v>
      </c>
      <c r="B2788" s="42" t="s">
        <v>2983</v>
      </c>
      <c r="C2788" s="42" t="s">
        <v>8528</v>
      </c>
      <c r="D2788" s="43" t="s">
        <v>231</v>
      </c>
      <c r="E2788" s="43" t="s">
        <v>92</v>
      </c>
      <c r="F2788" s="42" t="s">
        <v>11469</v>
      </c>
      <c r="G2788" t="s">
        <v>13197</v>
      </c>
    </row>
    <row r="2789" spans="1:7" x14ac:dyDescent="0.3">
      <c r="A2789" s="42" t="s">
        <v>2817</v>
      </c>
      <c r="B2789" s="42" t="s">
        <v>2984</v>
      </c>
      <c r="C2789" s="42" t="s">
        <v>8529</v>
      </c>
      <c r="D2789" s="43" t="s">
        <v>231</v>
      </c>
      <c r="E2789" s="43" t="s">
        <v>92</v>
      </c>
      <c r="F2789" s="42" t="s">
        <v>11469</v>
      </c>
      <c r="G2789" t="s">
        <v>13197</v>
      </c>
    </row>
    <row r="2790" spans="1:7" x14ac:dyDescent="0.3">
      <c r="A2790" s="42" t="s">
        <v>2817</v>
      </c>
      <c r="B2790" s="42" t="s">
        <v>2985</v>
      </c>
      <c r="C2790" s="42" t="s">
        <v>8530</v>
      </c>
      <c r="D2790" s="43" t="s">
        <v>231</v>
      </c>
      <c r="E2790" s="43" t="s">
        <v>92</v>
      </c>
      <c r="F2790" s="42" t="s">
        <v>11469</v>
      </c>
      <c r="G2790" t="s">
        <v>13197</v>
      </c>
    </row>
    <row r="2791" spans="1:7" x14ac:dyDescent="0.3">
      <c r="A2791" s="42" t="s">
        <v>2817</v>
      </c>
      <c r="B2791" s="42" t="s">
        <v>2986</v>
      </c>
      <c r="C2791" s="42" t="s">
        <v>8531</v>
      </c>
      <c r="D2791" s="43" t="s">
        <v>231</v>
      </c>
      <c r="E2791" s="43" t="s">
        <v>92</v>
      </c>
      <c r="F2791" s="42" t="s">
        <v>11469</v>
      </c>
      <c r="G2791" t="s">
        <v>13198</v>
      </c>
    </row>
    <row r="2792" spans="1:7" x14ac:dyDescent="0.3">
      <c r="A2792" s="42" t="s">
        <v>2817</v>
      </c>
      <c r="B2792" s="42" t="s">
        <v>2987</v>
      </c>
      <c r="C2792" s="42" t="s">
        <v>8532</v>
      </c>
      <c r="D2792" s="43" t="s">
        <v>231</v>
      </c>
      <c r="E2792" s="43" t="s">
        <v>92</v>
      </c>
      <c r="F2792" s="42" t="s">
        <v>11469</v>
      </c>
      <c r="G2792" t="s">
        <v>13197</v>
      </c>
    </row>
    <row r="2793" spans="1:7" x14ac:dyDescent="0.3">
      <c r="A2793" s="42" t="s">
        <v>2817</v>
      </c>
      <c r="B2793" s="42" t="s">
        <v>2988</v>
      </c>
      <c r="C2793" s="42" t="s">
        <v>8533</v>
      </c>
      <c r="D2793" s="43" t="s">
        <v>231</v>
      </c>
      <c r="E2793" s="43" t="s">
        <v>92</v>
      </c>
      <c r="F2793" s="42" t="s">
        <v>11469</v>
      </c>
      <c r="G2793" t="s">
        <v>13197</v>
      </c>
    </row>
    <row r="2794" spans="1:7" x14ac:dyDescent="0.3">
      <c r="A2794" s="42" t="s">
        <v>2817</v>
      </c>
      <c r="B2794" s="42" t="s">
        <v>2989</v>
      </c>
      <c r="C2794" s="42" t="s">
        <v>8534</v>
      </c>
      <c r="D2794" s="43" t="s">
        <v>231</v>
      </c>
      <c r="E2794" s="43" t="s">
        <v>92</v>
      </c>
      <c r="F2794" s="42" t="s">
        <v>11469</v>
      </c>
      <c r="G2794" t="s">
        <v>13197</v>
      </c>
    </row>
    <row r="2795" spans="1:7" x14ac:dyDescent="0.3">
      <c r="A2795" s="42" t="s">
        <v>2817</v>
      </c>
      <c r="B2795" s="42" t="s">
        <v>2990</v>
      </c>
      <c r="C2795" s="42" t="s">
        <v>8535</v>
      </c>
      <c r="D2795" s="43" t="s">
        <v>231</v>
      </c>
      <c r="E2795" s="43" t="s">
        <v>92</v>
      </c>
      <c r="F2795" s="42" t="s">
        <v>11469</v>
      </c>
      <c r="G2795" t="s">
        <v>13197</v>
      </c>
    </row>
    <row r="2796" spans="1:7" x14ac:dyDescent="0.3">
      <c r="A2796" s="42" t="s">
        <v>2817</v>
      </c>
      <c r="B2796" s="42" t="s">
        <v>2991</v>
      </c>
      <c r="C2796" s="42" t="s">
        <v>8536</v>
      </c>
      <c r="D2796" s="43" t="s">
        <v>231</v>
      </c>
      <c r="E2796" s="43" t="s">
        <v>92</v>
      </c>
      <c r="F2796" s="42" t="s">
        <v>11469</v>
      </c>
      <c r="G2796" t="s">
        <v>13197</v>
      </c>
    </row>
    <row r="2797" spans="1:7" x14ac:dyDescent="0.3">
      <c r="A2797" s="42" t="s">
        <v>2817</v>
      </c>
      <c r="B2797" s="42" t="s">
        <v>2992</v>
      </c>
      <c r="C2797" s="42" t="s">
        <v>8537</v>
      </c>
      <c r="D2797" s="43" t="s">
        <v>231</v>
      </c>
      <c r="E2797" s="43" t="s">
        <v>92</v>
      </c>
      <c r="F2797" s="42" t="s">
        <v>11469</v>
      </c>
      <c r="G2797" t="s">
        <v>13197</v>
      </c>
    </row>
    <row r="2798" spans="1:7" x14ac:dyDescent="0.3">
      <c r="A2798" s="42" t="s">
        <v>2817</v>
      </c>
      <c r="B2798" s="42" t="s">
        <v>2993</v>
      </c>
      <c r="C2798" s="42" t="s">
        <v>8538</v>
      </c>
      <c r="D2798" s="43" t="s">
        <v>231</v>
      </c>
      <c r="E2798" s="43" t="s">
        <v>92</v>
      </c>
      <c r="F2798" s="42" t="s">
        <v>11469</v>
      </c>
      <c r="G2798" t="s">
        <v>13197</v>
      </c>
    </row>
    <row r="2799" spans="1:7" x14ac:dyDescent="0.3">
      <c r="A2799" s="42" t="s">
        <v>2817</v>
      </c>
      <c r="B2799" s="42" t="s">
        <v>2994</v>
      </c>
      <c r="C2799" s="42" t="s">
        <v>8539</v>
      </c>
      <c r="D2799" s="43" t="s">
        <v>231</v>
      </c>
      <c r="E2799" s="43" t="s">
        <v>92</v>
      </c>
      <c r="F2799" s="42" t="s">
        <v>11469</v>
      </c>
      <c r="G2799" t="s">
        <v>13197</v>
      </c>
    </row>
    <row r="2800" spans="1:7" x14ac:dyDescent="0.3">
      <c r="A2800" s="42" t="s">
        <v>2817</v>
      </c>
      <c r="B2800" s="42" t="s">
        <v>2995</v>
      </c>
      <c r="C2800" s="42" t="s">
        <v>8540</v>
      </c>
      <c r="D2800" s="43" t="s">
        <v>231</v>
      </c>
      <c r="E2800" s="43" t="s">
        <v>92</v>
      </c>
      <c r="F2800" s="42" t="s">
        <v>11469</v>
      </c>
      <c r="G2800" t="s">
        <v>13197</v>
      </c>
    </row>
    <row r="2801" spans="1:7" x14ac:dyDescent="0.3">
      <c r="A2801" s="42" t="s">
        <v>2817</v>
      </c>
      <c r="B2801" s="42" t="s">
        <v>2996</v>
      </c>
      <c r="C2801" s="42" t="s">
        <v>8541</v>
      </c>
      <c r="D2801" s="43" t="s">
        <v>231</v>
      </c>
      <c r="E2801" s="43" t="s">
        <v>92</v>
      </c>
      <c r="F2801" s="42" t="s">
        <v>192</v>
      </c>
      <c r="G2801" t="s">
        <v>13196</v>
      </c>
    </row>
    <row r="2802" spans="1:7" x14ac:dyDescent="0.3">
      <c r="A2802" s="42" t="s">
        <v>2817</v>
      </c>
      <c r="B2802" s="42" t="s">
        <v>2997</v>
      </c>
      <c r="C2802" s="42" t="s">
        <v>8542</v>
      </c>
      <c r="D2802" s="43" t="s">
        <v>231</v>
      </c>
      <c r="E2802" s="43" t="s">
        <v>92</v>
      </c>
      <c r="F2802" s="42" t="s">
        <v>11469</v>
      </c>
      <c r="G2802" t="s">
        <v>13197</v>
      </c>
    </row>
    <row r="2803" spans="1:7" x14ac:dyDescent="0.3">
      <c r="A2803" s="42" t="s">
        <v>2817</v>
      </c>
      <c r="B2803" s="42" t="s">
        <v>2998</v>
      </c>
      <c r="C2803" s="42" t="s">
        <v>8543</v>
      </c>
      <c r="D2803" s="43" t="s">
        <v>231</v>
      </c>
      <c r="E2803" s="43" t="s">
        <v>92</v>
      </c>
      <c r="F2803" s="42" t="s">
        <v>11469</v>
      </c>
      <c r="G2803" t="s">
        <v>13197</v>
      </c>
    </row>
    <row r="2804" spans="1:7" x14ac:dyDescent="0.3">
      <c r="A2804" s="42" t="s">
        <v>2817</v>
      </c>
      <c r="B2804" s="42" t="s">
        <v>2999</v>
      </c>
      <c r="C2804" s="42" t="s">
        <v>8544</v>
      </c>
      <c r="D2804" s="43" t="s">
        <v>231</v>
      </c>
      <c r="E2804" s="43" t="s">
        <v>92</v>
      </c>
      <c r="F2804" s="42" t="s">
        <v>11469</v>
      </c>
      <c r="G2804" t="s">
        <v>13197</v>
      </c>
    </row>
    <row r="2805" spans="1:7" x14ac:dyDescent="0.3">
      <c r="A2805" s="42" t="s">
        <v>2817</v>
      </c>
      <c r="B2805" s="42" t="s">
        <v>3000</v>
      </c>
      <c r="C2805" s="42" t="s">
        <v>8545</v>
      </c>
      <c r="D2805" s="43" t="s">
        <v>231</v>
      </c>
      <c r="E2805" s="43" t="s">
        <v>92</v>
      </c>
      <c r="F2805" s="42" t="s">
        <v>11469</v>
      </c>
      <c r="G2805" t="s">
        <v>13197</v>
      </c>
    </row>
    <row r="2806" spans="1:7" x14ac:dyDescent="0.3">
      <c r="A2806" s="42" t="s">
        <v>2817</v>
      </c>
      <c r="B2806" s="42" t="s">
        <v>3001</v>
      </c>
      <c r="C2806" s="42" t="s">
        <v>8546</v>
      </c>
      <c r="D2806" s="43" t="s">
        <v>231</v>
      </c>
      <c r="E2806" s="43" t="s">
        <v>92</v>
      </c>
      <c r="F2806" s="42" t="s">
        <v>11469</v>
      </c>
      <c r="G2806" t="s">
        <v>13197</v>
      </c>
    </row>
    <row r="2807" spans="1:7" x14ac:dyDescent="0.3">
      <c r="A2807" s="42" t="s">
        <v>2817</v>
      </c>
      <c r="B2807" s="42" t="s">
        <v>3002</v>
      </c>
      <c r="C2807" s="42" t="s">
        <v>8547</v>
      </c>
      <c r="D2807" s="43" t="s">
        <v>231</v>
      </c>
      <c r="E2807" s="43" t="s">
        <v>92</v>
      </c>
      <c r="F2807" s="42" t="s">
        <v>11469</v>
      </c>
      <c r="G2807" t="s">
        <v>13197</v>
      </c>
    </row>
    <row r="2808" spans="1:7" x14ac:dyDescent="0.3">
      <c r="A2808" s="42" t="s">
        <v>2817</v>
      </c>
      <c r="B2808" s="42" t="s">
        <v>3003</v>
      </c>
      <c r="C2808" s="42" t="s">
        <v>8548</v>
      </c>
      <c r="D2808" s="43" t="s">
        <v>231</v>
      </c>
      <c r="E2808" s="43" t="s">
        <v>92</v>
      </c>
      <c r="F2808" s="42" t="s">
        <v>11469</v>
      </c>
      <c r="G2808" t="s">
        <v>13197</v>
      </c>
    </row>
    <row r="2809" spans="1:7" x14ac:dyDescent="0.3">
      <c r="A2809" s="42" t="s">
        <v>2817</v>
      </c>
      <c r="B2809" s="42" t="s">
        <v>3004</v>
      </c>
      <c r="C2809" s="42" t="s">
        <v>8549</v>
      </c>
      <c r="D2809" s="43" t="s">
        <v>231</v>
      </c>
      <c r="E2809" s="43" t="s">
        <v>92</v>
      </c>
      <c r="F2809" s="42" t="s">
        <v>11469</v>
      </c>
      <c r="G2809" t="s">
        <v>13197</v>
      </c>
    </row>
    <row r="2810" spans="1:7" x14ac:dyDescent="0.3">
      <c r="A2810" s="42" t="s">
        <v>2817</v>
      </c>
      <c r="B2810" s="42" t="s">
        <v>3005</v>
      </c>
      <c r="C2810" s="42" t="s">
        <v>8550</v>
      </c>
      <c r="D2810" s="43" t="s">
        <v>231</v>
      </c>
      <c r="E2810" s="43" t="s">
        <v>92</v>
      </c>
      <c r="F2810" s="42" t="s">
        <v>11469</v>
      </c>
      <c r="G2810" t="s">
        <v>13197</v>
      </c>
    </row>
    <row r="2811" spans="1:7" x14ac:dyDescent="0.3">
      <c r="A2811" s="42" t="s">
        <v>2817</v>
      </c>
      <c r="B2811" s="42" t="s">
        <v>3006</v>
      </c>
      <c r="C2811" s="42" t="s">
        <v>8551</v>
      </c>
      <c r="D2811" s="43" t="s">
        <v>231</v>
      </c>
      <c r="E2811" s="43" t="s">
        <v>92</v>
      </c>
      <c r="F2811" s="42" t="s">
        <v>11469</v>
      </c>
      <c r="G2811" t="s">
        <v>13197</v>
      </c>
    </row>
    <row r="2812" spans="1:7" x14ac:dyDescent="0.3">
      <c r="A2812" s="42" t="s">
        <v>2817</v>
      </c>
      <c r="B2812" s="42" t="s">
        <v>3007</v>
      </c>
      <c r="C2812" s="42" t="s">
        <v>8552</v>
      </c>
      <c r="D2812" s="43" t="s">
        <v>231</v>
      </c>
      <c r="E2812" s="43" t="s">
        <v>92</v>
      </c>
      <c r="F2812" s="42" t="s">
        <v>11469</v>
      </c>
      <c r="G2812" t="s">
        <v>13197</v>
      </c>
    </row>
    <row r="2813" spans="1:7" x14ac:dyDescent="0.3">
      <c r="A2813" s="42" t="s">
        <v>2817</v>
      </c>
      <c r="B2813" s="42" t="s">
        <v>3008</v>
      </c>
      <c r="C2813" s="42" t="s">
        <v>8553</v>
      </c>
      <c r="D2813" s="43" t="s">
        <v>231</v>
      </c>
      <c r="E2813" s="43" t="s">
        <v>92</v>
      </c>
      <c r="F2813" s="42" t="s">
        <v>11469</v>
      </c>
      <c r="G2813" t="s">
        <v>13197</v>
      </c>
    </row>
    <row r="2814" spans="1:7" x14ac:dyDescent="0.3">
      <c r="A2814" s="42" t="s">
        <v>2817</v>
      </c>
      <c r="B2814" s="42" t="s">
        <v>3009</v>
      </c>
      <c r="C2814" s="42" t="s">
        <v>8554</v>
      </c>
      <c r="D2814" s="43" t="s">
        <v>231</v>
      </c>
      <c r="E2814" s="43" t="s">
        <v>92</v>
      </c>
      <c r="F2814" s="42" t="s">
        <v>11469</v>
      </c>
      <c r="G2814" t="s">
        <v>13197</v>
      </c>
    </row>
    <row r="2815" spans="1:7" x14ac:dyDescent="0.3">
      <c r="A2815" s="42" t="s">
        <v>2817</v>
      </c>
      <c r="B2815" s="42" t="s">
        <v>3010</v>
      </c>
      <c r="C2815" s="42" t="s">
        <v>8555</v>
      </c>
      <c r="D2815" s="43" t="s">
        <v>231</v>
      </c>
      <c r="E2815" s="43" t="s">
        <v>92</v>
      </c>
      <c r="F2815" s="42" t="s">
        <v>11469</v>
      </c>
      <c r="G2815" t="s">
        <v>13197</v>
      </c>
    </row>
    <row r="2816" spans="1:7" x14ac:dyDescent="0.3">
      <c r="A2816" s="42" t="s">
        <v>2817</v>
      </c>
      <c r="B2816" s="42" t="s">
        <v>3011</v>
      </c>
      <c r="C2816" s="42" t="s">
        <v>8556</v>
      </c>
      <c r="D2816" s="43" t="s">
        <v>231</v>
      </c>
      <c r="E2816" s="43" t="s">
        <v>92</v>
      </c>
      <c r="F2816" s="42" t="s">
        <v>11469</v>
      </c>
      <c r="G2816" t="s">
        <v>13197</v>
      </c>
    </row>
    <row r="2817" spans="1:7" x14ac:dyDescent="0.3">
      <c r="A2817" s="42" t="s">
        <v>2817</v>
      </c>
      <c r="B2817" s="42" t="s">
        <v>3012</v>
      </c>
      <c r="C2817" s="42" t="s">
        <v>8557</v>
      </c>
      <c r="D2817" s="43" t="s">
        <v>231</v>
      </c>
      <c r="E2817" s="43" t="s">
        <v>92</v>
      </c>
      <c r="F2817" s="42" t="s">
        <v>11469</v>
      </c>
      <c r="G2817" t="s">
        <v>13197</v>
      </c>
    </row>
    <row r="2818" spans="1:7" x14ac:dyDescent="0.3">
      <c r="A2818" s="42" t="s">
        <v>2817</v>
      </c>
      <c r="B2818" s="42" t="s">
        <v>3013</v>
      </c>
      <c r="C2818" s="42" t="s">
        <v>8558</v>
      </c>
      <c r="D2818" s="43" t="s">
        <v>231</v>
      </c>
      <c r="E2818" s="43" t="s">
        <v>92</v>
      </c>
      <c r="F2818" s="42" t="s">
        <v>11469</v>
      </c>
      <c r="G2818" t="s">
        <v>13197</v>
      </c>
    </row>
    <row r="2819" spans="1:7" x14ac:dyDescent="0.3">
      <c r="A2819" s="42" t="s">
        <v>2817</v>
      </c>
      <c r="B2819" s="42" t="s">
        <v>3014</v>
      </c>
      <c r="C2819" s="42" t="s">
        <v>8559</v>
      </c>
      <c r="D2819" s="43" t="s">
        <v>231</v>
      </c>
      <c r="E2819" s="43" t="s">
        <v>92</v>
      </c>
      <c r="F2819" s="42" t="s">
        <v>192</v>
      </c>
      <c r="G2819" t="s">
        <v>13196</v>
      </c>
    </row>
    <row r="2820" spans="1:7" x14ac:dyDescent="0.3">
      <c r="A2820" s="42" t="s">
        <v>2817</v>
      </c>
      <c r="B2820" s="42" t="s">
        <v>3015</v>
      </c>
      <c r="C2820" s="42" t="s">
        <v>8560</v>
      </c>
      <c r="D2820" s="43" t="s">
        <v>231</v>
      </c>
      <c r="E2820" s="43" t="s">
        <v>92</v>
      </c>
      <c r="F2820" s="42" t="s">
        <v>11469</v>
      </c>
      <c r="G2820" t="s">
        <v>13197</v>
      </c>
    </row>
    <row r="2821" spans="1:7" x14ac:dyDescent="0.3">
      <c r="A2821" s="42" t="s">
        <v>2817</v>
      </c>
      <c r="B2821" s="42" t="s">
        <v>3016</v>
      </c>
      <c r="C2821" s="42" t="s">
        <v>8561</v>
      </c>
      <c r="D2821" s="43" t="s">
        <v>231</v>
      </c>
      <c r="E2821" s="43" t="s">
        <v>92</v>
      </c>
      <c r="F2821" s="42" t="s">
        <v>11469</v>
      </c>
      <c r="G2821" t="s">
        <v>13197</v>
      </c>
    </row>
    <row r="2822" spans="1:7" x14ac:dyDescent="0.3">
      <c r="A2822" s="42" t="s">
        <v>2817</v>
      </c>
      <c r="B2822" s="42" t="s">
        <v>3017</v>
      </c>
      <c r="C2822" s="42" t="s">
        <v>8562</v>
      </c>
      <c r="D2822" s="43" t="s">
        <v>231</v>
      </c>
      <c r="E2822" s="43" t="s">
        <v>92</v>
      </c>
      <c r="F2822" s="42" t="s">
        <v>11469</v>
      </c>
      <c r="G2822" t="s">
        <v>13197</v>
      </c>
    </row>
    <row r="2823" spans="1:7" x14ac:dyDescent="0.3">
      <c r="A2823" s="42" t="s">
        <v>2817</v>
      </c>
      <c r="B2823" s="42" t="s">
        <v>3018</v>
      </c>
      <c r="C2823" s="42" t="s">
        <v>8563</v>
      </c>
      <c r="D2823" s="43" t="s">
        <v>231</v>
      </c>
      <c r="E2823" s="43" t="s">
        <v>92</v>
      </c>
      <c r="F2823" s="42" t="s">
        <v>11469</v>
      </c>
      <c r="G2823" t="s">
        <v>13197</v>
      </c>
    </row>
    <row r="2824" spans="1:7" x14ac:dyDescent="0.3">
      <c r="A2824" s="42" t="s">
        <v>2817</v>
      </c>
      <c r="B2824" s="42" t="s">
        <v>3019</v>
      </c>
      <c r="C2824" s="42" t="s">
        <v>8564</v>
      </c>
      <c r="D2824" s="43" t="s">
        <v>231</v>
      </c>
      <c r="E2824" s="43" t="s">
        <v>92</v>
      </c>
      <c r="F2824" s="42" t="s">
        <v>11469</v>
      </c>
      <c r="G2824" t="s">
        <v>13197</v>
      </c>
    </row>
    <row r="2825" spans="1:7" x14ac:dyDescent="0.3">
      <c r="A2825" s="42" t="s">
        <v>2817</v>
      </c>
      <c r="B2825" s="42" t="s">
        <v>3020</v>
      </c>
      <c r="C2825" s="42" t="s">
        <v>8565</v>
      </c>
      <c r="D2825" s="43" t="s">
        <v>231</v>
      </c>
      <c r="E2825" s="43" t="s">
        <v>92</v>
      </c>
      <c r="F2825" s="42" t="s">
        <v>11469</v>
      </c>
      <c r="G2825" t="s">
        <v>13197</v>
      </c>
    </row>
    <row r="2826" spans="1:7" x14ac:dyDescent="0.3">
      <c r="A2826" s="42" t="s">
        <v>2817</v>
      </c>
      <c r="B2826" s="42" t="s">
        <v>3021</v>
      </c>
      <c r="C2826" s="42" t="s">
        <v>8566</v>
      </c>
      <c r="D2826" s="43" t="s">
        <v>231</v>
      </c>
      <c r="E2826" s="43" t="s">
        <v>92</v>
      </c>
      <c r="F2826" s="42" t="s">
        <v>11469</v>
      </c>
      <c r="G2826" t="s">
        <v>13197</v>
      </c>
    </row>
    <row r="2827" spans="1:7" x14ac:dyDescent="0.3">
      <c r="A2827" s="42" t="s">
        <v>2817</v>
      </c>
      <c r="B2827" s="42" t="s">
        <v>3022</v>
      </c>
      <c r="C2827" s="42" t="s">
        <v>8567</v>
      </c>
      <c r="D2827" s="43" t="s">
        <v>231</v>
      </c>
      <c r="E2827" s="43" t="s">
        <v>92</v>
      </c>
      <c r="F2827" s="42" t="s">
        <v>11469</v>
      </c>
      <c r="G2827" t="s">
        <v>13197</v>
      </c>
    </row>
    <row r="2828" spans="1:7" x14ac:dyDescent="0.3">
      <c r="A2828" s="42" t="s">
        <v>2817</v>
      </c>
      <c r="B2828" s="42" t="s">
        <v>3023</v>
      </c>
      <c r="C2828" s="42" t="s">
        <v>8568</v>
      </c>
      <c r="D2828" s="43" t="s">
        <v>231</v>
      </c>
      <c r="E2828" s="43" t="s">
        <v>92</v>
      </c>
      <c r="F2828" s="42" t="s">
        <v>11469</v>
      </c>
      <c r="G2828" t="s">
        <v>13197</v>
      </c>
    </row>
    <row r="2829" spans="1:7" x14ac:dyDescent="0.3">
      <c r="A2829" s="42" t="s">
        <v>2817</v>
      </c>
      <c r="B2829" s="42" t="s">
        <v>3024</v>
      </c>
      <c r="C2829" s="42" t="s">
        <v>8569</v>
      </c>
      <c r="D2829" s="43" t="s">
        <v>231</v>
      </c>
      <c r="E2829" s="43" t="s">
        <v>92</v>
      </c>
      <c r="F2829" s="42" t="s">
        <v>11469</v>
      </c>
      <c r="G2829" t="s">
        <v>13197</v>
      </c>
    </row>
    <row r="2830" spans="1:7" x14ac:dyDescent="0.3">
      <c r="A2830" s="42" t="s">
        <v>2817</v>
      </c>
      <c r="B2830" s="42" t="s">
        <v>3025</v>
      </c>
      <c r="C2830" s="42" t="s">
        <v>8570</v>
      </c>
      <c r="D2830" s="43" t="s">
        <v>89</v>
      </c>
      <c r="E2830" s="43" t="s">
        <v>1430</v>
      </c>
      <c r="F2830" s="42" t="s">
        <v>137</v>
      </c>
      <c r="G2830" t="s">
        <v>13201</v>
      </c>
    </row>
    <row r="2831" spans="1:7" x14ac:dyDescent="0.3">
      <c r="A2831" s="42" t="s">
        <v>2817</v>
      </c>
      <c r="B2831" s="42" t="s">
        <v>3026</v>
      </c>
      <c r="C2831" s="42" t="s">
        <v>8571</v>
      </c>
      <c r="D2831" s="43" t="s">
        <v>231</v>
      </c>
      <c r="E2831" s="43" t="s">
        <v>92</v>
      </c>
      <c r="F2831" s="42" t="s">
        <v>11469</v>
      </c>
      <c r="G2831" t="s">
        <v>13197</v>
      </c>
    </row>
    <row r="2832" spans="1:7" x14ac:dyDescent="0.3">
      <c r="A2832" s="42" t="s">
        <v>2817</v>
      </c>
      <c r="B2832" s="42" t="s">
        <v>3027</v>
      </c>
      <c r="C2832" s="42" t="s">
        <v>8572</v>
      </c>
      <c r="D2832" s="43" t="s">
        <v>231</v>
      </c>
      <c r="E2832" s="43" t="s">
        <v>92</v>
      </c>
      <c r="F2832" s="42" t="s">
        <v>11469</v>
      </c>
      <c r="G2832" t="s">
        <v>13197</v>
      </c>
    </row>
    <row r="2833" spans="1:7" x14ac:dyDescent="0.3">
      <c r="A2833" s="42" t="s">
        <v>2817</v>
      </c>
      <c r="B2833" s="42" t="s">
        <v>3028</v>
      </c>
      <c r="C2833" s="42" t="s">
        <v>8573</v>
      </c>
      <c r="D2833" s="43" t="s">
        <v>231</v>
      </c>
      <c r="E2833" s="43" t="s">
        <v>92</v>
      </c>
      <c r="F2833" s="42" t="s">
        <v>11469</v>
      </c>
      <c r="G2833" t="s">
        <v>13197</v>
      </c>
    </row>
    <row r="2834" spans="1:7" x14ac:dyDescent="0.3">
      <c r="A2834" s="42" t="s">
        <v>2817</v>
      </c>
      <c r="B2834" s="42" t="s">
        <v>3029</v>
      </c>
      <c r="C2834" s="42" t="s">
        <v>8574</v>
      </c>
      <c r="D2834" s="43" t="s">
        <v>231</v>
      </c>
      <c r="E2834" s="43" t="s">
        <v>92</v>
      </c>
      <c r="F2834" s="42" t="s">
        <v>137</v>
      </c>
      <c r="G2834" t="s">
        <v>13199</v>
      </c>
    </row>
    <row r="2835" spans="1:7" x14ac:dyDescent="0.3">
      <c r="A2835" s="42" t="s">
        <v>2817</v>
      </c>
      <c r="B2835" s="42" t="s">
        <v>3030</v>
      </c>
      <c r="C2835" s="42" t="s">
        <v>8575</v>
      </c>
      <c r="D2835" s="43" t="s">
        <v>231</v>
      </c>
      <c r="E2835" s="43" t="s">
        <v>92</v>
      </c>
      <c r="F2835" s="42" t="s">
        <v>11469</v>
      </c>
      <c r="G2835" t="s">
        <v>13197</v>
      </c>
    </row>
    <row r="2836" spans="1:7" x14ac:dyDescent="0.3">
      <c r="A2836" s="42" t="s">
        <v>2817</v>
      </c>
      <c r="B2836" s="42" t="s">
        <v>3031</v>
      </c>
      <c r="C2836" s="42" t="s">
        <v>8576</v>
      </c>
      <c r="D2836" s="43" t="s">
        <v>231</v>
      </c>
      <c r="E2836" s="43" t="s">
        <v>92</v>
      </c>
      <c r="F2836" s="42" t="s">
        <v>11469</v>
      </c>
      <c r="G2836" t="s">
        <v>13198</v>
      </c>
    </row>
    <row r="2837" spans="1:7" x14ac:dyDescent="0.3">
      <c r="A2837" s="42" t="s">
        <v>2817</v>
      </c>
      <c r="B2837" s="42" t="s">
        <v>3032</v>
      </c>
      <c r="C2837" s="42" t="s">
        <v>8577</v>
      </c>
      <c r="D2837" s="43" t="s">
        <v>231</v>
      </c>
      <c r="E2837" s="43" t="s">
        <v>92</v>
      </c>
      <c r="F2837" s="42" t="s">
        <v>11469</v>
      </c>
      <c r="G2837" t="s">
        <v>13197</v>
      </c>
    </row>
    <row r="2838" spans="1:7" x14ac:dyDescent="0.3">
      <c r="A2838" s="42" t="s">
        <v>2817</v>
      </c>
      <c r="B2838" s="42" t="s">
        <v>3033</v>
      </c>
      <c r="C2838" s="42" t="s">
        <v>8578</v>
      </c>
      <c r="D2838" s="43" t="s">
        <v>231</v>
      </c>
      <c r="E2838" s="43" t="s">
        <v>92</v>
      </c>
      <c r="F2838" s="42" t="s">
        <v>11469</v>
      </c>
      <c r="G2838" t="s">
        <v>13197</v>
      </c>
    </row>
    <row r="2839" spans="1:7" x14ac:dyDescent="0.3">
      <c r="A2839" s="42" t="s">
        <v>2817</v>
      </c>
      <c r="B2839" s="42" t="s">
        <v>3034</v>
      </c>
      <c r="C2839" s="42" t="s">
        <v>8579</v>
      </c>
      <c r="D2839" s="43" t="s">
        <v>231</v>
      </c>
      <c r="E2839" s="43" t="s">
        <v>92</v>
      </c>
      <c r="F2839" s="42" t="s">
        <v>11469</v>
      </c>
      <c r="G2839" t="s">
        <v>13197</v>
      </c>
    </row>
    <row r="2840" spans="1:7" x14ac:dyDescent="0.3">
      <c r="A2840" s="42" t="s">
        <v>2817</v>
      </c>
      <c r="B2840" s="42" t="s">
        <v>3035</v>
      </c>
      <c r="C2840" s="42" t="s">
        <v>8580</v>
      </c>
      <c r="D2840" s="43" t="s">
        <v>231</v>
      </c>
      <c r="E2840" s="43" t="s">
        <v>92</v>
      </c>
      <c r="F2840" s="42" t="s">
        <v>192</v>
      </c>
      <c r="G2840" t="s">
        <v>13196</v>
      </c>
    </row>
    <row r="2841" spans="1:7" x14ac:dyDescent="0.3">
      <c r="A2841" s="42" t="s">
        <v>2817</v>
      </c>
      <c r="B2841" s="42" t="s">
        <v>3036</v>
      </c>
      <c r="C2841" s="42" t="s">
        <v>8581</v>
      </c>
      <c r="D2841" s="43" t="s">
        <v>231</v>
      </c>
      <c r="E2841" s="43" t="s">
        <v>92</v>
      </c>
      <c r="F2841" s="42" t="s">
        <v>11469</v>
      </c>
      <c r="G2841" t="s">
        <v>13197</v>
      </c>
    </row>
    <row r="2842" spans="1:7" x14ac:dyDescent="0.3">
      <c r="A2842" s="42" t="s">
        <v>2817</v>
      </c>
      <c r="B2842" s="42" t="s">
        <v>3037</v>
      </c>
      <c r="C2842" s="42" t="s">
        <v>8582</v>
      </c>
      <c r="D2842" s="43" t="s">
        <v>231</v>
      </c>
      <c r="E2842" s="43" t="s">
        <v>92</v>
      </c>
      <c r="F2842" s="42" t="s">
        <v>137</v>
      </c>
      <c r="G2842" t="s">
        <v>13202</v>
      </c>
    </row>
    <row r="2843" spans="1:7" x14ac:dyDescent="0.3">
      <c r="A2843" s="42" t="s">
        <v>2817</v>
      </c>
      <c r="B2843" s="42" t="s">
        <v>3038</v>
      </c>
      <c r="C2843" s="42" t="s">
        <v>8583</v>
      </c>
      <c r="D2843" s="43" t="s">
        <v>89</v>
      </c>
      <c r="E2843" s="43" t="s">
        <v>1430</v>
      </c>
      <c r="F2843" s="42" t="s">
        <v>137</v>
      </c>
      <c r="G2843" t="s">
        <v>13197</v>
      </c>
    </row>
    <row r="2844" spans="1:7" x14ac:dyDescent="0.3">
      <c r="A2844" s="42" t="s">
        <v>2817</v>
      </c>
      <c r="B2844" s="42" t="s">
        <v>3039</v>
      </c>
      <c r="C2844" s="42" t="s">
        <v>8584</v>
      </c>
      <c r="D2844" s="43" t="s">
        <v>89</v>
      </c>
      <c r="E2844" s="43" t="s">
        <v>1430</v>
      </c>
      <c r="F2844" s="42" t="s">
        <v>137</v>
      </c>
      <c r="G2844" t="s">
        <v>13197</v>
      </c>
    </row>
    <row r="2845" spans="1:7" x14ac:dyDescent="0.3">
      <c r="A2845" s="42" t="s">
        <v>2817</v>
      </c>
      <c r="B2845" s="42" t="s">
        <v>3040</v>
      </c>
      <c r="C2845" s="42" t="s">
        <v>8585</v>
      </c>
      <c r="D2845" s="43" t="s">
        <v>89</v>
      </c>
      <c r="E2845" s="43" t="s">
        <v>1430</v>
      </c>
      <c r="F2845" s="42" t="s">
        <v>137</v>
      </c>
      <c r="G2845" t="s">
        <v>13197</v>
      </c>
    </row>
    <row r="2846" spans="1:7" x14ac:dyDescent="0.3">
      <c r="A2846" s="42" t="s">
        <v>2817</v>
      </c>
      <c r="B2846" s="42" t="s">
        <v>3041</v>
      </c>
      <c r="C2846" s="42" t="s">
        <v>8586</v>
      </c>
      <c r="D2846" s="43" t="s">
        <v>231</v>
      </c>
      <c r="E2846" s="43" t="s">
        <v>92</v>
      </c>
      <c r="F2846" s="42" t="s">
        <v>11469</v>
      </c>
      <c r="G2846" t="s">
        <v>13197</v>
      </c>
    </row>
    <row r="2847" spans="1:7" x14ac:dyDescent="0.3">
      <c r="A2847" s="42" t="s">
        <v>2817</v>
      </c>
      <c r="B2847" s="42" t="s">
        <v>3042</v>
      </c>
      <c r="C2847" s="42" t="s">
        <v>8587</v>
      </c>
      <c r="D2847" s="43" t="s">
        <v>231</v>
      </c>
      <c r="E2847" s="43" t="s">
        <v>92</v>
      </c>
      <c r="F2847" s="42" t="s">
        <v>11469</v>
      </c>
      <c r="G2847" t="s">
        <v>13197</v>
      </c>
    </row>
    <row r="2848" spans="1:7" x14ac:dyDescent="0.3">
      <c r="A2848" s="42" t="s">
        <v>2817</v>
      </c>
      <c r="B2848" s="42" t="s">
        <v>3043</v>
      </c>
      <c r="C2848" s="42" t="s">
        <v>8588</v>
      </c>
      <c r="D2848" s="43" t="s">
        <v>231</v>
      </c>
      <c r="E2848" s="43" t="s">
        <v>92</v>
      </c>
      <c r="F2848" s="42" t="s">
        <v>11469</v>
      </c>
      <c r="G2848" t="s">
        <v>13197</v>
      </c>
    </row>
    <row r="2849" spans="1:7" x14ac:dyDescent="0.3">
      <c r="A2849" s="42" t="s">
        <v>2817</v>
      </c>
      <c r="B2849" s="42" t="s">
        <v>3044</v>
      </c>
      <c r="C2849" s="42" t="s">
        <v>8589</v>
      </c>
      <c r="D2849" s="43" t="s">
        <v>231</v>
      </c>
      <c r="E2849" s="43" t="s">
        <v>92</v>
      </c>
      <c r="F2849" s="42" t="s">
        <v>11469</v>
      </c>
      <c r="G2849" t="s">
        <v>13197</v>
      </c>
    </row>
    <row r="2850" spans="1:7" x14ac:dyDescent="0.3">
      <c r="A2850" s="42" t="s">
        <v>2817</v>
      </c>
      <c r="B2850" s="42" t="s">
        <v>3045</v>
      </c>
      <c r="C2850" s="42" t="s">
        <v>8590</v>
      </c>
      <c r="D2850" s="43" t="s">
        <v>231</v>
      </c>
      <c r="E2850" s="43" t="s">
        <v>92</v>
      </c>
      <c r="F2850" s="42" t="s">
        <v>11469</v>
      </c>
      <c r="G2850" t="s">
        <v>13197</v>
      </c>
    </row>
    <row r="2851" spans="1:7" x14ac:dyDescent="0.3">
      <c r="A2851" s="42" t="s">
        <v>2817</v>
      </c>
      <c r="B2851" s="42" t="s">
        <v>3046</v>
      </c>
      <c r="C2851" s="42" t="s">
        <v>8591</v>
      </c>
      <c r="D2851" s="43" t="s">
        <v>231</v>
      </c>
      <c r="E2851" s="43" t="s">
        <v>92</v>
      </c>
      <c r="F2851" s="42" t="s">
        <v>11469</v>
      </c>
      <c r="G2851" t="s">
        <v>13197</v>
      </c>
    </row>
    <row r="2852" spans="1:7" x14ac:dyDescent="0.3">
      <c r="A2852" s="42" t="s">
        <v>2817</v>
      </c>
      <c r="B2852" s="42" t="s">
        <v>3047</v>
      </c>
      <c r="C2852" s="42" t="s">
        <v>8592</v>
      </c>
      <c r="D2852" s="43" t="s">
        <v>231</v>
      </c>
      <c r="E2852" s="43" t="s">
        <v>92</v>
      </c>
      <c r="F2852" s="42" t="s">
        <v>192</v>
      </c>
      <c r="G2852" t="s">
        <v>13196</v>
      </c>
    </row>
    <row r="2853" spans="1:7" x14ac:dyDescent="0.3">
      <c r="A2853" s="42" t="s">
        <v>2817</v>
      </c>
      <c r="B2853" s="42" t="s">
        <v>3048</v>
      </c>
      <c r="C2853" s="42" t="s">
        <v>8593</v>
      </c>
      <c r="D2853" s="43" t="s">
        <v>231</v>
      </c>
      <c r="E2853" s="43" t="s">
        <v>92</v>
      </c>
      <c r="F2853" s="42" t="s">
        <v>11469</v>
      </c>
      <c r="G2853" t="s">
        <v>13197</v>
      </c>
    </row>
    <row r="2854" spans="1:7" x14ac:dyDescent="0.3">
      <c r="A2854" s="42" t="s">
        <v>2817</v>
      </c>
      <c r="B2854" s="42" t="s">
        <v>3049</v>
      </c>
      <c r="C2854" s="42" t="s">
        <v>8594</v>
      </c>
      <c r="D2854" s="43" t="s">
        <v>231</v>
      </c>
      <c r="E2854" s="43" t="s">
        <v>92</v>
      </c>
      <c r="F2854" s="42" t="s">
        <v>11469</v>
      </c>
      <c r="G2854" t="s">
        <v>13197</v>
      </c>
    </row>
    <row r="2855" spans="1:7" x14ac:dyDescent="0.3">
      <c r="A2855" s="42" t="s">
        <v>2817</v>
      </c>
      <c r="B2855" s="42" t="s">
        <v>3050</v>
      </c>
      <c r="C2855" s="42" t="s">
        <v>8595</v>
      </c>
      <c r="D2855" s="43" t="s">
        <v>231</v>
      </c>
      <c r="E2855" s="43" t="s">
        <v>92</v>
      </c>
      <c r="F2855" s="42" t="s">
        <v>11469</v>
      </c>
      <c r="G2855" t="s">
        <v>13197</v>
      </c>
    </row>
    <row r="2856" spans="1:7" x14ac:dyDescent="0.3">
      <c r="A2856" s="42" t="s">
        <v>2817</v>
      </c>
      <c r="B2856" s="42" t="s">
        <v>3051</v>
      </c>
      <c r="C2856" s="42" t="s">
        <v>8596</v>
      </c>
      <c r="D2856" s="43" t="s">
        <v>231</v>
      </c>
      <c r="E2856" s="43" t="s">
        <v>92</v>
      </c>
      <c r="F2856" s="42" t="s">
        <v>11469</v>
      </c>
      <c r="G2856" t="s">
        <v>13197</v>
      </c>
    </row>
    <row r="2857" spans="1:7" x14ac:dyDescent="0.3">
      <c r="A2857" s="42" t="s">
        <v>2817</v>
      </c>
      <c r="B2857" s="42" t="s">
        <v>3052</v>
      </c>
      <c r="C2857" s="42" t="s">
        <v>8597</v>
      </c>
      <c r="D2857" s="43" t="s">
        <v>231</v>
      </c>
      <c r="E2857" s="43" t="s">
        <v>92</v>
      </c>
      <c r="F2857" s="42" t="s">
        <v>11469</v>
      </c>
      <c r="G2857" t="s">
        <v>13197</v>
      </c>
    </row>
    <row r="2858" spans="1:7" x14ac:dyDescent="0.3">
      <c r="A2858" s="42" t="s">
        <v>2817</v>
      </c>
      <c r="B2858" s="42" t="s">
        <v>3053</v>
      </c>
      <c r="C2858" s="42" t="s">
        <v>8598</v>
      </c>
      <c r="D2858" s="43" t="s">
        <v>231</v>
      </c>
      <c r="E2858" s="43" t="s">
        <v>92</v>
      </c>
      <c r="F2858" s="42" t="s">
        <v>192</v>
      </c>
      <c r="G2858" t="s">
        <v>13196</v>
      </c>
    </row>
    <row r="2859" spans="1:7" x14ac:dyDescent="0.3">
      <c r="A2859" s="42" t="s">
        <v>2817</v>
      </c>
      <c r="B2859" s="42" t="s">
        <v>3054</v>
      </c>
      <c r="C2859" s="42" t="s">
        <v>8599</v>
      </c>
      <c r="D2859" s="43" t="s">
        <v>231</v>
      </c>
      <c r="E2859" s="43" t="s">
        <v>92</v>
      </c>
      <c r="F2859" s="42" t="s">
        <v>11469</v>
      </c>
      <c r="G2859" t="s">
        <v>13197</v>
      </c>
    </row>
    <row r="2860" spans="1:7" x14ac:dyDescent="0.3">
      <c r="A2860" s="42" t="s">
        <v>2817</v>
      </c>
      <c r="B2860" s="42" t="s">
        <v>3055</v>
      </c>
      <c r="C2860" s="42" t="s">
        <v>8600</v>
      </c>
      <c r="D2860" s="43" t="s">
        <v>89</v>
      </c>
      <c r="E2860" s="43" t="s">
        <v>1430</v>
      </c>
      <c r="F2860" s="42" t="s">
        <v>137</v>
      </c>
      <c r="G2860" t="s">
        <v>13197</v>
      </c>
    </row>
    <row r="2861" spans="1:7" x14ac:dyDescent="0.3">
      <c r="A2861" s="42" t="s">
        <v>2817</v>
      </c>
      <c r="B2861" s="42" t="s">
        <v>3056</v>
      </c>
      <c r="C2861" s="42" t="s">
        <v>8601</v>
      </c>
      <c r="D2861" s="43" t="s">
        <v>231</v>
      </c>
      <c r="E2861" s="43" t="s">
        <v>92</v>
      </c>
      <c r="F2861" s="42" t="s">
        <v>11469</v>
      </c>
      <c r="G2861" t="s">
        <v>13197</v>
      </c>
    </row>
    <row r="2862" spans="1:7" x14ac:dyDescent="0.3">
      <c r="A2862" s="42" t="s">
        <v>2817</v>
      </c>
      <c r="B2862" s="42" t="s">
        <v>3057</v>
      </c>
      <c r="C2862" s="42" t="s">
        <v>8602</v>
      </c>
      <c r="D2862" s="43" t="s">
        <v>231</v>
      </c>
      <c r="E2862" s="43" t="s">
        <v>92</v>
      </c>
      <c r="F2862" s="42" t="s">
        <v>11469</v>
      </c>
      <c r="G2862" t="s">
        <v>13197</v>
      </c>
    </row>
    <row r="2863" spans="1:7" x14ac:dyDescent="0.3">
      <c r="A2863" s="42" t="s">
        <v>2817</v>
      </c>
      <c r="B2863" s="42" t="s">
        <v>3058</v>
      </c>
      <c r="C2863" s="42" t="s">
        <v>8603</v>
      </c>
      <c r="D2863" s="43" t="s">
        <v>231</v>
      </c>
      <c r="E2863" s="43" t="s">
        <v>92</v>
      </c>
      <c r="F2863" s="42" t="s">
        <v>192</v>
      </c>
      <c r="G2863" t="s">
        <v>13196</v>
      </c>
    </row>
    <row r="2864" spans="1:7" x14ac:dyDescent="0.3">
      <c r="A2864" s="42" t="s">
        <v>2817</v>
      </c>
      <c r="B2864" s="42" t="s">
        <v>3059</v>
      </c>
      <c r="C2864" s="42" t="s">
        <v>8604</v>
      </c>
      <c r="D2864" s="43" t="s">
        <v>231</v>
      </c>
      <c r="E2864" s="43" t="s">
        <v>92</v>
      </c>
      <c r="F2864" s="42" t="s">
        <v>11469</v>
      </c>
      <c r="G2864" t="s">
        <v>13197</v>
      </c>
    </row>
    <row r="2865" spans="1:7" x14ac:dyDescent="0.3">
      <c r="A2865" s="42" t="s">
        <v>2817</v>
      </c>
      <c r="B2865" s="42" t="s">
        <v>3060</v>
      </c>
      <c r="C2865" s="42" t="s">
        <v>8605</v>
      </c>
      <c r="D2865" s="43" t="s">
        <v>231</v>
      </c>
      <c r="E2865" s="43" t="s">
        <v>92</v>
      </c>
      <c r="F2865" s="42" t="s">
        <v>11469</v>
      </c>
      <c r="G2865" t="s">
        <v>13197</v>
      </c>
    </row>
    <row r="2866" spans="1:7" x14ac:dyDescent="0.3">
      <c r="A2866" s="42" t="s">
        <v>2817</v>
      </c>
      <c r="B2866" s="42" t="s">
        <v>3061</v>
      </c>
      <c r="C2866" s="42" t="s">
        <v>8606</v>
      </c>
      <c r="D2866" s="43" t="s">
        <v>231</v>
      </c>
      <c r="E2866" s="43" t="s">
        <v>92</v>
      </c>
      <c r="F2866" s="42" t="s">
        <v>192</v>
      </c>
      <c r="G2866" t="s">
        <v>13196</v>
      </c>
    </row>
    <row r="2867" spans="1:7" x14ac:dyDescent="0.3">
      <c r="A2867" s="42" t="s">
        <v>2817</v>
      </c>
      <c r="B2867" s="42" t="s">
        <v>3062</v>
      </c>
      <c r="C2867" s="42" t="s">
        <v>8607</v>
      </c>
      <c r="D2867" s="43" t="s">
        <v>231</v>
      </c>
      <c r="E2867" s="43" t="s">
        <v>92</v>
      </c>
      <c r="F2867" s="42" t="s">
        <v>11469</v>
      </c>
      <c r="G2867" t="s">
        <v>13197</v>
      </c>
    </row>
    <row r="2868" spans="1:7" x14ac:dyDescent="0.3">
      <c r="A2868" s="42" t="s">
        <v>2817</v>
      </c>
      <c r="B2868" s="42" t="s">
        <v>3063</v>
      </c>
      <c r="C2868" s="42" t="s">
        <v>8608</v>
      </c>
      <c r="D2868" s="43" t="s">
        <v>231</v>
      </c>
      <c r="E2868" s="43" t="s">
        <v>92</v>
      </c>
      <c r="F2868" s="42" t="s">
        <v>11469</v>
      </c>
      <c r="G2868" t="s">
        <v>13197</v>
      </c>
    </row>
    <row r="2869" spans="1:7" x14ac:dyDescent="0.3">
      <c r="A2869" s="42" t="s">
        <v>1553</v>
      </c>
      <c r="B2869" s="42" t="s">
        <v>1716</v>
      </c>
      <c r="C2869" s="42" t="s">
        <v>7239</v>
      </c>
      <c r="D2869" s="44" t="s">
        <v>91</v>
      </c>
      <c r="E2869" s="43" t="s">
        <v>91</v>
      </c>
      <c r="F2869" s="42" t="s">
        <v>137</v>
      </c>
      <c r="G2869" t="s">
        <v>13196</v>
      </c>
    </row>
    <row r="2870" spans="1:7" x14ac:dyDescent="0.3">
      <c r="A2870" s="42" t="s">
        <v>2817</v>
      </c>
      <c r="B2870" s="42" t="s">
        <v>3064</v>
      </c>
      <c r="C2870" s="42" t="s">
        <v>8609</v>
      </c>
      <c r="D2870" s="43" t="s">
        <v>231</v>
      </c>
      <c r="E2870" s="43" t="s">
        <v>92</v>
      </c>
      <c r="F2870" s="42" t="s">
        <v>11469</v>
      </c>
      <c r="G2870" t="s">
        <v>13197</v>
      </c>
    </row>
    <row r="2871" spans="1:7" x14ac:dyDescent="0.3">
      <c r="A2871" s="42" t="s">
        <v>2817</v>
      </c>
      <c r="B2871" s="42" t="s">
        <v>3065</v>
      </c>
      <c r="C2871" s="42" t="s">
        <v>8610</v>
      </c>
      <c r="D2871" s="43" t="s">
        <v>231</v>
      </c>
      <c r="E2871" s="43" t="s">
        <v>92</v>
      </c>
      <c r="F2871" s="42" t="s">
        <v>11469</v>
      </c>
      <c r="G2871" t="s">
        <v>13197</v>
      </c>
    </row>
    <row r="2872" spans="1:7" x14ac:dyDescent="0.3">
      <c r="A2872" s="42" t="s">
        <v>2817</v>
      </c>
      <c r="B2872" s="42" t="s">
        <v>3066</v>
      </c>
      <c r="C2872" s="42" t="s">
        <v>8611</v>
      </c>
      <c r="D2872" s="43" t="s">
        <v>231</v>
      </c>
      <c r="E2872" s="43" t="s">
        <v>92</v>
      </c>
      <c r="F2872" s="42" t="s">
        <v>11469</v>
      </c>
      <c r="G2872" t="s">
        <v>13197</v>
      </c>
    </row>
    <row r="2873" spans="1:7" x14ac:dyDescent="0.3">
      <c r="A2873" s="42" t="s">
        <v>2817</v>
      </c>
      <c r="B2873" s="42" t="s">
        <v>3067</v>
      </c>
      <c r="C2873" s="42" t="s">
        <v>8612</v>
      </c>
      <c r="D2873" s="43" t="s">
        <v>231</v>
      </c>
      <c r="E2873" s="43" t="s">
        <v>92</v>
      </c>
      <c r="F2873" s="42" t="s">
        <v>11469</v>
      </c>
      <c r="G2873" t="s">
        <v>13197</v>
      </c>
    </row>
    <row r="2874" spans="1:7" x14ac:dyDescent="0.3">
      <c r="A2874" s="42" t="s">
        <v>2817</v>
      </c>
      <c r="B2874" s="42" t="s">
        <v>3068</v>
      </c>
      <c r="C2874" s="42" t="s">
        <v>8613</v>
      </c>
      <c r="D2874" s="43" t="s">
        <v>231</v>
      </c>
      <c r="E2874" s="43" t="s">
        <v>92</v>
      </c>
      <c r="F2874" s="42" t="s">
        <v>11469</v>
      </c>
      <c r="G2874" t="s">
        <v>13197</v>
      </c>
    </row>
    <row r="2875" spans="1:7" x14ac:dyDescent="0.3">
      <c r="A2875" s="42" t="s">
        <v>2817</v>
      </c>
      <c r="B2875" s="42" t="s">
        <v>3069</v>
      </c>
      <c r="C2875" s="42" t="s">
        <v>8614</v>
      </c>
      <c r="D2875" s="43" t="s">
        <v>231</v>
      </c>
      <c r="E2875" s="43" t="s">
        <v>92</v>
      </c>
      <c r="F2875" s="42" t="s">
        <v>11469</v>
      </c>
      <c r="G2875" t="s">
        <v>13197</v>
      </c>
    </row>
    <row r="2876" spans="1:7" x14ac:dyDescent="0.3">
      <c r="A2876" s="42" t="s">
        <v>2817</v>
      </c>
      <c r="B2876" s="42" t="s">
        <v>3070</v>
      </c>
      <c r="C2876" s="42" t="s">
        <v>8615</v>
      </c>
      <c r="D2876" s="43" t="s">
        <v>231</v>
      </c>
      <c r="E2876" s="43" t="s">
        <v>92</v>
      </c>
      <c r="F2876" s="42" t="s">
        <v>192</v>
      </c>
      <c r="G2876" t="s">
        <v>13196</v>
      </c>
    </row>
    <row r="2877" spans="1:7" x14ac:dyDescent="0.3">
      <c r="A2877" s="42" t="s">
        <v>2817</v>
      </c>
      <c r="B2877" s="42" t="s">
        <v>3071</v>
      </c>
      <c r="C2877" s="42" t="s">
        <v>8616</v>
      </c>
      <c r="D2877" s="43" t="s">
        <v>231</v>
      </c>
      <c r="E2877" s="43" t="s">
        <v>92</v>
      </c>
      <c r="F2877" s="42" t="s">
        <v>11469</v>
      </c>
      <c r="G2877" t="s">
        <v>13197</v>
      </c>
    </row>
    <row r="2878" spans="1:7" x14ac:dyDescent="0.3">
      <c r="A2878" s="42" t="s">
        <v>2817</v>
      </c>
      <c r="B2878" s="42" t="s">
        <v>3072</v>
      </c>
      <c r="C2878" s="42" t="s">
        <v>8617</v>
      </c>
      <c r="D2878" s="43" t="s">
        <v>231</v>
      </c>
      <c r="E2878" s="43" t="s">
        <v>92</v>
      </c>
      <c r="F2878" s="42" t="s">
        <v>11469</v>
      </c>
      <c r="G2878" t="s">
        <v>13197</v>
      </c>
    </row>
    <row r="2879" spans="1:7" x14ac:dyDescent="0.3">
      <c r="A2879" s="42" t="s">
        <v>2817</v>
      </c>
      <c r="B2879" s="42" t="s">
        <v>3073</v>
      </c>
      <c r="C2879" s="42" t="s">
        <v>8618</v>
      </c>
      <c r="D2879" s="43" t="s">
        <v>231</v>
      </c>
      <c r="E2879" s="43" t="s">
        <v>92</v>
      </c>
      <c r="F2879" s="42" t="s">
        <v>137</v>
      </c>
      <c r="G2879" t="s">
        <v>13203</v>
      </c>
    </row>
    <row r="2880" spans="1:7" x14ac:dyDescent="0.3">
      <c r="A2880" s="42" t="s">
        <v>2817</v>
      </c>
      <c r="B2880" s="42" t="s">
        <v>3074</v>
      </c>
      <c r="C2880" s="42" t="s">
        <v>8619</v>
      </c>
      <c r="D2880" s="43" t="s">
        <v>231</v>
      </c>
      <c r="E2880" s="43" t="s">
        <v>92</v>
      </c>
      <c r="F2880" s="42" t="s">
        <v>11469</v>
      </c>
      <c r="G2880" t="s">
        <v>13197</v>
      </c>
    </row>
    <row r="2881" spans="1:7" x14ac:dyDescent="0.3">
      <c r="A2881" s="42" t="s">
        <v>2817</v>
      </c>
      <c r="B2881" s="42" t="s">
        <v>3075</v>
      </c>
      <c r="C2881" s="42" t="s">
        <v>8620</v>
      </c>
      <c r="D2881" s="43" t="s">
        <v>231</v>
      </c>
      <c r="E2881" s="43" t="s">
        <v>92</v>
      </c>
      <c r="F2881" s="42" t="s">
        <v>11469</v>
      </c>
      <c r="G2881" t="s">
        <v>13197</v>
      </c>
    </row>
    <row r="2882" spans="1:7" x14ac:dyDescent="0.3">
      <c r="A2882" s="42" t="s">
        <v>2817</v>
      </c>
      <c r="B2882" s="42" t="s">
        <v>3076</v>
      </c>
      <c r="C2882" s="42" t="s">
        <v>8621</v>
      </c>
      <c r="D2882" s="43" t="s">
        <v>231</v>
      </c>
      <c r="E2882" s="43" t="s">
        <v>92</v>
      </c>
      <c r="F2882" s="42" t="s">
        <v>11469</v>
      </c>
      <c r="G2882" t="s">
        <v>13197</v>
      </c>
    </row>
    <row r="2883" spans="1:7" x14ac:dyDescent="0.3">
      <c r="A2883" s="42" t="s">
        <v>2817</v>
      </c>
      <c r="B2883" s="42" t="s">
        <v>3077</v>
      </c>
      <c r="C2883" s="42" t="s">
        <v>8622</v>
      </c>
      <c r="D2883" s="43" t="s">
        <v>231</v>
      </c>
      <c r="E2883" s="43" t="s">
        <v>92</v>
      </c>
      <c r="F2883" s="42" t="s">
        <v>192</v>
      </c>
      <c r="G2883" t="s">
        <v>13196</v>
      </c>
    </row>
    <row r="2884" spans="1:7" x14ac:dyDescent="0.3">
      <c r="A2884" s="42" t="s">
        <v>2817</v>
      </c>
      <c r="B2884" s="42" t="s">
        <v>3078</v>
      </c>
      <c r="C2884" s="42" t="s">
        <v>8623</v>
      </c>
      <c r="D2884" s="43" t="s">
        <v>231</v>
      </c>
      <c r="E2884" s="43" t="s">
        <v>92</v>
      </c>
      <c r="F2884" s="42" t="s">
        <v>11469</v>
      </c>
      <c r="G2884" t="s">
        <v>13197</v>
      </c>
    </row>
    <row r="2885" spans="1:7" x14ac:dyDescent="0.3">
      <c r="A2885" s="42" t="s">
        <v>2817</v>
      </c>
      <c r="B2885" s="42" t="s">
        <v>3079</v>
      </c>
      <c r="C2885" s="42" t="s">
        <v>8624</v>
      </c>
      <c r="D2885" s="43" t="s">
        <v>231</v>
      </c>
      <c r="E2885" s="43" t="s">
        <v>92</v>
      </c>
      <c r="F2885" s="42" t="s">
        <v>11469</v>
      </c>
      <c r="G2885" t="s">
        <v>13197</v>
      </c>
    </row>
    <row r="2886" spans="1:7" x14ac:dyDescent="0.3">
      <c r="A2886" s="42" t="s">
        <v>2817</v>
      </c>
      <c r="B2886" s="42" t="s">
        <v>3080</v>
      </c>
      <c r="C2886" s="42" t="s">
        <v>8625</v>
      </c>
      <c r="D2886" s="43" t="s">
        <v>231</v>
      </c>
      <c r="E2886" s="43" t="s">
        <v>92</v>
      </c>
      <c r="F2886" s="42" t="s">
        <v>11469</v>
      </c>
      <c r="G2886" t="s">
        <v>13197</v>
      </c>
    </row>
    <row r="2887" spans="1:7" x14ac:dyDescent="0.3">
      <c r="A2887" s="42" t="s">
        <v>1432</v>
      </c>
      <c r="B2887" s="42" t="s">
        <v>1433</v>
      </c>
      <c r="C2887" s="42" t="s">
        <v>6955</v>
      </c>
      <c r="D2887" s="43" t="s">
        <v>136</v>
      </c>
      <c r="E2887" s="43" t="s">
        <v>92</v>
      </c>
      <c r="F2887" s="42" t="s">
        <v>192</v>
      </c>
      <c r="G2887" t="s">
        <v>13196</v>
      </c>
    </row>
    <row r="2888" spans="1:7" x14ac:dyDescent="0.3">
      <c r="A2888" s="42" t="s">
        <v>2817</v>
      </c>
      <c r="B2888" s="42" t="s">
        <v>3081</v>
      </c>
      <c r="C2888" s="42" t="s">
        <v>8626</v>
      </c>
      <c r="D2888" s="43" t="s">
        <v>231</v>
      </c>
      <c r="E2888" s="43" t="s">
        <v>92</v>
      </c>
      <c r="F2888" s="42" t="s">
        <v>11469</v>
      </c>
      <c r="G2888" t="s">
        <v>13197</v>
      </c>
    </row>
    <row r="2889" spans="1:7" x14ac:dyDescent="0.3">
      <c r="A2889" s="42" t="s">
        <v>2817</v>
      </c>
      <c r="B2889" s="42" t="s">
        <v>3082</v>
      </c>
      <c r="C2889" s="42" t="s">
        <v>8627</v>
      </c>
      <c r="D2889" s="43" t="s">
        <v>231</v>
      </c>
      <c r="E2889" s="43" t="s">
        <v>92</v>
      </c>
      <c r="F2889" s="42" t="s">
        <v>11469</v>
      </c>
      <c r="G2889" t="s">
        <v>13197</v>
      </c>
    </row>
    <row r="2890" spans="1:7" x14ac:dyDescent="0.3">
      <c r="A2890" s="42" t="s">
        <v>2817</v>
      </c>
      <c r="B2890" s="42" t="s">
        <v>3083</v>
      </c>
      <c r="C2890" s="42" t="s">
        <v>8628</v>
      </c>
      <c r="D2890" s="43" t="s">
        <v>231</v>
      </c>
      <c r="E2890" s="43" t="s">
        <v>92</v>
      </c>
      <c r="F2890" s="42" t="s">
        <v>11469</v>
      </c>
      <c r="G2890" t="s">
        <v>13197</v>
      </c>
    </row>
    <row r="2891" spans="1:7" x14ac:dyDescent="0.3">
      <c r="A2891" s="42" t="s">
        <v>2817</v>
      </c>
      <c r="B2891" s="42" t="s">
        <v>3084</v>
      </c>
      <c r="C2891" s="42" t="s">
        <v>8629</v>
      </c>
      <c r="D2891" s="43" t="s">
        <v>231</v>
      </c>
      <c r="E2891" s="43" t="s">
        <v>92</v>
      </c>
      <c r="F2891" s="42" t="s">
        <v>11469</v>
      </c>
      <c r="G2891" t="s">
        <v>13197</v>
      </c>
    </row>
    <row r="2892" spans="1:7" x14ac:dyDescent="0.3">
      <c r="A2892" s="42" t="s">
        <v>2817</v>
      </c>
      <c r="B2892" s="42" t="s">
        <v>3085</v>
      </c>
      <c r="C2892" s="42" t="s">
        <v>8630</v>
      </c>
      <c r="D2892" s="43" t="s">
        <v>231</v>
      </c>
      <c r="E2892" s="43" t="s">
        <v>92</v>
      </c>
      <c r="F2892" s="42" t="s">
        <v>192</v>
      </c>
      <c r="G2892" t="s">
        <v>13196</v>
      </c>
    </row>
    <row r="2893" spans="1:7" x14ac:dyDescent="0.3">
      <c r="A2893" s="42" t="s">
        <v>2817</v>
      </c>
      <c r="B2893" s="42" t="s">
        <v>3086</v>
      </c>
      <c r="C2893" s="42" t="s">
        <v>8631</v>
      </c>
      <c r="D2893" s="43" t="s">
        <v>231</v>
      </c>
      <c r="E2893" s="43" t="s">
        <v>92</v>
      </c>
      <c r="F2893" s="42" t="s">
        <v>192</v>
      </c>
      <c r="G2893" t="s">
        <v>13196</v>
      </c>
    </row>
    <row r="2894" spans="1:7" x14ac:dyDescent="0.3">
      <c r="A2894" s="42" t="s">
        <v>2817</v>
      </c>
      <c r="B2894" s="42" t="s">
        <v>3087</v>
      </c>
      <c r="C2894" s="42" t="s">
        <v>8632</v>
      </c>
      <c r="D2894" s="43" t="s">
        <v>231</v>
      </c>
      <c r="E2894" s="43" t="s">
        <v>92</v>
      </c>
      <c r="F2894" s="42" t="s">
        <v>11469</v>
      </c>
      <c r="G2894" t="s">
        <v>13197</v>
      </c>
    </row>
    <row r="2895" spans="1:7" x14ac:dyDescent="0.3">
      <c r="A2895" s="42" t="s">
        <v>2817</v>
      </c>
      <c r="B2895" s="42" t="s">
        <v>3088</v>
      </c>
      <c r="C2895" s="42" t="s">
        <v>8633</v>
      </c>
      <c r="D2895" s="43" t="s">
        <v>231</v>
      </c>
      <c r="E2895" s="43" t="s">
        <v>92</v>
      </c>
      <c r="F2895" s="42" t="s">
        <v>11469</v>
      </c>
      <c r="G2895" t="s">
        <v>13197</v>
      </c>
    </row>
    <row r="2896" spans="1:7" x14ac:dyDescent="0.3">
      <c r="A2896" s="42" t="s">
        <v>2817</v>
      </c>
      <c r="B2896" s="42" t="s">
        <v>3089</v>
      </c>
      <c r="C2896" s="42" t="s">
        <v>8634</v>
      </c>
      <c r="D2896" s="43" t="s">
        <v>231</v>
      </c>
      <c r="E2896" s="43" t="s">
        <v>92</v>
      </c>
      <c r="F2896" s="42" t="s">
        <v>11469</v>
      </c>
      <c r="G2896" t="s">
        <v>13197</v>
      </c>
    </row>
    <row r="2897" spans="1:7" x14ac:dyDescent="0.3">
      <c r="A2897" s="42" t="s">
        <v>2817</v>
      </c>
      <c r="B2897" s="42" t="s">
        <v>3090</v>
      </c>
      <c r="C2897" s="42" t="s">
        <v>8635</v>
      </c>
      <c r="D2897" s="43" t="s">
        <v>231</v>
      </c>
      <c r="E2897" s="43" t="s">
        <v>92</v>
      </c>
      <c r="F2897" s="42" t="s">
        <v>11469</v>
      </c>
      <c r="G2897" t="s">
        <v>13197</v>
      </c>
    </row>
    <row r="2898" spans="1:7" x14ac:dyDescent="0.3">
      <c r="A2898" s="42" t="s">
        <v>2817</v>
      </c>
      <c r="B2898" s="42" t="s">
        <v>3091</v>
      </c>
      <c r="C2898" s="42" t="s">
        <v>8636</v>
      </c>
      <c r="D2898" s="43" t="s">
        <v>231</v>
      </c>
      <c r="E2898" s="43" t="s">
        <v>92</v>
      </c>
      <c r="F2898" s="42" t="s">
        <v>11469</v>
      </c>
      <c r="G2898" t="s">
        <v>13197</v>
      </c>
    </row>
    <row r="2899" spans="1:7" x14ac:dyDescent="0.3">
      <c r="A2899" s="42" t="s">
        <v>2817</v>
      </c>
      <c r="B2899" s="42" t="s">
        <v>3092</v>
      </c>
      <c r="C2899" s="42" t="s">
        <v>8637</v>
      </c>
      <c r="D2899" s="43" t="s">
        <v>231</v>
      </c>
      <c r="E2899" s="43" t="s">
        <v>92</v>
      </c>
      <c r="F2899" s="42" t="s">
        <v>11469</v>
      </c>
      <c r="G2899" t="s">
        <v>13197</v>
      </c>
    </row>
    <row r="2900" spans="1:7" x14ac:dyDescent="0.3">
      <c r="A2900" s="42" t="s">
        <v>2817</v>
      </c>
      <c r="B2900" s="42" t="s">
        <v>3093</v>
      </c>
      <c r="C2900" s="42" t="s">
        <v>8638</v>
      </c>
      <c r="D2900" s="43" t="s">
        <v>231</v>
      </c>
      <c r="E2900" s="43" t="s">
        <v>92</v>
      </c>
      <c r="F2900" s="42" t="s">
        <v>11469</v>
      </c>
      <c r="G2900" t="s">
        <v>13197</v>
      </c>
    </row>
    <row r="2901" spans="1:7" x14ac:dyDescent="0.3">
      <c r="A2901" s="42" t="s">
        <v>2817</v>
      </c>
      <c r="B2901" s="42" t="s">
        <v>3094</v>
      </c>
      <c r="C2901" s="42" t="s">
        <v>8639</v>
      </c>
      <c r="D2901" s="43" t="s">
        <v>231</v>
      </c>
      <c r="E2901" s="43" t="s">
        <v>92</v>
      </c>
      <c r="F2901" s="42" t="s">
        <v>11469</v>
      </c>
      <c r="G2901" t="s">
        <v>13197</v>
      </c>
    </row>
    <row r="2902" spans="1:7" x14ac:dyDescent="0.3">
      <c r="A2902" s="42" t="s">
        <v>2817</v>
      </c>
      <c r="B2902" s="42" t="s">
        <v>3095</v>
      </c>
      <c r="C2902" s="42" t="s">
        <v>8640</v>
      </c>
      <c r="D2902" s="43" t="s">
        <v>231</v>
      </c>
      <c r="E2902" s="43" t="s">
        <v>92</v>
      </c>
      <c r="F2902" s="42" t="s">
        <v>11469</v>
      </c>
      <c r="G2902" t="s">
        <v>13197</v>
      </c>
    </row>
    <row r="2903" spans="1:7" x14ac:dyDescent="0.3">
      <c r="A2903" s="42" t="s">
        <v>2817</v>
      </c>
      <c r="B2903" s="42" t="s">
        <v>3096</v>
      </c>
      <c r="C2903" s="42" t="s">
        <v>8641</v>
      </c>
      <c r="D2903" s="43" t="s">
        <v>231</v>
      </c>
      <c r="E2903" s="43" t="s">
        <v>92</v>
      </c>
      <c r="F2903" s="42" t="s">
        <v>11469</v>
      </c>
      <c r="G2903" t="s">
        <v>13197</v>
      </c>
    </row>
    <row r="2904" spans="1:7" x14ac:dyDescent="0.3">
      <c r="A2904" s="42" t="s">
        <v>2817</v>
      </c>
      <c r="B2904" s="42" t="s">
        <v>3097</v>
      </c>
      <c r="C2904" s="42" t="s">
        <v>8642</v>
      </c>
      <c r="D2904" s="43" t="s">
        <v>231</v>
      </c>
      <c r="E2904" s="43" t="s">
        <v>92</v>
      </c>
      <c r="F2904" s="42" t="s">
        <v>192</v>
      </c>
      <c r="G2904" t="s">
        <v>13196</v>
      </c>
    </row>
    <row r="2905" spans="1:7" x14ac:dyDescent="0.3">
      <c r="A2905" s="42" t="s">
        <v>2817</v>
      </c>
      <c r="B2905" s="42" t="s">
        <v>3098</v>
      </c>
      <c r="C2905" s="42" t="s">
        <v>8643</v>
      </c>
      <c r="D2905" s="43" t="s">
        <v>231</v>
      </c>
      <c r="E2905" s="43" t="s">
        <v>92</v>
      </c>
      <c r="F2905" s="42" t="s">
        <v>192</v>
      </c>
      <c r="G2905" t="s">
        <v>13196</v>
      </c>
    </row>
    <row r="2906" spans="1:7" x14ac:dyDescent="0.3">
      <c r="A2906" s="42" t="s">
        <v>2817</v>
      </c>
      <c r="B2906" s="42" t="s">
        <v>3099</v>
      </c>
      <c r="C2906" s="42" t="s">
        <v>8644</v>
      </c>
      <c r="D2906" s="43" t="s">
        <v>231</v>
      </c>
      <c r="E2906" s="43" t="s">
        <v>92</v>
      </c>
      <c r="F2906" s="42" t="s">
        <v>11469</v>
      </c>
      <c r="G2906" t="s">
        <v>13197</v>
      </c>
    </row>
    <row r="2907" spans="1:7" x14ac:dyDescent="0.3">
      <c r="A2907" s="42" t="s">
        <v>2817</v>
      </c>
      <c r="B2907" s="42" t="s">
        <v>3100</v>
      </c>
      <c r="C2907" s="42" t="s">
        <v>8645</v>
      </c>
      <c r="D2907" s="43" t="s">
        <v>231</v>
      </c>
      <c r="E2907" s="43" t="s">
        <v>92</v>
      </c>
      <c r="F2907" s="42" t="s">
        <v>11469</v>
      </c>
      <c r="G2907" t="s">
        <v>13197</v>
      </c>
    </row>
    <row r="2908" spans="1:7" x14ac:dyDescent="0.3">
      <c r="A2908" s="42" t="s">
        <v>2817</v>
      </c>
      <c r="B2908" s="42" t="s">
        <v>1376</v>
      </c>
      <c r="C2908" s="42" t="s">
        <v>8646</v>
      </c>
      <c r="D2908" s="43" t="s">
        <v>231</v>
      </c>
      <c r="E2908" s="43" t="s">
        <v>92</v>
      </c>
      <c r="F2908" s="42" t="s">
        <v>11469</v>
      </c>
      <c r="G2908" t="s">
        <v>13197</v>
      </c>
    </row>
    <row r="2909" spans="1:7" x14ac:dyDescent="0.3">
      <c r="A2909" s="42" t="s">
        <v>2817</v>
      </c>
      <c r="B2909" s="42" t="s">
        <v>3101</v>
      </c>
      <c r="C2909" s="42" t="s">
        <v>8647</v>
      </c>
      <c r="D2909" s="43" t="s">
        <v>231</v>
      </c>
      <c r="E2909" s="43" t="s">
        <v>92</v>
      </c>
      <c r="F2909" s="42" t="s">
        <v>11469</v>
      </c>
      <c r="G2909" t="s">
        <v>13197</v>
      </c>
    </row>
    <row r="2910" spans="1:7" x14ac:dyDescent="0.3">
      <c r="A2910" s="42" t="s">
        <v>2817</v>
      </c>
      <c r="B2910" s="42" t="s">
        <v>3102</v>
      </c>
      <c r="C2910" s="42" t="s">
        <v>8648</v>
      </c>
      <c r="D2910" s="43" t="s">
        <v>231</v>
      </c>
      <c r="E2910" s="43" t="s">
        <v>92</v>
      </c>
      <c r="F2910" s="42" t="s">
        <v>11469</v>
      </c>
      <c r="G2910" t="s">
        <v>13197</v>
      </c>
    </row>
    <row r="2911" spans="1:7" x14ac:dyDescent="0.3">
      <c r="A2911" s="42" t="s">
        <v>2817</v>
      </c>
      <c r="B2911" s="42" t="s">
        <v>3103</v>
      </c>
      <c r="C2911" s="42" t="s">
        <v>8649</v>
      </c>
      <c r="D2911" s="43" t="s">
        <v>231</v>
      </c>
      <c r="E2911" s="43" t="s">
        <v>92</v>
      </c>
      <c r="F2911" s="42" t="s">
        <v>11469</v>
      </c>
      <c r="G2911" t="s">
        <v>13197</v>
      </c>
    </row>
    <row r="2912" spans="1:7" x14ac:dyDescent="0.3">
      <c r="A2912" s="42" t="s">
        <v>2817</v>
      </c>
      <c r="B2912" s="42" t="s">
        <v>3104</v>
      </c>
      <c r="C2912" s="42" t="s">
        <v>8650</v>
      </c>
      <c r="D2912" s="43" t="s">
        <v>231</v>
      </c>
      <c r="E2912" s="43" t="s">
        <v>92</v>
      </c>
      <c r="F2912" s="42" t="s">
        <v>11469</v>
      </c>
      <c r="G2912" t="s">
        <v>13198</v>
      </c>
    </row>
    <row r="2913" spans="1:7" x14ac:dyDescent="0.3">
      <c r="A2913" s="42" t="s">
        <v>2817</v>
      </c>
      <c r="B2913" s="42" t="s">
        <v>3105</v>
      </c>
      <c r="C2913" s="42" t="s">
        <v>8651</v>
      </c>
      <c r="D2913" s="43" t="s">
        <v>231</v>
      </c>
      <c r="E2913" s="43" t="s">
        <v>92</v>
      </c>
      <c r="F2913" s="42" t="s">
        <v>11469</v>
      </c>
      <c r="G2913" t="s">
        <v>13197</v>
      </c>
    </row>
    <row r="2914" spans="1:7" x14ac:dyDescent="0.3">
      <c r="A2914" s="42" t="s">
        <v>2817</v>
      </c>
      <c r="B2914" s="42" t="s">
        <v>3106</v>
      </c>
      <c r="C2914" s="42" t="s">
        <v>8652</v>
      </c>
      <c r="D2914" s="43" t="s">
        <v>231</v>
      </c>
      <c r="E2914" s="43" t="s">
        <v>92</v>
      </c>
      <c r="F2914" s="42" t="s">
        <v>11469</v>
      </c>
      <c r="G2914" t="s">
        <v>13197</v>
      </c>
    </row>
    <row r="2915" spans="1:7" x14ac:dyDescent="0.3">
      <c r="A2915" s="42" t="s">
        <v>2817</v>
      </c>
      <c r="B2915" s="42" t="s">
        <v>3107</v>
      </c>
      <c r="C2915" s="42" t="s">
        <v>8653</v>
      </c>
      <c r="D2915" s="43" t="s">
        <v>231</v>
      </c>
      <c r="E2915" s="43" t="s">
        <v>92</v>
      </c>
      <c r="F2915" s="42" t="s">
        <v>11469</v>
      </c>
      <c r="G2915" t="s">
        <v>13197</v>
      </c>
    </row>
    <row r="2916" spans="1:7" x14ac:dyDescent="0.3">
      <c r="A2916" s="42" t="s">
        <v>2817</v>
      </c>
      <c r="B2916" s="42" t="s">
        <v>3108</v>
      </c>
      <c r="C2916" s="42" t="s">
        <v>8654</v>
      </c>
      <c r="D2916" s="43" t="s">
        <v>231</v>
      </c>
      <c r="E2916" s="43" t="s">
        <v>92</v>
      </c>
      <c r="F2916" s="42" t="s">
        <v>11469</v>
      </c>
      <c r="G2916" t="s">
        <v>13197</v>
      </c>
    </row>
    <row r="2917" spans="1:7" x14ac:dyDescent="0.3">
      <c r="A2917" s="42" t="s">
        <v>2817</v>
      </c>
      <c r="B2917" s="42" t="s">
        <v>3109</v>
      </c>
      <c r="C2917" s="42" t="s">
        <v>8655</v>
      </c>
      <c r="D2917" s="43" t="s">
        <v>231</v>
      </c>
      <c r="E2917" s="43" t="s">
        <v>92</v>
      </c>
      <c r="F2917" s="42" t="s">
        <v>11469</v>
      </c>
      <c r="G2917" t="s">
        <v>13197</v>
      </c>
    </row>
    <row r="2918" spans="1:7" x14ac:dyDescent="0.3">
      <c r="A2918" s="42" t="s">
        <v>2817</v>
      </c>
      <c r="B2918" s="42" t="s">
        <v>3110</v>
      </c>
      <c r="C2918" s="42" t="s">
        <v>8656</v>
      </c>
      <c r="D2918" s="43" t="s">
        <v>231</v>
      </c>
      <c r="E2918" s="43" t="s">
        <v>92</v>
      </c>
      <c r="F2918" s="42" t="s">
        <v>11469</v>
      </c>
      <c r="G2918" t="s">
        <v>13197</v>
      </c>
    </row>
    <row r="2919" spans="1:7" x14ac:dyDescent="0.3">
      <c r="A2919" s="42" t="s">
        <v>2817</v>
      </c>
      <c r="B2919" s="42" t="s">
        <v>3111</v>
      </c>
      <c r="C2919" s="42" t="s">
        <v>8657</v>
      </c>
      <c r="D2919" s="43" t="s">
        <v>231</v>
      </c>
      <c r="E2919" s="43" t="s">
        <v>92</v>
      </c>
      <c r="F2919" s="42" t="s">
        <v>11469</v>
      </c>
      <c r="G2919" t="s">
        <v>13197</v>
      </c>
    </row>
    <row r="2920" spans="1:7" x14ac:dyDescent="0.3">
      <c r="A2920" s="42" t="s">
        <v>2817</v>
      </c>
      <c r="B2920" s="42" t="s">
        <v>3112</v>
      </c>
      <c r="C2920" s="42" t="s">
        <v>8658</v>
      </c>
      <c r="D2920" s="43" t="s">
        <v>231</v>
      </c>
      <c r="E2920" s="43" t="s">
        <v>92</v>
      </c>
      <c r="F2920" s="42" t="s">
        <v>192</v>
      </c>
      <c r="G2920" t="s">
        <v>13196</v>
      </c>
    </row>
    <row r="2921" spans="1:7" x14ac:dyDescent="0.3">
      <c r="A2921" s="42" t="s">
        <v>2817</v>
      </c>
      <c r="B2921" s="42" t="s">
        <v>3113</v>
      </c>
      <c r="C2921" s="42" t="s">
        <v>8659</v>
      </c>
      <c r="D2921" s="43" t="s">
        <v>231</v>
      </c>
      <c r="E2921" s="43" t="s">
        <v>92</v>
      </c>
      <c r="F2921" s="42" t="s">
        <v>11469</v>
      </c>
      <c r="G2921" t="s">
        <v>13197</v>
      </c>
    </row>
    <row r="2922" spans="1:7" x14ac:dyDescent="0.3">
      <c r="A2922" s="42" t="s">
        <v>2817</v>
      </c>
      <c r="B2922" s="42" t="s">
        <v>3114</v>
      </c>
      <c r="C2922" s="42" t="s">
        <v>8660</v>
      </c>
      <c r="D2922" s="43" t="s">
        <v>231</v>
      </c>
      <c r="E2922" s="43" t="s">
        <v>92</v>
      </c>
      <c r="F2922" s="42" t="s">
        <v>11469</v>
      </c>
      <c r="G2922" t="s">
        <v>13197</v>
      </c>
    </row>
    <row r="2923" spans="1:7" x14ac:dyDescent="0.3">
      <c r="A2923" s="42" t="s">
        <v>2817</v>
      </c>
      <c r="B2923" s="42" t="s">
        <v>3115</v>
      </c>
      <c r="C2923" s="42" t="s">
        <v>8661</v>
      </c>
      <c r="D2923" s="43" t="s">
        <v>231</v>
      </c>
      <c r="E2923" s="43" t="s">
        <v>92</v>
      </c>
      <c r="F2923" s="42" t="s">
        <v>11469</v>
      </c>
      <c r="G2923" t="s">
        <v>13197</v>
      </c>
    </row>
    <row r="2924" spans="1:7" x14ac:dyDescent="0.3">
      <c r="A2924" s="42" t="s">
        <v>2817</v>
      </c>
      <c r="B2924" s="42" t="s">
        <v>3116</v>
      </c>
      <c r="C2924" s="42" t="s">
        <v>8662</v>
      </c>
      <c r="D2924" s="43" t="s">
        <v>231</v>
      </c>
      <c r="E2924" s="43" t="s">
        <v>92</v>
      </c>
      <c r="F2924" s="42" t="s">
        <v>11469</v>
      </c>
      <c r="G2924" t="s">
        <v>13197</v>
      </c>
    </row>
    <row r="2925" spans="1:7" x14ac:dyDescent="0.3">
      <c r="A2925" s="42" t="s">
        <v>2817</v>
      </c>
      <c r="B2925" s="42" t="s">
        <v>3117</v>
      </c>
      <c r="C2925" s="42" t="s">
        <v>8663</v>
      </c>
      <c r="D2925" s="43" t="s">
        <v>231</v>
      </c>
      <c r="E2925" s="43" t="s">
        <v>92</v>
      </c>
      <c r="F2925" s="42" t="s">
        <v>11469</v>
      </c>
      <c r="G2925" t="s">
        <v>13197</v>
      </c>
    </row>
    <row r="2926" spans="1:7" x14ac:dyDescent="0.3">
      <c r="A2926" s="42" t="s">
        <v>2817</v>
      </c>
      <c r="B2926" s="42" t="s">
        <v>3118</v>
      </c>
      <c r="C2926" s="42" t="s">
        <v>8664</v>
      </c>
      <c r="D2926" s="43" t="s">
        <v>231</v>
      </c>
      <c r="E2926" s="43" t="s">
        <v>92</v>
      </c>
      <c r="F2926" s="42" t="s">
        <v>11469</v>
      </c>
      <c r="G2926" t="s">
        <v>13197</v>
      </c>
    </row>
    <row r="2927" spans="1:7" x14ac:dyDescent="0.3">
      <c r="A2927" s="42" t="s">
        <v>2817</v>
      </c>
      <c r="B2927" s="42" t="s">
        <v>3119</v>
      </c>
      <c r="C2927" s="42" t="s">
        <v>8665</v>
      </c>
      <c r="D2927" s="43" t="s">
        <v>231</v>
      </c>
      <c r="E2927" s="43" t="s">
        <v>92</v>
      </c>
      <c r="F2927" s="42" t="s">
        <v>192</v>
      </c>
      <c r="G2927" t="s">
        <v>13196</v>
      </c>
    </row>
    <row r="2928" spans="1:7" x14ac:dyDescent="0.3">
      <c r="A2928" s="42" t="s">
        <v>2817</v>
      </c>
      <c r="B2928" s="42" t="s">
        <v>3120</v>
      </c>
      <c r="C2928" s="42" t="s">
        <v>8666</v>
      </c>
      <c r="D2928" s="43" t="s">
        <v>231</v>
      </c>
      <c r="E2928" s="43" t="s">
        <v>92</v>
      </c>
      <c r="F2928" s="42" t="s">
        <v>11469</v>
      </c>
      <c r="G2928" t="s">
        <v>13197</v>
      </c>
    </row>
    <row r="2929" spans="1:7" x14ac:dyDescent="0.3">
      <c r="A2929" s="42" t="s">
        <v>2817</v>
      </c>
      <c r="B2929" s="42" t="s">
        <v>3121</v>
      </c>
      <c r="C2929" s="42" t="s">
        <v>8667</v>
      </c>
      <c r="D2929" s="43" t="s">
        <v>231</v>
      </c>
      <c r="E2929" s="43" t="s">
        <v>92</v>
      </c>
      <c r="F2929" s="42" t="s">
        <v>11469</v>
      </c>
      <c r="G2929" t="s">
        <v>13197</v>
      </c>
    </row>
    <row r="2930" spans="1:7" x14ac:dyDescent="0.3">
      <c r="A2930" s="42" t="s">
        <v>2817</v>
      </c>
      <c r="B2930" s="42" t="s">
        <v>3122</v>
      </c>
      <c r="C2930" s="42" t="s">
        <v>8668</v>
      </c>
      <c r="D2930" s="43" t="s">
        <v>231</v>
      </c>
      <c r="E2930" s="43" t="s">
        <v>92</v>
      </c>
      <c r="F2930" s="42" t="s">
        <v>192</v>
      </c>
      <c r="G2930" t="s">
        <v>13196</v>
      </c>
    </row>
    <row r="2931" spans="1:7" x14ac:dyDescent="0.3">
      <c r="A2931" s="42" t="s">
        <v>2817</v>
      </c>
      <c r="B2931" s="42" t="s">
        <v>3123</v>
      </c>
      <c r="C2931" s="42" t="s">
        <v>8669</v>
      </c>
      <c r="D2931" s="43" t="s">
        <v>231</v>
      </c>
      <c r="E2931" s="43" t="s">
        <v>92</v>
      </c>
      <c r="F2931" s="42" t="s">
        <v>11469</v>
      </c>
      <c r="G2931" t="s">
        <v>13197</v>
      </c>
    </row>
    <row r="2932" spans="1:7" x14ac:dyDescent="0.3">
      <c r="A2932" s="42" t="s">
        <v>2817</v>
      </c>
      <c r="B2932" s="42" t="s">
        <v>3124</v>
      </c>
      <c r="C2932" s="42" t="s">
        <v>8670</v>
      </c>
      <c r="D2932" s="43" t="s">
        <v>231</v>
      </c>
      <c r="E2932" s="43" t="s">
        <v>92</v>
      </c>
      <c r="F2932" s="42" t="s">
        <v>192</v>
      </c>
      <c r="G2932" t="s">
        <v>13196</v>
      </c>
    </row>
    <row r="2933" spans="1:7" x14ac:dyDescent="0.3">
      <c r="A2933" s="42" t="s">
        <v>2817</v>
      </c>
      <c r="B2933" s="42" t="s">
        <v>3125</v>
      </c>
      <c r="C2933" s="42" t="s">
        <v>8671</v>
      </c>
      <c r="D2933" s="43" t="s">
        <v>231</v>
      </c>
      <c r="E2933" s="43" t="s">
        <v>92</v>
      </c>
      <c r="F2933" s="42" t="s">
        <v>11469</v>
      </c>
      <c r="G2933" t="s">
        <v>13197</v>
      </c>
    </row>
    <row r="2934" spans="1:7" x14ac:dyDescent="0.3">
      <c r="A2934" s="42" t="s">
        <v>2817</v>
      </c>
      <c r="B2934" s="42" t="s">
        <v>3126</v>
      </c>
      <c r="C2934" s="42" t="s">
        <v>8672</v>
      </c>
      <c r="D2934" s="43" t="s">
        <v>231</v>
      </c>
      <c r="E2934" s="43" t="s">
        <v>92</v>
      </c>
      <c r="F2934" s="42" t="s">
        <v>11469</v>
      </c>
      <c r="G2934" t="s">
        <v>13197</v>
      </c>
    </row>
    <row r="2935" spans="1:7" x14ac:dyDescent="0.3">
      <c r="A2935" s="42" t="s">
        <v>2817</v>
      </c>
      <c r="B2935" s="42" t="s">
        <v>3127</v>
      </c>
      <c r="C2935" s="42" t="s">
        <v>8673</v>
      </c>
      <c r="D2935" s="43" t="s">
        <v>231</v>
      </c>
      <c r="E2935" s="43" t="s">
        <v>92</v>
      </c>
      <c r="F2935" s="42" t="s">
        <v>11469</v>
      </c>
      <c r="G2935" t="s">
        <v>13197</v>
      </c>
    </row>
    <row r="2936" spans="1:7" x14ac:dyDescent="0.3">
      <c r="A2936" s="42" t="s">
        <v>2817</v>
      </c>
      <c r="B2936" s="42" t="s">
        <v>3128</v>
      </c>
      <c r="C2936" s="42" t="s">
        <v>8674</v>
      </c>
      <c r="D2936" s="43" t="s">
        <v>231</v>
      </c>
      <c r="E2936" s="43" t="s">
        <v>92</v>
      </c>
      <c r="F2936" s="42" t="s">
        <v>192</v>
      </c>
      <c r="G2936" t="s">
        <v>13196</v>
      </c>
    </row>
    <row r="2937" spans="1:7" x14ac:dyDescent="0.3">
      <c r="A2937" s="42" t="s">
        <v>2817</v>
      </c>
      <c r="B2937" s="42" t="s">
        <v>3129</v>
      </c>
      <c r="C2937" s="42" t="s">
        <v>8675</v>
      </c>
      <c r="D2937" s="43" t="s">
        <v>231</v>
      </c>
      <c r="E2937" s="43" t="s">
        <v>92</v>
      </c>
      <c r="F2937" s="42" t="s">
        <v>11469</v>
      </c>
      <c r="G2937" t="s">
        <v>13197</v>
      </c>
    </row>
    <row r="2938" spans="1:7" x14ac:dyDescent="0.3">
      <c r="A2938" s="42" t="s">
        <v>2817</v>
      </c>
      <c r="B2938" s="42" t="s">
        <v>3130</v>
      </c>
      <c r="C2938" s="42" t="s">
        <v>8676</v>
      </c>
      <c r="D2938" s="43" t="s">
        <v>231</v>
      </c>
      <c r="E2938" s="43" t="s">
        <v>92</v>
      </c>
      <c r="F2938" s="42" t="s">
        <v>11469</v>
      </c>
      <c r="G2938" t="s">
        <v>13197</v>
      </c>
    </row>
    <row r="2939" spans="1:7" x14ac:dyDescent="0.3">
      <c r="A2939" s="42" t="s">
        <v>2817</v>
      </c>
      <c r="B2939" s="42" t="s">
        <v>3131</v>
      </c>
      <c r="C2939" s="42" t="s">
        <v>8677</v>
      </c>
      <c r="D2939" s="43" t="s">
        <v>231</v>
      </c>
      <c r="E2939" s="43" t="s">
        <v>92</v>
      </c>
      <c r="F2939" s="42" t="s">
        <v>11469</v>
      </c>
      <c r="G2939" t="s">
        <v>13197</v>
      </c>
    </row>
    <row r="2940" spans="1:7" x14ac:dyDescent="0.3">
      <c r="A2940" s="42" t="s">
        <v>2817</v>
      </c>
      <c r="B2940" s="42" t="s">
        <v>3132</v>
      </c>
      <c r="C2940" s="42" t="s">
        <v>8678</v>
      </c>
      <c r="D2940" s="43" t="s">
        <v>231</v>
      </c>
      <c r="E2940" s="43" t="s">
        <v>92</v>
      </c>
      <c r="F2940" s="42" t="s">
        <v>11469</v>
      </c>
      <c r="G2940" t="s">
        <v>13197</v>
      </c>
    </row>
    <row r="2941" spans="1:7" x14ac:dyDescent="0.3">
      <c r="A2941" s="42" t="s">
        <v>2817</v>
      </c>
      <c r="B2941" s="42" t="s">
        <v>3133</v>
      </c>
      <c r="C2941" s="42" t="s">
        <v>8679</v>
      </c>
      <c r="D2941" s="43" t="s">
        <v>231</v>
      </c>
      <c r="E2941" s="43" t="s">
        <v>92</v>
      </c>
      <c r="F2941" s="42" t="s">
        <v>11469</v>
      </c>
      <c r="G2941" t="s">
        <v>13197</v>
      </c>
    </row>
    <row r="2942" spans="1:7" x14ac:dyDescent="0.3">
      <c r="A2942" s="42" t="s">
        <v>2817</v>
      </c>
      <c r="B2942" s="42" t="s">
        <v>3134</v>
      </c>
      <c r="C2942" s="42" t="s">
        <v>8680</v>
      </c>
      <c r="D2942" s="43" t="s">
        <v>231</v>
      </c>
      <c r="E2942" s="43" t="s">
        <v>92</v>
      </c>
      <c r="F2942" s="42" t="s">
        <v>11469</v>
      </c>
      <c r="G2942" t="s">
        <v>13197</v>
      </c>
    </row>
    <row r="2943" spans="1:7" x14ac:dyDescent="0.3">
      <c r="A2943" s="42" t="s">
        <v>2817</v>
      </c>
      <c r="B2943" s="42" t="s">
        <v>3135</v>
      </c>
      <c r="C2943" s="42" t="s">
        <v>8681</v>
      </c>
      <c r="D2943" s="43" t="s">
        <v>231</v>
      </c>
      <c r="E2943" s="43" t="s">
        <v>92</v>
      </c>
      <c r="F2943" s="42" t="s">
        <v>11469</v>
      </c>
      <c r="G2943" t="s">
        <v>13197</v>
      </c>
    </row>
    <row r="2944" spans="1:7" x14ac:dyDescent="0.3">
      <c r="A2944" s="42" t="s">
        <v>2817</v>
      </c>
      <c r="B2944" s="42" t="s">
        <v>3136</v>
      </c>
      <c r="C2944" s="42" t="s">
        <v>8682</v>
      </c>
      <c r="D2944" s="43" t="s">
        <v>231</v>
      </c>
      <c r="E2944" s="43" t="s">
        <v>92</v>
      </c>
      <c r="F2944" s="42" t="s">
        <v>11469</v>
      </c>
      <c r="G2944" t="s">
        <v>13197</v>
      </c>
    </row>
    <row r="2945" spans="1:7" x14ac:dyDescent="0.3">
      <c r="A2945" s="42" t="s">
        <v>2817</v>
      </c>
      <c r="B2945" s="42" t="s">
        <v>3137</v>
      </c>
      <c r="C2945" s="42" t="s">
        <v>8683</v>
      </c>
      <c r="D2945" s="43" t="s">
        <v>231</v>
      </c>
      <c r="E2945" s="43" t="s">
        <v>92</v>
      </c>
      <c r="F2945" s="42" t="s">
        <v>11469</v>
      </c>
      <c r="G2945" t="s">
        <v>13197</v>
      </c>
    </row>
    <row r="2946" spans="1:7" x14ac:dyDescent="0.3">
      <c r="A2946" s="42" t="s">
        <v>2817</v>
      </c>
      <c r="B2946" s="42" t="s">
        <v>3138</v>
      </c>
      <c r="C2946" s="42" t="s">
        <v>8684</v>
      </c>
      <c r="D2946" s="43" t="s">
        <v>231</v>
      </c>
      <c r="E2946" s="43" t="s">
        <v>92</v>
      </c>
      <c r="F2946" s="42" t="s">
        <v>11469</v>
      </c>
      <c r="G2946" t="s">
        <v>13197</v>
      </c>
    </row>
    <row r="2947" spans="1:7" x14ac:dyDescent="0.3">
      <c r="A2947" s="42" t="s">
        <v>2817</v>
      </c>
      <c r="B2947" s="42" t="s">
        <v>3139</v>
      </c>
      <c r="C2947" s="42" t="s">
        <v>8685</v>
      </c>
      <c r="D2947" s="43" t="s">
        <v>231</v>
      </c>
      <c r="E2947" s="43" t="s">
        <v>92</v>
      </c>
      <c r="F2947" s="42" t="s">
        <v>11469</v>
      </c>
      <c r="G2947" t="s">
        <v>13197</v>
      </c>
    </row>
    <row r="2948" spans="1:7" x14ac:dyDescent="0.3">
      <c r="A2948" s="42" t="s">
        <v>2817</v>
      </c>
      <c r="B2948" s="42" t="s">
        <v>3140</v>
      </c>
      <c r="C2948" s="42" t="s">
        <v>8686</v>
      </c>
      <c r="D2948" s="43" t="s">
        <v>89</v>
      </c>
      <c r="E2948" s="43" t="s">
        <v>1430</v>
      </c>
      <c r="F2948" s="42" t="s">
        <v>137</v>
      </c>
      <c r="G2948" t="s">
        <v>13197</v>
      </c>
    </row>
    <row r="2949" spans="1:7" x14ac:dyDescent="0.3">
      <c r="A2949" s="42" t="s">
        <v>2817</v>
      </c>
      <c r="B2949" s="42" t="s">
        <v>3141</v>
      </c>
      <c r="C2949" s="42" t="s">
        <v>8687</v>
      </c>
      <c r="D2949" s="43" t="s">
        <v>231</v>
      </c>
      <c r="E2949" s="43" t="s">
        <v>92</v>
      </c>
      <c r="F2949" s="42" t="s">
        <v>11469</v>
      </c>
      <c r="G2949" t="s">
        <v>13197</v>
      </c>
    </row>
    <row r="2950" spans="1:7" x14ac:dyDescent="0.3">
      <c r="A2950" s="42" t="s">
        <v>2817</v>
      </c>
      <c r="B2950" s="42" t="s">
        <v>3142</v>
      </c>
      <c r="C2950" s="42" t="s">
        <v>8688</v>
      </c>
      <c r="D2950" s="43" t="s">
        <v>231</v>
      </c>
      <c r="E2950" s="43" t="s">
        <v>92</v>
      </c>
      <c r="F2950" s="42" t="s">
        <v>11469</v>
      </c>
      <c r="G2950" t="s">
        <v>13197</v>
      </c>
    </row>
    <row r="2951" spans="1:7" x14ac:dyDescent="0.3">
      <c r="A2951" s="42" t="s">
        <v>2817</v>
      </c>
      <c r="B2951" s="42" t="s">
        <v>3143</v>
      </c>
      <c r="C2951" s="42" t="s">
        <v>8689</v>
      </c>
      <c r="D2951" s="43" t="s">
        <v>231</v>
      </c>
      <c r="E2951" s="43" t="s">
        <v>92</v>
      </c>
      <c r="F2951" s="42" t="s">
        <v>192</v>
      </c>
      <c r="G2951" t="s">
        <v>13196</v>
      </c>
    </row>
    <row r="2952" spans="1:7" x14ac:dyDescent="0.3">
      <c r="A2952" s="42" t="s">
        <v>2817</v>
      </c>
      <c r="B2952" s="42" t="s">
        <v>3144</v>
      </c>
      <c r="C2952" s="42" t="s">
        <v>8690</v>
      </c>
      <c r="D2952" s="43" t="s">
        <v>231</v>
      </c>
      <c r="E2952" s="43" t="s">
        <v>92</v>
      </c>
      <c r="F2952" s="42" t="s">
        <v>192</v>
      </c>
      <c r="G2952" t="s">
        <v>13196</v>
      </c>
    </row>
    <row r="2953" spans="1:7" x14ac:dyDescent="0.3">
      <c r="A2953" s="42" t="s">
        <v>2817</v>
      </c>
      <c r="B2953" s="42" t="s">
        <v>3145</v>
      </c>
      <c r="C2953" s="42" t="s">
        <v>8691</v>
      </c>
      <c r="D2953" s="43" t="s">
        <v>231</v>
      </c>
      <c r="E2953" s="43" t="s">
        <v>92</v>
      </c>
      <c r="F2953" s="42" t="s">
        <v>11469</v>
      </c>
      <c r="G2953" t="s">
        <v>13197</v>
      </c>
    </row>
    <row r="2954" spans="1:7" x14ac:dyDescent="0.3">
      <c r="A2954" s="42" t="s">
        <v>2817</v>
      </c>
      <c r="B2954" s="42" t="s">
        <v>3146</v>
      </c>
      <c r="C2954" s="42" t="s">
        <v>8692</v>
      </c>
      <c r="D2954" s="43" t="s">
        <v>231</v>
      </c>
      <c r="E2954" s="43" t="s">
        <v>92</v>
      </c>
      <c r="F2954" s="42" t="s">
        <v>11469</v>
      </c>
      <c r="G2954" t="s">
        <v>13197</v>
      </c>
    </row>
    <row r="2955" spans="1:7" x14ac:dyDescent="0.3">
      <c r="A2955" s="42" t="s">
        <v>2817</v>
      </c>
      <c r="B2955" s="42" t="s">
        <v>3147</v>
      </c>
      <c r="C2955" s="42" t="s">
        <v>8693</v>
      </c>
      <c r="D2955" s="43" t="s">
        <v>231</v>
      </c>
      <c r="E2955" s="43" t="s">
        <v>92</v>
      </c>
      <c r="F2955" s="42" t="s">
        <v>11469</v>
      </c>
      <c r="G2955" t="s">
        <v>13197</v>
      </c>
    </row>
    <row r="2956" spans="1:7" x14ac:dyDescent="0.3">
      <c r="A2956" s="42" t="s">
        <v>2817</v>
      </c>
      <c r="B2956" s="42" t="s">
        <v>3148</v>
      </c>
      <c r="C2956" s="42" t="s">
        <v>8694</v>
      </c>
      <c r="D2956" s="43" t="s">
        <v>231</v>
      </c>
      <c r="E2956" s="43" t="s">
        <v>92</v>
      </c>
      <c r="F2956" s="42" t="s">
        <v>11469</v>
      </c>
      <c r="G2956" t="s">
        <v>13197</v>
      </c>
    </row>
    <row r="2957" spans="1:7" x14ac:dyDescent="0.3">
      <c r="A2957" s="42" t="s">
        <v>2817</v>
      </c>
      <c r="B2957" s="42" t="s">
        <v>3149</v>
      </c>
      <c r="C2957" s="42" t="s">
        <v>8695</v>
      </c>
      <c r="D2957" s="43" t="s">
        <v>231</v>
      </c>
      <c r="E2957" s="43" t="s">
        <v>92</v>
      </c>
      <c r="F2957" s="42" t="s">
        <v>11469</v>
      </c>
      <c r="G2957" t="s">
        <v>13197</v>
      </c>
    </row>
    <row r="2958" spans="1:7" x14ac:dyDescent="0.3">
      <c r="A2958" s="42" t="s">
        <v>2817</v>
      </c>
      <c r="B2958" s="42" t="s">
        <v>3150</v>
      </c>
      <c r="C2958" s="42" t="s">
        <v>8696</v>
      </c>
      <c r="D2958" s="43" t="s">
        <v>231</v>
      </c>
      <c r="E2958" s="43" t="s">
        <v>92</v>
      </c>
      <c r="F2958" s="42" t="s">
        <v>11469</v>
      </c>
      <c r="G2958" t="s">
        <v>13197</v>
      </c>
    </row>
    <row r="2959" spans="1:7" x14ac:dyDescent="0.3">
      <c r="A2959" s="42" t="s">
        <v>2817</v>
      </c>
      <c r="B2959" s="42" t="s">
        <v>3151</v>
      </c>
      <c r="C2959" s="42" t="s">
        <v>8697</v>
      </c>
      <c r="D2959" s="43" t="s">
        <v>231</v>
      </c>
      <c r="E2959" s="43" t="s">
        <v>92</v>
      </c>
      <c r="F2959" s="42" t="s">
        <v>11469</v>
      </c>
      <c r="G2959" t="s">
        <v>13197</v>
      </c>
    </row>
    <row r="2960" spans="1:7" x14ac:dyDescent="0.3">
      <c r="A2960" s="42" t="s">
        <v>2817</v>
      </c>
      <c r="B2960" s="42" t="s">
        <v>3152</v>
      </c>
      <c r="C2960" s="42" t="s">
        <v>8698</v>
      </c>
      <c r="D2960" s="43" t="s">
        <v>231</v>
      </c>
      <c r="E2960" s="43" t="s">
        <v>92</v>
      </c>
      <c r="F2960" s="42" t="s">
        <v>11469</v>
      </c>
      <c r="G2960" t="s">
        <v>13197</v>
      </c>
    </row>
    <row r="2961" spans="1:7" x14ac:dyDescent="0.3">
      <c r="A2961" s="42" t="s">
        <v>2817</v>
      </c>
      <c r="B2961" s="42" t="s">
        <v>3153</v>
      </c>
      <c r="C2961" s="42" t="s">
        <v>8699</v>
      </c>
      <c r="D2961" s="43" t="s">
        <v>231</v>
      </c>
      <c r="E2961" s="43" t="s">
        <v>92</v>
      </c>
      <c r="F2961" s="42" t="s">
        <v>192</v>
      </c>
      <c r="G2961" t="s">
        <v>13196</v>
      </c>
    </row>
    <row r="2962" spans="1:7" x14ac:dyDescent="0.3">
      <c r="A2962" s="42" t="s">
        <v>2817</v>
      </c>
      <c r="B2962" s="42" t="s">
        <v>3154</v>
      </c>
      <c r="C2962" s="42" t="s">
        <v>8700</v>
      </c>
      <c r="D2962" s="43" t="s">
        <v>89</v>
      </c>
      <c r="E2962" s="43" t="s">
        <v>1430</v>
      </c>
      <c r="F2962" s="42" t="s">
        <v>137</v>
      </c>
      <c r="G2962" t="s">
        <v>13197</v>
      </c>
    </row>
    <row r="2963" spans="1:7" x14ac:dyDescent="0.3">
      <c r="A2963" s="42" t="s">
        <v>2817</v>
      </c>
      <c r="B2963" s="42" t="s">
        <v>3155</v>
      </c>
      <c r="C2963" s="42" t="s">
        <v>8701</v>
      </c>
      <c r="D2963" s="43" t="s">
        <v>231</v>
      </c>
      <c r="E2963" s="43" t="s">
        <v>92</v>
      </c>
      <c r="F2963" s="42" t="s">
        <v>11469</v>
      </c>
      <c r="G2963" t="s">
        <v>13197</v>
      </c>
    </row>
    <row r="2964" spans="1:7" x14ac:dyDescent="0.3">
      <c r="A2964" s="42" t="s">
        <v>2817</v>
      </c>
      <c r="B2964" s="42" t="s">
        <v>3156</v>
      </c>
      <c r="C2964" s="42" t="s">
        <v>8702</v>
      </c>
      <c r="D2964" s="43" t="s">
        <v>231</v>
      </c>
      <c r="E2964" s="43" t="s">
        <v>92</v>
      </c>
      <c r="F2964" s="42" t="s">
        <v>192</v>
      </c>
      <c r="G2964" t="s">
        <v>13196</v>
      </c>
    </row>
    <row r="2965" spans="1:7" x14ac:dyDescent="0.3">
      <c r="A2965" s="42" t="s">
        <v>2817</v>
      </c>
      <c r="B2965" s="42" t="s">
        <v>3157</v>
      </c>
      <c r="C2965" s="42" t="s">
        <v>8703</v>
      </c>
      <c r="D2965" s="43" t="s">
        <v>231</v>
      </c>
      <c r="E2965" s="43" t="s">
        <v>92</v>
      </c>
      <c r="F2965" s="42" t="s">
        <v>11469</v>
      </c>
      <c r="G2965" t="s">
        <v>13197</v>
      </c>
    </row>
    <row r="2966" spans="1:7" x14ac:dyDescent="0.3">
      <c r="A2966" s="42" t="s">
        <v>2817</v>
      </c>
      <c r="B2966" s="42" t="s">
        <v>3158</v>
      </c>
      <c r="C2966" s="42" t="s">
        <v>8704</v>
      </c>
      <c r="D2966" s="43" t="s">
        <v>89</v>
      </c>
      <c r="E2966" s="43" t="s">
        <v>1430</v>
      </c>
      <c r="F2966" s="42" t="s">
        <v>137</v>
      </c>
      <c r="G2966" t="s">
        <v>13197</v>
      </c>
    </row>
    <row r="2967" spans="1:7" x14ac:dyDescent="0.3">
      <c r="A2967" s="42" t="s">
        <v>2817</v>
      </c>
      <c r="B2967" s="42" t="s">
        <v>3159</v>
      </c>
      <c r="C2967" s="42" t="s">
        <v>8705</v>
      </c>
      <c r="D2967" s="43" t="s">
        <v>231</v>
      </c>
      <c r="E2967" s="43" t="s">
        <v>92</v>
      </c>
      <c r="F2967" s="42" t="s">
        <v>11469</v>
      </c>
      <c r="G2967" t="s">
        <v>13197</v>
      </c>
    </row>
    <row r="2968" spans="1:7" x14ac:dyDescent="0.3">
      <c r="A2968" s="42" t="s">
        <v>2817</v>
      </c>
      <c r="B2968" s="42" t="s">
        <v>3160</v>
      </c>
      <c r="C2968" s="42" t="s">
        <v>8706</v>
      </c>
      <c r="D2968" s="43" t="s">
        <v>231</v>
      </c>
      <c r="E2968" s="43" t="s">
        <v>92</v>
      </c>
      <c r="F2968" s="42" t="s">
        <v>192</v>
      </c>
      <c r="G2968" t="s">
        <v>13196</v>
      </c>
    </row>
    <row r="2969" spans="1:7" x14ac:dyDescent="0.3">
      <c r="A2969" s="42" t="s">
        <v>2817</v>
      </c>
      <c r="B2969" s="42" t="s">
        <v>3161</v>
      </c>
      <c r="C2969" s="42" t="s">
        <v>8707</v>
      </c>
      <c r="D2969" s="43" t="s">
        <v>231</v>
      </c>
      <c r="E2969" s="43" t="s">
        <v>92</v>
      </c>
      <c r="F2969" s="42" t="s">
        <v>11469</v>
      </c>
      <c r="G2969" t="s">
        <v>13197</v>
      </c>
    </row>
    <row r="2970" spans="1:7" x14ac:dyDescent="0.3">
      <c r="A2970" s="42" t="s">
        <v>2817</v>
      </c>
      <c r="B2970" s="42" t="s">
        <v>3162</v>
      </c>
      <c r="C2970" s="42" t="s">
        <v>8708</v>
      </c>
      <c r="D2970" s="43" t="s">
        <v>231</v>
      </c>
      <c r="E2970" s="43" t="s">
        <v>92</v>
      </c>
      <c r="F2970" s="42" t="s">
        <v>192</v>
      </c>
      <c r="G2970" t="s">
        <v>13196</v>
      </c>
    </row>
    <row r="2971" spans="1:7" x14ac:dyDescent="0.3">
      <c r="A2971" s="42" t="s">
        <v>2817</v>
      </c>
      <c r="B2971" s="42" t="s">
        <v>3163</v>
      </c>
      <c r="C2971" s="42" t="s">
        <v>8709</v>
      </c>
      <c r="D2971" s="43" t="s">
        <v>231</v>
      </c>
      <c r="E2971" s="43" t="s">
        <v>92</v>
      </c>
      <c r="F2971" s="42" t="s">
        <v>192</v>
      </c>
      <c r="G2971" t="s">
        <v>13196</v>
      </c>
    </row>
    <row r="2972" spans="1:7" x14ac:dyDescent="0.3">
      <c r="A2972" s="42" t="s">
        <v>2817</v>
      </c>
      <c r="B2972" s="42" t="s">
        <v>3164</v>
      </c>
      <c r="C2972" s="42" t="s">
        <v>8710</v>
      </c>
      <c r="D2972" s="43" t="s">
        <v>231</v>
      </c>
      <c r="E2972" s="43" t="s">
        <v>92</v>
      </c>
      <c r="F2972" s="42" t="s">
        <v>11469</v>
      </c>
      <c r="G2972" t="s">
        <v>13197</v>
      </c>
    </row>
    <row r="2973" spans="1:7" x14ac:dyDescent="0.3">
      <c r="A2973" s="42" t="s">
        <v>2817</v>
      </c>
      <c r="B2973" s="42" t="s">
        <v>3165</v>
      </c>
      <c r="C2973" s="42" t="s">
        <v>8711</v>
      </c>
      <c r="D2973" s="43" t="s">
        <v>231</v>
      </c>
      <c r="E2973" s="43" t="s">
        <v>92</v>
      </c>
      <c r="F2973" s="42" t="s">
        <v>11469</v>
      </c>
      <c r="G2973" t="s">
        <v>13197</v>
      </c>
    </row>
    <row r="2974" spans="1:7" x14ac:dyDescent="0.3">
      <c r="A2974" s="42" t="s">
        <v>2817</v>
      </c>
      <c r="B2974" s="42" t="s">
        <v>3166</v>
      </c>
      <c r="C2974" s="42" t="s">
        <v>8712</v>
      </c>
      <c r="D2974" s="43" t="s">
        <v>231</v>
      </c>
      <c r="E2974" s="43" t="s">
        <v>92</v>
      </c>
      <c r="F2974" s="42" t="s">
        <v>192</v>
      </c>
      <c r="G2974" t="s">
        <v>13196</v>
      </c>
    </row>
    <row r="2975" spans="1:7" x14ac:dyDescent="0.3">
      <c r="A2975" s="42" t="s">
        <v>2817</v>
      </c>
      <c r="B2975" s="42" t="s">
        <v>3167</v>
      </c>
      <c r="C2975" s="42" t="s">
        <v>8713</v>
      </c>
      <c r="D2975" s="43" t="s">
        <v>231</v>
      </c>
      <c r="E2975" s="43" t="s">
        <v>92</v>
      </c>
      <c r="F2975" s="42" t="s">
        <v>192</v>
      </c>
      <c r="G2975" t="s">
        <v>13196</v>
      </c>
    </row>
    <row r="2976" spans="1:7" x14ac:dyDescent="0.3">
      <c r="A2976" s="42" t="s">
        <v>2817</v>
      </c>
      <c r="B2976" s="42" t="s">
        <v>3168</v>
      </c>
      <c r="C2976" s="42" t="s">
        <v>8714</v>
      </c>
      <c r="D2976" s="43" t="s">
        <v>231</v>
      </c>
      <c r="E2976" s="43" t="s">
        <v>92</v>
      </c>
      <c r="F2976" s="42" t="s">
        <v>11469</v>
      </c>
      <c r="G2976" t="s">
        <v>13197</v>
      </c>
    </row>
    <row r="2977" spans="1:7" x14ac:dyDescent="0.3">
      <c r="A2977" s="42" t="s">
        <v>2817</v>
      </c>
      <c r="B2977" s="42" t="s">
        <v>3169</v>
      </c>
      <c r="C2977" s="42" t="s">
        <v>8715</v>
      </c>
      <c r="D2977" s="43" t="s">
        <v>231</v>
      </c>
      <c r="E2977" s="43" t="s">
        <v>92</v>
      </c>
      <c r="F2977" s="42" t="s">
        <v>11469</v>
      </c>
      <c r="G2977" t="s">
        <v>13197</v>
      </c>
    </row>
    <row r="2978" spans="1:7" x14ac:dyDescent="0.3">
      <c r="A2978" s="42" t="s">
        <v>3170</v>
      </c>
      <c r="B2978" s="42" t="s">
        <v>3171</v>
      </c>
      <c r="C2978" s="42" t="s">
        <v>8716</v>
      </c>
      <c r="D2978" s="43" t="s">
        <v>136</v>
      </c>
      <c r="E2978" s="43" t="s">
        <v>92</v>
      </c>
      <c r="F2978" s="42" t="s">
        <v>11469</v>
      </c>
      <c r="G2978" t="s">
        <v>13197</v>
      </c>
    </row>
    <row r="2979" spans="1:7" x14ac:dyDescent="0.3">
      <c r="A2979" s="42" t="s">
        <v>3170</v>
      </c>
      <c r="B2979" s="42" t="s">
        <v>3172</v>
      </c>
      <c r="C2979" s="42" t="s">
        <v>8717</v>
      </c>
      <c r="D2979" s="43" t="s">
        <v>136</v>
      </c>
      <c r="E2979" s="43" t="s">
        <v>92</v>
      </c>
      <c r="F2979" s="42" t="s">
        <v>11469</v>
      </c>
      <c r="G2979" t="s">
        <v>13197</v>
      </c>
    </row>
    <row r="2980" spans="1:7" x14ac:dyDescent="0.3">
      <c r="A2980" s="42" t="s">
        <v>3170</v>
      </c>
      <c r="B2980" s="42" t="s">
        <v>3173</v>
      </c>
      <c r="C2980" s="42" t="s">
        <v>8718</v>
      </c>
      <c r="D2980" s="43" t="s">
        <v>136</v>
      </c>
      <c r="E2980" s="43" t="s">
        <v>92</v>
      </c>
      <c r="F2980" s="42" t="s">
        <v>11469</v>
      </c>
      <c r="G2980" t="s">
        <v>13197</v>
      </c>
    </row>
    <row r="2981" spans="1:7" x14ac:dyDescent="0.3">
      <c r="A2981" s="42" t="s">
        <v>3170</v>
      </c>
      <c r="B2981" s="42" t="s">
        <v>3174</v>
      </c>
      <c r="C2981" s="42" t="s">
        <v>8719</v>
      </c>
      <c r="D2981" s="43" t="s">
        <v>136</v>
      </c>
      <c r="E2981" s="43" t="s">
        <v>92</v>
      </c>
      <c r="F2981" s="42" t="s">
        <v>11469</v>
      </c>
      <c r="G2981" t="s">
        <v>13197</v>
      </c>
    </row>
    <row r="2982" spans="1:7" x14ac:dyDescent="0.3">
      <c r="A2982" s="42" t="s">
        <v>3170</v>
      </c>
      <c r="B2982" s="42" t="s">
        <v>3175</v>
      </c>
      <c r="C2982" s="42" t="s">
        <v>8720</v>
      </c>
      <c r="D2982" s="43" t="s">
        <v>136</v>
      </c>
      <c r="E2982" s="43" t="s">
        <v>92</v>
      </c>
      <c r="F2982" s="42" t="s">
        <v>11469</v>
      </c>
      <c r="G2982" t="s">
        <v>13197</v>
      </c>
    </row>
    <row r="2983" spans="1:7" x14ac:dyDescent="0.3">
      <c r="A2983" s="42" t="s">
        <v>3170</v>
      </c>
      <c r="B2983" s="42" t="s">
        <v>3176</v>
      </c>
      <c r="C2983" s="42" t="s">
        <v>8721</v>
      </c>
      <c r="D2983" s="43" t="s">
        <v>136</v>
      </c>
      <c r="E2983" s="43" t="s">
        <v>92</v>
      </c>
      <c r="F2983" s="42" t="s">
        <v>192</v>
      </c>
      <c r="G2983" t="s">
        <v>13196</v>
      </c>
    </row>
    <row r="2984" spans="1:7" x14ac:dyDescent="0.3">
      <c r="A2984" s="42" t="s">
        <v>3170</v>
      </c>
      <c r="B2984" s="42" t="s">
        <v>3177</v>
      </c>
      <c r="C2984" s="42" t="s">
        <v>8722</v>
      </c>
      <c r="D2984" s="43" t="s">
        <v>136</v>
      </c>
      <c r="E2984" s="43" t="s">
        <v>92</v>
      </c>
      <c r="F2984" s="42" t="s">
        <v>11469</v>
      </c>
      <c r="G2984" t="s">
        <v>13197</v>
      </c>
    </row>
    <row r="2985" spans="1:7" x14ac:dyDescent="0.3">
      <c r="A2985" s="42" t="s">
        <v>3170</v>
      </c>
      <c r="B2985" s="42" t="s">
        <v>3178</v>
      </c>
      <c r="C2985" s="42" t="s">
        <v>8723</v>
      </c>
      <c r="D2985" s="43" t="s">
        <v>136</v>
      </c>
      <c r="E2985" s="43" t="s">
        <v>92</v>
      </c>
      <c r="F2985" s="42" t="s">
        <v>11469</v>
      </c>
      <c r="G2985" t="s">
        <v>13197</v>
      </c>
    </row>
    <row r="2986" spans="1:7" x14ac:dyDescent="0.3">
      <c r="A2986" s="42" t="s">
        <v>3170</v>
      </c>
      <c r="B2986" s="42" t="s">
        <v>3179</v>
      </c>
      <c r="C2986" s="42" t="s">
        <v>8724</v>
      </c>
      <c r="D2986" s="43" t="s">
        <v>136</v>
      </c>
      <c r="E2986" s="43" t="s">
        <v>92</v>
      </c>
      <c r="F2986" s="42" t="s">
        <v>11469</v>
      </c>
      <c r="G2986" t="s">
        <v>13197</v>
      </c>
    </row>
    <row r="2987" spans="1:7" x14ac:dyDescent="0.3">
      <c r="A2987" s="42" t="s">
        <v>3170</v>
      </c>
      <c r="B2987" s="42" t="s">
        <v>3180</v>
      </c>
      <c r="C2987" s="42" t="s">
        <v>8725</v>
      </c>
      <c r="D2987" s="43" t="s">
        <v>136</v>
      </c>
      <c r="E2987" s="43" t="s">
        <v>92</v>
      </c>
      <c r="F2987" s="42" t="s">
        <v>11469</v>
      </c>
      <c r="G2987" t="s">
        <v>13197</v>
      </c>
    </row>
    <row r="2988" spans="1:7" x14ac:dyDescent="0.3">
      <c r="A2988" s="42" t="s">
        <v>3170</v>
      </c>
      <c r="B2988" s="42" t="s">
        <v>3181</v>
      </c>
      <c r="C2988" s="42" t="s">
        <v>8726</v>
      </c>
      <c r="D2988" s="43" t="s">
        <v>136</v>
      </c>
      <c r="E2988" s="43" t="s">
        <v>92</v>
      </c>
      <c r="F2988" s="42" t="s">
        <v>11469</v>
      </c>
      <c r="G2988" t="s">
        <v>13197</v>
      </c>
    </row>
    <row r="2989" spans="1:7" x14ac:dyDescent="0.3">
      <c r="A2989" s="42" t="s">
        <v>3170</v>
      </c>
      <c r="B2989" s="42" t="s">
        <v>3182</v>
      </c>
      <c r="C2989" s="42" t="s">
        <v>8727</v>
      </c>
      <c r="D2989" s="43" t="s">
        <v>136</v>
      </c>
      <c r="E2989" s="43" t="s">
        <v>92</v>
      </c>
      <c r="F2989" s="42" t="s">
        <v>11469</v>
      </c>
      <c r="G2989" t="s">
        <v>13197</v>
      </c>
    </row>
    <row r="2990" spans="1:7" x14ac:dyDescent="0.3">
      <c r="A2990" s="42" t="s">
        <v>3183</v>
      </c>
      <c r="B2990" s="42" t="s">
        <v>3184</v>
      </c>
      <c r="C2990" s="42" t="s">
        <v>8728</v>
      </c>
      <c r="D2990" s="43" t="s">
        <v>136</v>
      </c>
      <c r="E2990" s="43" t="s">
        <v>92</v>
      </c>
      <c r="F2990" s="42" t="s">
        <v>11469</v>
      </c>
      <c r="G2990" t="s">
        <v>13197</v>
      </c>
    </row>
    <row r="2991" spans="1:7" x14ac:dyDescent="0.3">
      <c r="A2991" s="42" t="s">
        <v>3183</v>
      </c>
      <c r="B2991" s="42" t="s">
        <v>3185</v>
      </c>
      <c r="C2991" s="42" t="s">
        <v>8729</v>
      </c>
      <c r="D2991" s="43" t="s">
        <v>136</v>
      </c>
      <c r="E2991" s="43" t="s">
        <v>92</v>
      </c>
      <c r="F2991" s="42" t="s">
        <v>11469</v>
      </c>
      <c r="G2991" t="s">
        <v>13197</v>
      </c>
    </row>
    <row r="2992" spans="1:7" x14ac:dyDescent="0.3">
      <c r="A2992" s="42" t="s">
        <v>3183</v>
      </c>
      <c r="B2992" s="42" t="s">
        <v>3186</v>
      </c>
      <c r="C2992" s="42" t="s">
        <v>8730</v>
      </c>
      <c r="D2992" s="43" t="s">
        <v>136</v>
      </c>
      <c r="E2992" s="43" t="s">
        <v>92</v>
      </c>
      <c r="F2992" s="42" t="s">
        <v>11469</v>
      </c>
      <c r="G2992" t="s">
        <v>13197</v>
      </c>
    </row>
    <row r="2993" spans="1:7" x14ac:dyDescent="0.3">
      <c r="A2993" s="42" t="s">
        <v>3183</v>
      </c>
      <c r="B2993" s="42" t="s">
        <v>3187</v>
      </c>
      <c r="C2993" s="42" t="s">
        <v>8731</v>
      </c>
      <c r="D2993" s="43" t="s">
        <v>136</v>
      </c>
      <c r="E2993" s="43" t="s">
        <v>92</v>
      </c>
      <c r="F2993" s="42" t="s">
        <v>11469</v>
      </c>
      <c r="G2993" t="s">
        <v>13197</v>
      </c>
    </row>
    <row r="2994" spans="1:7" x14ac:dyDescent="0.3">
      <c r="A2994" s="42" t="s">
        <v>3183</v>
      </c>
      <c r="B2994" s="42" t="s">
        <v>3188</v>
      </c>
      <c r="C2994" s="42" t="s">
        <v>8732</v>
      </c>
      <c r="D2994" s="43" t="s">
        <v>136</v>
      </c>
      <c r="E2994" s="43" t="s">
        <v>92</v>
      </c>
      <c r="F2994" s="42" t="s">
        <v>11469</v>
      </c>
      <c r="G2994" t="s">
        <v>13197</v>
      </c>
    </row>
    <row r="2995" spans="1:7" x14ac:dyDescent="0.3">
      <c r="A2995" s="42" t="s">
        <v>3183</v>
      </c>
      <c r="B2995" s="42" t="s">
        <v>3189</v>
      </c>
      <c r="C2995" s="42" t="s">
        <v>8733</v>
      </c>
      <c r="D2995" s="43" t="s">
        <v>136</v>
      </c>
      <c r="E2995" s="43" t="s">
        <v>92</v>
      </c>
      <c r="F2995" s="42" t="s">
        <v>11469</v>
      </c>
      <c r="G2995" t="s">
        <v>13197</v>
      </c>
    </row>
    <row r="2996" spans="1:7" x14ac:dyDescent="0.3">
      <c r="A2996" s="42" t="s">
        <v>3183</v>
      </c>
      <c r="B2996" s="42" t="s">
        <v>3190</v>
      </c>
      <c r="C2996" s="42" t="s">
        <v>8734</v>
      </c>
      <c r="D2996" s="43" t="s">
        <v>136</v>
      </c>
      <c r="E2996" s="43" t="s">
        <v>92</v>
      </c>
      <c r="F2996" s="42" t="s">
        <v>11469</v>
      </c>
      <c r="G2996" t="s">
        <v>13197</v>
      </c>
    </row>
    <row r="2997" spans="1:7" x14ac:dyDescent="0.3">
      <c r="A2997" s="42" t="s">
        <v>3183</v>
      </c>
      <c r="B2997" s="42" t="s">
        <v>3191</v>
      </c>
      <c r="C2997" s="42" t="s">
        <v>8735</v>
      </c>
      <c r="D2997" s="43" t="s">
        <v>136</v>
      </c>
      <c r="E2997" s="43" t="s">
        <v>92</v>
      </c>
      <c r="F2997" s="42" t="s">
        <v>11469</v>
      </c>
      <c r="G2997" t="s">
        <v>13197</v>
      </c>
    </row>
    <row r="2998" spans="1:7" x14ac:dyDescent="0.3">
      <c r="A2998" s="42" t="s">
        <v>3183</v>
      </c>
      <c r="B2998" s="42" t="s">
        <v>3192</v>
      </c>
      <c r="C2998" s="42" t="s">
        <v>8736</v>
      </c>
      <c r="D2998" s="43" t="s">
        <v>136</v>
      </c>
      <c r="E2998" s="43" t="s">
        <v>92</v>
      </c>
      <c r="F2998" s="42" t="s">
        <v>11469</v>
      </c>
      <c r="G2998" t="s">
        <v>13197</v>
      </c>
    </row>
    <row r="2999" spans="1:7" x14ac:dyDescent="0.3">
      <c r="A2999" s="42" t="s">
        <v>3183</v>
      </c>
      <c r="B2999" s="42" t="s">
        <v>3193</v>
      </c>
      <c r="C2999" s="42" t="s">
        <v>8737</v>
      </c>
      <c r="D2999" s="43" t="s">
        <v>136</v>
      </c>
      <c r="E2999" s="43" t="s">
        <v>92</v>
      </c>
      <c r="F2999" s="42" t="s">
        <v>11469</v>
      </c>
      <c r="G2999" t="s">
        <v>13197</v>
      </c>
    </row>
    <row r="3000" spans="1:7" x14ac:dyDescent="0.3">
      <c r="A3000" s="42" t="s">
        <v>3183</v>
      </c>
      <c r="B3000" s="42" t="s">
        <v>3194</v>
      </c>
      <c r="C3000" s="42" t="s">
        <v>8738</v>
      </c>
      <c r="D3000" s="43" t="s">
        <v>136</v>
      </c>
      <c r="E3000" s="43" t="s">
        <v>92</v>
      </c>
      <c r="F3000" s="42" t="s">
        <v>11469</v>
      </c>
      <c r="G3000" t="s">
        <v>13197</v>
      </c>
    </row>
    <row r="3001" spans="1:7" x14ac:dyDescent="0.3">
      <c r="A3001" s="42" t="s">
        <v>3183</v>
      </c>
      <c r="B3001" s="42" t="s">
        <v>3195</v>
      </c>
      <c r="C3001" s="42" t="s">
        <v>8739</v>
      </c>
      <c r="D3001" s="43" t="s">
        <v>136</v>
      </c>
      <c r="E3001" s="43" t="s">
        <v>92</v>
      </c>
      <c r="F3001" s="42" t="s">
        <v>11469</v>
      </c>
      <c r="G3001" t="s">
        <v>13197</v>
      </c>
    </row>
    <row r="3002" spans="1:7" x14ac:dyDescent="0.3">
      <c r="A3002" s="42" t="s">
        <v>3183</v>
      </c>
      <c r="B3002" s="42" t="s">
        <v>3196</v>
      </c>
      <c r="C3002" s="42" t="s">
        <v>8740</v>
      </c>
      <c r="D3002" s="43" t="s">
        <v>136</v>
      </c>
      <c r="E3002" s="43" t="s">
        <v>92</v>
      </c>
      <c r="F3002" s="42" t="s">
        <v>11469</v>
      </c>
      <c r="G3002" t="s">
        <v>13197</v>
      </c>
    </row>
    <row r="3003" spans="1:7" x14ac:dyDescent="0.3">
      <c r="A3003" s="42" t="s">
        <v>3183</v>
      </c>
      <c r="B3003" s="42" t="s">
        <v>3197</v>
      </c>
      <c r="C3003" s="42" t="s">
        <v>8741</v>
      </c>
      <c r="D3003" s="43" t="s">
        <v>136</v>
      </c>
      <c r="E3003" s="43" t="s">
        <v>92</v>
      </c>
      <c r="F3003" s="42" t="s">
        <v>11469</v>
      </c>
      <c r="G3003" t="s">
        <v>13197</v>
      </c>
    </row>
    <row r="3004" spans="1:7" x14ac:dyDescent="0.3">
      <c r="A3004" s="42" t="s">
        <v>3183</v>
      </c>
      <c r="B3004" s="42" t="s">
        <v>3198</v>
      </c>
      <c r="C3004" s="42" t="s">
        <v>8742</v>
      </c>
      <c r="D3004" s="43" t="s">
        <v>136</v>
      </c>
      <c r="E3004" s="43" t="s">
        <v>92</v>
      </c>
      <c r="F3004" s="42" t="s">
        <v>11469</v>
      </c>
      <c r="G3004" t="s">
        <v>13197</v>
      </c>
    </row>
    <row r="3005" spans="1:7" x14ac:dyDescent="0.3">
      <c r="A3005" s="42" t="s">
        <v>3183</v>
      </c>
      <c r="B3005" s="42" t="s">
        <v>3199</v>
      </c>
      <c r="C3005" s="42" t="s">
        <v>8743</v>
      </c>
      <c r="D3005" s="43" t="s">
        <v>136</v>
      </c>
      <c r="E3005" s="43" t="s">
        <v>92</v>
      </c>
      <c r="F3005" s="42" t="s">
        <v>11469</v>
      </c>
      <c r="G3005" t="s">
        <v>13197</v>
      </c>
    </row>
    <row r="3006" spans="1:7" x14ac:dyDescent="0.3">
      <c r="A3006" s="42" t="s">
        <v>3183</v>
      </c>
      <c r="B3006" s="42" t="s">
        <v>3200</v>
      </c>
      <c r="C3006" s="42" t="s">
        <v>8744</v>
      </c>
      <c r="D3006" s="43" t="s">
        <v>136</v>
      </c>
      <c r="E3006" s="43" t="s">
        <v>92</v>
      </c>
      <c r="F3006" s="42" t="s">
        <v>11469</v>
      </c>
      <c r="G3006" t="s">
        <v>13197</v>
      </c>
    </row>
    <row r="3007" spans="1:7" x14ac:dyDescent="0.3">
      <c r="A3007" s="42" t="s">
        <v>3183</v>
      </c>
      <c r="B3007" s="42" t="s">
        <v>3201</v>
      </c>
      <c r="C3007" s="42" t="s">
        <v>8745</v>
      </c>
      <c r="D3007" s="43" t="s">
        <v>136</v>
      </c>
      <c r="E3007" s="43" t="s">
        <v>92</v>
      </c>
      <c r="F3007" s="42" t="s">
        <v>11469</v>
      </c>
      <c r="G3007" t="s">
        <v>13197</v>
      </c>
    </row>
    <row r="3008" spans="1:7" x14ac:dyDescent="0.3">
      <c r="A3008" s="42" t="s">
        <v>3183</v>
      </c>
      <c r="B3008" s="42" t="s">
        <v>3202</v>
      </c>
      <c r="C3008" s="42" t="s">
        <v>8746</v>
      </c>
      <c r="D3008" s="43" t="s">
        <v>136</v>
      </c>
      <c r="E3008" s="43" t="s">
        <v>92</v>
      </c>
      <c r="F3008" s="42" t="s">
        <v>11469</v>
      </c>
      <c r="G3008" t="s">
        <v>13197</v>
      </c>
    </row>
    <row r="3009" spans="1:7" x14ac:dyDescent="0.3">
      <c r="A3009" s="42" t="s">
        <v>3183</v>
      </c>
      <c r="B3009" s="42" t="s">
        <v>3203</v>
      </c>
      <c r="C3009" s="42" t="s">
        <v>8747</v>
      </c>
      <c r="D3009" s="43" t="s">
        <v>136</v>
      </c>
      <c r="E3009" s="43" t="s">
        <v>92</v>
      </c>
      <c r="F3009" s="42" t="s">
        <v>11469</v>
      </c>
      <c r="G3009" t="s">
        <v>13197</v>
      </c>
    </row>
    <row r="3010" spans="1:7" x14ac:dyDescent="0.3">
      <c r="A3010" s="42" t="s">
        <v>3183</v>
      </c>
      <c r="B3010" s="42" t="s">
        <v>3204</v>
      </c>
      <c r="C3010" s="42" t="s">
        <v>8748</v>
      </c>
      <c r="D3010" s="43" t="s">
        <v>136</v>
      </c>
      <c r="E3010" s="43" t="s">
        <v>92</v>
      </c>
      <c r="F3010" s="42" t="s">
        <v>11469</v>
      </c>
      <c r="G3010" t="s">
        <v>13197</v>
      </c>
    </row>
    <row r="3011" spans="1:7" x14ac:dyDescent="0.3">
      <c r="A3011" s="42" t="s">
        <v>3183</v>
      </c>
      <c r="B3011" s="42" t="s">
        <v>3205</v>
      </c>
      <c r="C3011" s="42" t="s">
        <v>8749</v>
      </c>
      <c r="D3011" s="43" t="s">
        <v>136</v>
      </c>
      <c r="E3011" s="43" t="s">
        <v>92</v>
      </c>
      <c r="F3011" s="42" t="s">
        <v>11469</v>
      </c>
      <c r="G3011" t="s">
        <v>13197</v>
      </c>
    </row>
    <row r="3012" spans="1:7" x14ac:dyDescent="0.3">
      <c r="A3012" s="42" t="s">
        <v>3183</v>
      </c>
      <c r="B3012" s="42" t="s">
        <v>3206</v>
      </c>
      <c r="C3012" s="42" t="s">
        <v>8750</v>
      </c>
      <c r="D3012" s="43" t="s">
        <v>136</v>
      </c>
      <c r="E3012" s="43" t="s">
        <v>92</v>
      </c>
      <c r="F3012" s="42" t="s">
        <v>11469</v>
      </c>
      <c r="G3012" t="s">
        <v>13197</v>
      </c>
    </row>
    <row r="3013" spans="1:7" x14ac:dyDescent="0.3">
      <c r="A3013" s="42" t="s">
        <v>3183</v>
      </c>
      <c r="B3013" s="42" t="s">
        <v>3207</v>
      </c>
      <c r="C3013" s="42" t="s">
        <v>8751</v>
      </c>
      <c r="D3013" s="43" t="s">
        <v>136</v>
      </c>
      <c r="E3013" s="43" t="s">
        <v>92</v>
      </c>
      <c r="F3013" s="42" t="s">
        <v>11469</v>
      </c>
      <c r="G3013" t="s">
        <v>13197</v>
      </c>
    </row>
    <row r="3014" spans="1:7" x14ac:dyDescent="0.3">
      <c r="A3014" s="42" t="s">
        <v>3183</v>
      </c>
      <c r="B3014" s="42" t="s">
        <v>3208</v>
      </c>
      <c r="C3014" s="42" t="s">
        <v>8752</v>
      </c>
      <c r="D3014" s="43" t="s">
        <v>136</v>
      </c>
      <c r="E3014" s="43" t="s">
        <v>92</v>
      </c>
      <c r="F3014" s="42" t="s">
        <v>11469</v>
      </c>
      <c r="G3014" t="s">
        <v>13197</v>
      </c>
    </row>
    <row r="3015" spans="1:7" x14ac:dyDescent="0.3">
      <c r="A3015" s="42" t="s">
        <v>3183</v>
      </c>
      <c r="B3015" s="42" t="s">
        <v>3209</v>
      </c>
      <c r="C3015" s="42" t="s">
        <v>8753</v>
      </c>
      <c r="D3015" s="43" t="s">
        <v>136</v>
      </c>
      <c r="E3015" s="43" t="s">
        <v>92</v>
      </c>
      <c r="F3015" s="42" t="s">
        <v>11469</v>
      </c>
      <c r="G3015" t="s">
        <v>13197</v>
      </c>
    </row>
    <row r="3016" spans="1:7" x14ac:dyDescent="0.3">
      <c r="A3016" s="42" t="s">
        <v>3183</v>
      </c>
      <c r="B3016" s="42" t="s">
        <v>3210</v>
      </c>
      <c r="C3016" s="42" t="s">
        <v>8754</v>
      </c>
      <c r="D3016" s="43" t="s">
        <v>136</v>
      </c>
      <c r="E3016" s="43" t="s">
        <v>92</v>
      </c>
      <c r="F3016" s="42" t="s">
        <v>11469</v>
      </c>
      <c r="G3016" t="s">
        <v>13197</v>
      </c>
    </row>
    <row r="3017" spans="1:7" x14ac:dyDescent="0.3">
      <c r="A3017" s="42" t="s">
        <v>3183</v>
      </c>
      <c r="B3017" s="42" t="s">
        <v>3211</v>
      </c>
      <c r="C3017" s="42" t="s">
        <v>8755</v>
      </c>
      <c r="D3017" s="43" t="s">
        <v>136</v>
      </c>
      <c r="E3017" s="43" t="s">
        <v>92</v>
      </c>
      <c r="F3017" s="42" t="s">
        <v>11469</v>
      </c>
      <c r="G3017" t="s">
        <v>13197</v>
      </c>
    </row>
    <row r="3018" spans="1:7" x14ac:dyDescent="0.3">
      <c r="A3018" s="42" t="s">
        <v>3183</v>
      </c>
      <c r="B3018" s="42" t="s">
        <v>3212</v>
      </c>
      <c r="C3018" s="42" t="s">
        <v>8756</v>
      </c>
      <c r="D3018" s="43" t="s">
        <v>136</v>
      </c>
      <c r="E3018" s="43" t="s">
        <v>92</v>
      </c>
      <c r="F3018" s="42" t="s">
        <v>11469</v>
      </c>
      <c r="G3018" t="s">
        <v>13197</v>
      </c>
    </row>
    <row r="3019" spans="1:7" x14ac:dyDescent="0.3">
      <c r="A3019" s="42" t="s">
        <v>3183</v>
      </c>
      <c r="B3019" s="42" t="s">
        <v>3213</v>
      </c>
      <c r="C3019" s="42" t="s">
        <v>8757</v>
      </c>
      <c r="D3019" s="43" t="s">
        <v>136</v>
      </c>
      <c r="E3019" s="43" t="s">
        <v>92</v>
      </c>
      <c r="F3019" s="42" t="s">
        <v>11469</v>
      </c>
      <c r="G3019" t="s">
        <v>13197</v>
      </c>
    </row>
    <row r="3020" spans="1:7" x14ac:dyDescent="0.3">
      <c r="A3020" s="42" t="s">
        <v>3183</v>
      </c>
      <c r="B3020" s="42" t="s">
        <v>3214</v>
      </c>
      <c r="C3020" s="42" t="s">
        <v>8758</v>
      </c>
      <c r="D3020" s="43" t="s">
        <v>136</v>
      </c>
      <c r="E3020" s="43" t="s">
        <v>92</v>
      </c>
      <c r="F3020" s="42" t="s">
        <v>11469</v>
      </c>
      <c r="G3020" t="s">
        <v>13197</v>
      </c>
    </row>
    <row r="3021" spans="1:7" x14ac:dyDescent="0.3">
      <c r="A3021" s="42" t="s">
        <v>3183</v>
      </c>
      <c r="B3021" s="42" t="s">
        <v>3215</v>
      </c>
      <c r="C3021" s="42" t="s">
        <v>8759</v>
      </c>
      <c r="D3021" s="43" t="s">
        <v>136</v>
      </c>
      <c r="E3021" s="43" t="s">
        <v>92</v>
      </c>
      <c r="F3021" s="42" t="s">
        <v>11469</v>
      </c>
      <c r="G3021" t="s">
        <v>13197</v>
      </c>
    </row>
    <row r="3022" spans="1:7" x14ac:dyDescent="0.3">
      <c r="A3022" s="42" t="s">
        <v>3183</v>
      </c>
      <c r="B3022" s="42" t="s">
        <v>3216</v>
      </c>
      <c r="C3022" s="42" t="s">
        <v>8760</v>
      </c>
      <c r="D3022" s="43" t="s">
        <v>136</v>
      </c>
      <c r="E3022" s="43" t="s">
        <v>92</v>
      </c>
      <c r="F3022" s="42" t="s">
        <v>11469</v>
      </c>
      <c r="G3022" t="s">
        <v>13197</v>
      </c>
    </row>
    <row r="3023" spans="1:7" x14ac:dyDescent="0.3">
      <c r="A3023" s="42" t="s">
        <v>3183</v>
      </c>
      <c r="B3023" s="42" t="s">
        <v>3217</v>
      </c>
      <c r="C3023" s="42" t="s">
        <v>8761</v>
      </c>
      <c r="D3023" s="43" t="s">
        <v>136</v>
      </c>
      <c r="E3023" s="43" t="s">
        <v>92</v>
      </c>
      <c r="F3023" s="42" t="s">
        <v>11469</v>
      </c>
      <c r="G3023" t="s">
        <v>13197</v>
      </c>
    </row>
    <row r="3024" spans="1:7" x14ac:dyDescent="0.3">
      <c r="A3024" s="42" t="s">
        <v>3183</v>
      </c>
      <c r="B3024" s="42" t="s">
        <v>3218</v>
      </c>
      <c r="C3024" s="42" t="s">
        <v>8762</v>
      </c>
      <c r="D3024" s="43" t="s">
        <v>136</v>
      </c>
      <c r="E3024" s="43" t="s">
        <v>92</v>
      </c>
      <c r="F3024" s="42" t="s">
        <v>192</v>
      </c>
      <c r="G3024" t="s">
        <v>13196</v>
      </c>
    </row>
    <row r="3025" spans="1:7" x14ac:dyDescent="0.3">
      <c r="A3025" s="42" t="s">
        <v>3183</v>
      </c>
      <c r="B3025" s="42" t="s">
        <v>3219</v>
      </c>
      <c r="C3025" s="42" t="s">
        <v>8763</v>
      </c>
      <c r="D3025" s="43" t="s">
        <v>136</v>
      </c>
      <c r="E3025" s="43" t="s">
        <v>92</v>
      </c>
      <c r="F3025" s="42" t="s">
        <v>11469</v>
      </c>
      <c r="G3025" t="s">
        <v>13197</v>
      </c>
    </row>
    <row r="3026" spans="1:7" x14ac:dyDescent="0.3">
      <c r="A3026" s="42" t="s">
        <v>3183</v>
      </c>
      <c r="B3026" s="42" t="s">
        <v>3220</v>
      </c>
      <c r="C3026" s="42" t="s">
        <v>8764</v>
      </c>
      <c r="D3026" s="43" t="s">
        <v>136</v>
      </c>
      <c r="E3026" s="43" t="s">
        <v>92</v>
      </c>
      <c r="F3026" s="42" t="s">
        <v>11469</v>
      </c>
      <c r="G3026" t="s">
        <v>13197</v>
      </c>
    </row>
    <row r="3027" spans="1:7" x14ac:dyDescent="0.3">
      <c r="A3027" s="42" t="s">
        <v>3183</v>
      </c>
      <c r="B3027" s="42" t="s">
        <v>3221</v>
      </c>
      <c r="C3027" s="42" t="s">
        <v>8765</v>
      </c>
      <c r="D3027" s="43" t="s">
        <v>136</v>
      </c>
      <c r="E3027" s="43" t="s">
        <v>92</v>
      </c>
      <c r="F3027" s="42" t="s">
        <v>11469</v>
      </c>
      <c r="G3027" t="s">
        <v>13197</v>
      </c>
    </row>
    <row r="3028" spans="1:7" x14ac:dyDescent="0.3">
      <c r="A3028" s="42" t="s">
        <v>3183</v>
      </c>
      <c r="B3028" s="42" t="s">
        <v>3222</v>
      </c>
      <c r="C3028" s="42" t="s">
        <v>8766</v>
      </c>
      <c r="D3028" s="43" t="s">
        <v>136</v>
      </c>
      <c r="E3028" s="43" t="s">
        <v>92</v>
      </c>
      <c r="F3028" s="42" t="s">
        <v>11469</v>
      </c>
      <c r="G3028" t="s">
        <v>13197</v>
      </c>
    </row>
    <row r="3029" spans="1:7" x14ac:dyDescent="0.3">
      <c r="A3029" s="42" t="s">
        <v>3183</v>
      </c>
      <c r="B3029" s="42" t="s">
        <v>3223</v>
      </c>
      <c r="C3029" s="42" t="s">
        <v>8767</v>
      </c>
      <c r="D3029" s="43" t="s">
        <v>136</v>
      </c>
      <c r="E3029" s="43" t="s">
        <v>92</v>
      </c>
      <c r="F3029" s="42" t="s">
        <v>11469</v>
      </c>
      <c r="G3029" t="s">
        <v>13197</v>
      </c>
    </row>
    <row r="3030" spans="1:7" x14ac:dyDescent="0.3">
      <c r="A3030" s="42" t="s">
        <v>3183</v>
      </c>
      <c r="B3030" s="42" t="s">
        <v>3224</v>
      </c>
      <c r="C3030" s="42" t="s">
        <v>8768</v>
      </c>
      <c r="D3030" s="43" t="s">
        <v>136</v>
      </c>
      <c r="E3030" s="43" t="s">
        <v>92</v>
      </c>
      <c r="F3030" s="42" t="s">
        <v>11469</v>
      </c>
      <c r="G3030" t="s">
        <v>13197</v>
      </c>
    </row>
    <row r="3031" spans="1:7" x14ac:dyDescent="0.3">
      <c r="A3031" s="42" t="s">
        <v>3183</v>
      </c>
      <c r="B3031" s="42" t="s">
        <v>3225</v>
      </c>
      <c r="C3031" s="42" t="s">
        <v>8769</v>
      </c>
      <c r="D3031" s="43" t="s">
        <v>136</v>
      </c>
      <c r="E3031" s="43" t="s">
        <v>92</v>
      </c>
      <c r="F3031" s="42" t="s">
        <v>11469</v>
      </c>
      <c r="G3031" t="s">
        <v>13197</v>
      </c>
    </row>
    <row r="3032" spans="1:7" x14ac:dyDescent="0.3">
      <c r="A3032" s="42" t="s">
        <v>3226</v>
      </c>
      <c r="B3032" s="42" t="s">
        <v>3227</v>
      </c>
      <c r="C3032" s="42" t="s">
        <v>8770</v>
      </c>
      <c r="D3032" s="43" t="s">
        <v>136</v>
      </c>
      <c r="E3032" s="43" t="s">
        <v>92</v>
      </c>
      <c r="F3032" s="42" t="s">
        <v>11469</v>
      </c>
      <c r="G3032" t="s">
        <v>13197</v>
      </c>
    </row>
    <row r="3033" spans="1:7" x14ac:dyDescent="0.3">
      <c r="A3033" s="42" t="s">
        <v>3226</v>
      </c>
      <c r="B3033" s="42" t="s">
        <v>3228</v>
      </c>
      <c r="C3033" s="42" t="s">
        <v>8771</v>
      </c>
      <c r="D3033" s="43" t="s">
        <v>136</v>
      </c>
      <c r="E3033" s="43" t="s">
        <v>92</v>
      </c>
      <c r="F3033" s="42" t="s">
        <v>11469</v>
      </c>
      <c r="G3033" t="s">
        <v>13197</v>
      </c>
    </row>
    <row r="3034" spans="1:7" x14ac:dyDescent="0.3">
      <c r="A3034" s="42" t="s">
        <v>3226</v>
      </c>
      <c r="B3034" s="42" t="s">
        <v>3229</v>
      </c>
      <c r="C3034" s="42" t="s">
        <v>8772</v>
      </c>
      <c r="D3034" s="43" t="s">
        <v>136</v>
      </c>
      <c r="E3034" s="43" t="s">
        <v>92</v>
      </c>
      <c r="F3034" s="42" t="s">
        <v>11469</v>
      </c>
      <c r="G3034" t="s">
        <v>13197</v>
      </c>
    </row>
    <row r="3035" spans="1:7" x14ac:dyDescent="0.3">
      <c r="A3035" s="42" t="s">
        <v>3226</v>
      </c>
      <c r="B3035" s="42" t="s">
        <v>3230</v>
      </c>
      <c r="C3035" s="42" t="s">
        <v>8773</v>
      </c>
      <c r="D3035" s="43" t="s">
        <v>136</v>
      </c>
      <c r="E3035" s="43" t="s">
        <v>92</v>
      </c>
      <c r="F3035" s="42" t="s">
        <v>11469</v>
      </c>
      <c r="G3035" t="s">
        <v>13197</v>
      </c>
    </row>
    <row r="3036" spans="1:7" x14ac:dyDescent="0.3">
      <c r="A3036" s="42" t="s">
        <v>3226</v>
      </c>
      <c r="B3036" s="42" t="s">
        <v>3231</v>
      </c>
      <c r="C3036" s="42" t="s">
        <v>8774</v>
      </c>
      <c r="D3036" s="43" t="s">
        <v>136</v>
      </c>
      <c r="E3036" s="43" t="s">
        <v>92</v>
      </c>
      <c r="F3036" s="42" t="s">
        <v>11469</v>
      </c>
      <c r="G3036" t="s">
        <v>13197</v>
      </c>
    </row>
    <row r="3037" spans="1:7" x14ac:dyDescent="0.3">
      <c r="A3037" s="42" t="s">
        <v>3226</v>
      </c>
      <c r="B3037" s="42" t="s">
        <v>3232</v>
      </c>
      <c r="C3037" s="42" t="s">
        <v>8775</v>
      </c>
      <c r="D3037" s="43" t="s">
        <v>136</v>
      </c>
      <c r="E3037" s="43" t="s">
        <v>92</v>
      </c>
      <c r="F3037" s="42" t="s">
        <v>11469</v>
      </c>
      <c r="G3037" t="s">
        <v>13197</v>
      </c>
    </row>
    <row r="3038" spans="1:7" x14ac:dyDescent="0.3">
      <c r="A3038" s="42" t="s">
        <v>3226</v>
      </c>
      <c r="B3038" s="42" t="s">
        <v>3233</v>
      </c>
      <c r="C3038" s="42" t="s">
        <v>8776</v>
      </c>
      <c r="D3038" s="43" t="s">
        <v>136</v>
      </c>
      <c r="E3038" s="43" t="s">
        <v>92</v>
      </c>
      <c r="F3038" s="42" t="s">
        <v>11469</v>
      </c>
      <c r="G3038" t="s">
        <v>13197</v>
      </c>
    </row>
    <row r="3039" spans="1:7" x14ac:dyDescent="0.3">
      <c r="A3039" s="42" t="s">
        <v>3226</v>
      </c>
      <c r="B3039" s="42" t="s">
        <v>3234</v>
      </c>
      <c r="C3039" s="42" t="s">
        <v>8777</v>
      </c>
      <c r="D3039" s="43" t="s">
        <v>136</v>
      </c>
      <c r="E3039" s="43" t="s">
        <v>92</v>
      </c>
      <c r="F3039" s="42" t="s">
        <v>11469</v>
      </c>
      <c r="G3039" t="s">
        <v>13197</v>
      </c>
    </row>
    <row r="3040" spans="1:7" x14ac:dyDescent="0.3">
      <c r="A3040" s="42" t="s">
        <v>3226</v>
      </c>
      <c r="B3040" s="42" t="s">
        <v>3235</v>
      </c>
      <c r="C3040" s="42" t="s">
        <v>8778</v>
      </c>
      <c r="D3040" s="43" t="s">
        <v>136</v>
      </c>
      <c r="E3040" s="43" t="s">
        <v>92</v>
      </c>
      <c r="F3040" s="42" t="s">
        <v>11469</v>
      </c>
      <c r="G3040" t="s">
        <v>13197</v>
      </c>
    </row>
    <row r="3041" spans="1:7" x14ac:dyDescent="0.3">
      <c r="A3041" s="42" t="s">
        <v>3226</v>
      </c>
      <c r="B3041" s="42" t="s">
        <v>3236</v>
      </c>
      <c r="C3041" s="42" t="s">
        <v>8779</v>
      </c>
      <c r="D3041" s="43" t="s">
        <v>136</v>
      </c>
      <c r="E3041" s="43" t="s">
        <v>92</v>
      </c>
      <c r="F3041" s="42" t="s">
        <v>11469</v>
      </c>
      <c r="G3041" t="s">
        <v>13197</v>
      </c>
    </row>
    <row r="3042" spans="1:7" x14ac:dyDescent="0.3">
      <c r="A3042" s="42" t="s">
        <v>3226</v>
      </c>
      <c r="B3042" s="42" t="s">
        <v>3237</v>
      </c>
      <c r="C3042" s="42" t="s">
        <v>8780</v>
      </c>
      <c r="D3042" s="43" t="s">
        <v>136</v>
      </c>
      <c r="E3042" s="43" t="s">
        <v>92</v>
      </c>
      <c r="F3042" s="42" t="s">
        <v>11469</v>
      </c>
      <c r="G3042" t="s">
        <v>13197</v>
      </c>
    </row>
    <row r="3043" spans="1:7" x14ac:dyDescent="0.3">
      <c r="A3043" s="42" t="s">
        <v>3226</v>
      </c>
      <c r="B3043" s="42" t="s">
        <v>3238</v>
      </c>
      <c r="C3043" s="42" t="s">
        <v>8781</v>
      </c>
      <c r="D3043" s="43" t="s">
        <v>136</v>
      </c>
      <c r="E3043" s="43" t="s">
        <v>92</v>
      </c>
      <c r="F3043" s="42" t="s">
        <v>11469</v>
      </c>
      <c r="G3043" t="s">
        <v>13197</v>
      </c>
    </row>
    <row r="3044" spans="1:7" x14ac:dyDescent="0.3">
      <c r="A3044" s="42" t="s">
        <v>3226</v>
      </c>
      <c r="B3044" s="42" t="s">
        <v>3239</v>
      </c>
      <c r="C3044" s="42" t="s">
        <v>8782</v>
      </c>
      <c r="D3044" s="43" t="s">
        <v>136</v>
      </c>
      <c r="E3044" s="43" t="s">
        <v>92</v>
      </c>
      <c r="F3044" s="42" t="s">
        <v>11469</v>
      </c>
      <c r="G3044" t="s">
        <v>13197</v>
      </c>
    </row>
    <row r="3045" spans="1:7" x14ac:dyDescent="0.3">
      <c r="A3045" s="42" t="s">
        <v>3226</v>
      </c>
      <c r="B3045" s="42" t="s">
        <v>3240</v>
      </c>
      <c r="C3045" s="42" t="s">
        <v>8783</v>
      </c>
      <c r="D3045" s="43" t="s">
        <v>136</v>
      </c>
      <c r="E3045" s="43" t="s">
        <v>92</v>
      </c>
      <c r="F3045" s="42" t="s">
        <v>11469</v>
      </c>
      <c r="G3045" t="s">
        <v>13197</v>
      </c>
    </row>
    <row r="3046" spans="1:7" x14ac:dyDescent="0.3">
      <c r="A3046" s="42" t="s">
        <v>3226</v>
      </c>
      <c r="B3046" s="42" t="s">
        <v>3241</v>
      </c>
      <c r="C3046" s="42" t="s">
        <v>8784</v>
      </c>
      <c r="D3046" s="43" t="s">
        <v>136</v>
      </c>
      <c r="E3046" s="43" t="s">
        <v>92</v>
      </c>
      <c r="F3046" s="42" t="s">
        <v>11469</v>
      </c>
      <c r="G3046" t="s">
        <v>13197</v>
      </c>
    </row>
    <row r="3047" spans="1:7" x14ac:dyDescent="0.3">
      <c r="A3047" s="42" t="s">
        <v>3226</v>
      </c>
      <c r="B3047" s="42" t="s">
        <v>3242</v>
      </c>
      <c r="C3047" s="42" t="s">
        <v>8785</v>
      </c>
      <c r="D3047" s="43" t="s">
        <v>136</v>
      </c>
      <c r="E3047" s="43" t="s">
        <v>92</v>
      </c>
      <c r="F3047" s="42" t="s">
        <v>11469</v>
      </c>
      <c r="G3047" t="s">
        <v>13197</v>
      </c>
    </row>
    <row r="3048" spans="1:7" x14ac:dyDescent="0.3">
      <c r="A3048" s="42" t="s">
        <v>3226</v>
      </c>
      <c r="B3048" s="42" t="s">
        <v>3243</v>
      </c>
      <c r="C3048" s="42" t="s">
        <v>8786</v>
      </c>
      <c r="D3048" s="43" t="s">
        <v>136</v>
      </c>
      <c r="E3048" s="43" t="s">
        <v>92</v>
      </c>
      <c r="F3048" s="42" t="s">
        <v>11469</v>
      </c>
      <c r="G3048" t="s">
        <v>13197</v>
      </c>
    </row>
    <row r="3049" spans="1:7" x14ac:dyDescent="0.3">
      <c r="A3049" s="42" t="s">
        <v>3226</v>
      </c>
      <c r="B3049" s="42" t="s">
        <v>3244</v>
      </c>
      <c r="C3049" s="42" t="s">
        <v>8787</v>
      </c>
      <c r="D3049" s="43" t="s">
        <v>136</v>
      </c>
      <c r="E3049" s="43" t="s">
        <v>92</v>
      </c>
      <c r="F3049" s="42" t="s">
        <v>11469</v>
      </c>
      <c r="G3049" t="s">
        <v>13197</v>
      </c>
    </row>
    <row r="3050" spans="1:7" x14ac:dyDescent="0.3">
      <c r="A3050" s="42" t="s">
        <v>3226</v>
      </c>
      <c r="B3050" s="42" t="s">
        <v>3245</v>
      </c>
      <c r="C3050" s="42" t="s">
        <v>8788</v>
      </c>
      <c r="D3050" s="43" t="s">
        <v>136</v>
      </c>
      <c r="E3050" s="43" t="s">
        <v>92</v>
      </c>
      <c r="F3050" s="42" t="s">
        <v>11469</v>
      </c>
      <c r="G3050" t="s">
        <v>13197</v>
      </c>
    </row>
    <row r="3051" spans="1:7" x14ac:dyDescent="0.3">
      <c r="A3051" s="42" t="s">
        <v>3226</v>
      </c>
      <c r="B3051" s="42" t="s">
        <v>3246</v>
      </c>
      <c r="C3051" s="42" t="s">
        <v>8789</v>
      </c>
      <c r="D3051" s="43" t="s">
        <v>136</v>
      </c>
      <c r="E3051" s="43" t="s">
        <v>92</v>
      </c>
      <c r="F3051" s="42" t="s">
        <v>11469</v>
      </c>
      <c r="G3051" t="s">
        <v>13197</v>
      </c>
    </row>
    <row r="3052" spans="1:7" x14ac:dyDescent="0.3">
      <c r="A3052" s="42" t="s">
        <v>3226</v>
      </c>
      <c r="B3052" s="42" t="s">
        <v>3247</v>
      </c>
      <c r="C3052" s="42" t="s">
        <v>8790</v>
      </c>
      <c r="D3052" s="43" t="s">
        <v>136</v>
      </c>
      <c r="E3052" s="43" t="s">
        <v>92</v>
      </c>
      <c r="F3052" s="42" t="s">
        <v>11469</v>
      </c>
      <c r="G3052" t="s">
        <v>13197</v>
      </c>
    </row>
    <row r="3053" spans="1:7" x14ac:dyDescent="0.3">
      <c r="A3053" s="42" t="s">
        <v>3226</v>
      </c>
      <c r="B3053" s="42" t="s">
        <v>3248</v>
      </c>
      <c r="C3053" s="42" t="s">
        <v>8791</v>
      </c>
      <c r="D3053" s="43" t="s">
        <v>136</v>
      </c>
      <c r="E3053" s="43" t="s">
        <v>92</v>
      </c>
      <c r="F3053" s="42" t="s">
        <v>11469</v>
      </c>
      <c r="G3053" t="s">
        <v>13197</v>
      </c>
    </row>
    <row r="3054" spans="1:7" x14ac:dyDescent="0.3">
      <c r="A3054" s="42" t="s">
        <v>3226</v>
      </c>
      <c r="B3054" s="42" t="s">
        <v>3249</v>
      </c>
      <c r="C3054" s="42" t="s">
        <v>8792</v>
      </c>
      <c r="D3054" s="43" t="s">
        <v>136</v>
      </c>
      <c r="E3054" s="43" t="s">
        <v>92</v>
      </c>
      <c r="F3054" s="42" t="s">
        <v>11469</v>
      </c>
      <c r="G3054" t="s">
        <v>13197</v>
      </c>
    </row>
    <row r="3055" spans="1:7" x14ac:dyDescent="0.3">
      <c r="A3055" s="42" t="s">
        <v>3250</v>
      </c>
      <c r="B3055" s="42" t="s">
        <v>3251</v>
      </c>
      <c r="C3055" s="42" t="s">
        <v>8793</v>
      </c>
      <c r="D3055" s="43" t="s">
        <v>136</v>
      </c>
      <c r="E3055" s="43" t="s">
        <v>92</v>
      </c>
      <c r="F3055" s="42" t="s">
        <v>192</v>
      </c>
      <c r="G3055" t="s">
        <v>13196</v>
      </c>
    </row>
    <row r="3056" spans="1:7" x14ac:dyDescent="0.3">
      <c r="A3056" s="42" t="s">
        <v>3250</v>
      </c>
      <c r="B3056" s="42" t="s">
        <v>3252</v>
      </c>
      <c r="C3056" s="42" t="s">
        <v>8794</v>
      </c>
      <c r="D3056" s="43" t="s">
        <v>136</v>
      </c>
      <c r="E3056" s="43" t="s">
        <v>92</v>
      </c>
      <c r="F3056" s="42" t="s">
        <v>11469</v>
      </c>
      <c r="G3056" t="s">
        <v>13197</v>
      </c>
    </row>
    <row r="3057" spans="1:7" x14ac:dyDescent="0.3">
      <c r="A3057" s="42" t="s">
        <v>3250</v>
      </c>
      <c r="B3057" s="42" t="s">
        <v>3253</v>
      </c>
      <c r="C3057" s="42" t="s">
        <v>8795</v>
      </c>
      <c r="D3057" s="43" t="s">
        <v>136</v>
      </c>
      <c r="E3057" s="43" t="s">
        <v>92</v>
      </c>
      <c r="F3057" s="42" t="s">
        <v>11469</v>
      </c>
      <c r="G3057" t="s">
        <v>13197</v>
      </c>
    </row>
    <row r="3058" spans="1:7" x14ac:dyDescent="0.3">
      <c r="A3058" s="42" t="s">
        <v>3250</v>
      </c>
      <c r="B3058" s="42" t="s">
        <v>3254</v>
      </c>
      <c r="C3058" s="42" t="s">
        <v>8796</v>
      </c>
      <c r="D3058" s="43" t="s">
        <v>136</v>
      </c>
      <c r="E3058" s="43" t="s">
        <v>92</v>
      </c>
      <c r="F3058" s="42" t="s">
        <v>11469</v>
      </c>
      <c r="G3058" t="s">
        <v>13197</v>
      </c>
    </row>
    <row r="3059" spans="1:7" x14ac:dyDescent="0.3">
      <c r="A3059" s="42" t="s">
        <v>3250</v>
      </c>
      <c r="B3059" s="42" t="s">
        <v>3255</v>
      </c>
      <c r="C3059" s="42" t="s">
        <v>8797</v>
      </c>
      <c r="D3059" s="43" t="s">
        <v>136</v>
      </c>
      <c r="E3059" s="43" t="s">
        <v>92</v>
      </c>
      <c r="F3059" s="42" t="s">
        <v>11469</v>
      </c>
      <c r="G3059" t="s">
        <v>13197</v>
      </c>
    </row>
    <row r="3060" spans="1:7" x14ac:dyDescent="0.3">
      <c r="A3060" s="42" t="s">
        <v>3250</v>
      </c>
      <c r="B3060" s="42" t="s">
        <v>3256</v>
      </c>
      <c r="C3060" s="42" t="s">
        <v>8798</v>
      </c>
      <c r="D3060" s="43" t="s">
        <v>136</v>
      </c>
      <c r="E3060" s="43" t="s">
        <v>92</v>
      </c>
      <c r="F3060" s="42" t="s">
        <v>11469</v>
      </c>
      <c r="G3060" t="s">
        <v>13197</v>
      </c>
    </row>
    <row r="3061" spans="1:7" x14ac:dyDescent="0.3">
      <c r="A3061" s="42" t="s">
        <v>3250</v>
      </c>
      <c r="B3061" s="42" t="s">
        <v>3257</v>
      </c>
      <c r="C3061" s="42" t="s">
        <v>8799</v>
      </c>
      <c r="D3061" s="43" t="s">
        <v>136</v>
      </c>
      <c r="E3061" s="43" t="s">
        <v>92</v>
      </c>
      <c r="F3061" s="42" t="s">
        <v>11469</v>
      </c>
      <c r="G3061" t="s">
        <v>13197</v>
      </c>
    </row>
    <row r="3062" spans="1:7" x14ac:dyDescent="0.3">
      <c r="A3062" s="42" t="s">
        <v>3250</v>
      </c>
      <c r="B3062" s="42" t="s">
        <v>3258</v>
      </c>
      <c r="C3062" s="42" t="s">
        <v>8800</v>
      </c>
      <c r="D3062" s="43" t="s">
        <v>136</v>
      </c>
      <c r="E3062" s="43" t="s">
        <v>92</v>
      </c>
      <c r="F3062" s="42" t="s">
        <v>11469</v>
      </c>
      <c r="G3062" t="s">
        <v>13197</v>
      </c>
    </row>
    <row r="3063" spans="1:7" x14ac:dyDescent="0.3">
      <c r="A3063" s="42" t="s">
        <v>3259</v>
      </c>
      <c r="B3063" s="42" t="s">
        <v>3260</v>
      </c>
      <c r="C3063" s="42" t="s">
        <v>8801</v>
      </c>
      <c r="D3063" s="43" t="s">
        <v>136</v>
      </c>
      <c r="E3063" s="43" t="s">
        <v>92</v>
      </c>
      <c r="F3063" s="42" t="s">
        <v>11469</v>
      </c>
      <c r="G3063" t="s">
        <v>13197</v>
      </c>
    </row>
    <row r="3064" spans="1:7" x14ac:dyDescent="0.3">
      <c r="A3064" s="42" t="s">
        <v>3259</v>
      </c>
      <c r="B3064" s="42" t="s">
        <v>3261</v>
      </c>
      <c r="C3064" s="42" t="s">
        <v>8802</v>
      </c>
      <c r="D3064" s="43" t="s">
        <v>136</v>
      </c>
      <c r="E3064" s="43" t="s">
        <v>92</v>
      </c>
      <c r="F3064" s="42" t="s">
        <v>11469</v>
      </c>
      <c r="G3064" t="s">
        <v>13197</v>
      </c>
    </row>
    <row r="3065" spans="1:7" x14ac:dyDescent="0.3">
      <c r="A3065" s="42" t="s">
        <v>3259</v>
      </c>
      <c r="B3065" s="42" t="s">
        <v>3262</v>
      </c>
      <c r="C3065" s="42" t="s">
        <v>8803</v>
      </c>
      <c r="D3065" s="43" t="s">
        <v>136</v>
      </c>
      <c r="E3065" s="43" t="s">
        <v>92</v>
      </c>
      <c r="F3065" s="42" t="s">
        <v>11469</v>
      </c>
      <c r="G3065" t="s">
        <v>13197</v>
      </c>
    </row>
    <row r="3066" spans="1:7" x14ac:dyDescent="0.3">
      <c r="A3066" s="42" t="s">
        <v>3259</v>
      </c>
      <c r="B3066" s="42" t="s">
        <v>3263</v>
      </c>
      <c r="C3066" s="42" t="s">
        <v>8804</v>
      </c>
      <c r="D3066" s="43" t="s">
        <v>136</v>
      </c>
      <c r="E3066" s="43" t="s">
        <v>92</v>
      </c>
      <c r="F3066" s="42" t="s">
        <v>11469</v>
      </c>
      <c r="G3066" t="s">
        <v>13197</v>
      </c>
    </row>
    <row r="3067" spans="1:7" x14ac:dyDescent="0.3">
      <c r="A3067" s="42" t="s">
        <v>3259</v>
      </c>
      <c r="B3067" s="42" t="s">
        <v>3264</v>
      </c>
      <c r="C3067" s="42" t="s">
        <v>8805</v>
      </c>
      <c r="D3067" s="43" t="s">
        <v>136</v>
      </c>
      <c r="E3067" s="43" t="s">
        <v>92</v>
      </c>
      <c r="F3067" s="42" t="s">
        <v>11469</v>
      </c>
      <c r="G3067" t="s">
        <v>13197</v>
      </c>
    </row>
    <row r="3068" spans="1:7" x14ac:dyDescent="0.3">
      <c r="A3068" s="42" t="s">
        <v>3259</v>
      </c>
      <c r="B3068" s="42" t="s">
        <v>3265</v>
      </c>
      <c r="C3068" s="42" t="s">
        <v>8806</v>
      </c>
      <c r="D3068" s="43" t="s">
        <v>136</v>
      </c>
      <c r="E3068" s="43" t="s">
        <v>92</v>
      </c>
      <c r="F3068" s="42" t="s">
        <v>11469</v>
      </c>
      <c r="G3068" t="s">
        <v>13197</v>
      </c>
    </row>
    <row r="3069" spans="1:7" x14ac:dyDescent="0.3">
      <c r="A3069" s="42" t="s">
        <v>3259</v>
      </c>
      <c r="B3069" s="42" t="s">
        <v>3266</v>
      </c>
      <c r="C3069" s="42" t="s">
        <v>8807</v>
      </c>
      <c r="D3069" s="43" t="s">
        <v>136</v>
      </c>
      <c r="E3069" s="43" t="s">
        <v>92</v>
      </c>
      <c r="F3069" s="42" t="s">
        <v>11469</v>
      </c>
      <c r="G3069" t="s">
        <v>13197</v>
      </c>
    </row>
    <row r="3070" spans="1:7" x14ac:dyDescent="0.3">
      <c r="A3070" s="42" t="s">
        <v>3259</v>
      </c>
      <c r="B3070" s="42" t="s">
        <v>3267</v>
      </c>
      <c r="C3070" s="42" t="s">
        <v>8808</v>
      </c>
      <c r="D3070" s="43" t="s">
        <v>136</v>
      </c>
      <c r="E3070" s="43" t="s">
        <v>92</v>
      </c>
      <c r="F3070" s="42" t="s">
        <v>11469</v>
      </c>
      <c r="G3070" t="s">
        <v>13197</v>
      </c>
    </row>
    <row r="3071" spans="1:7" x14ac:dyDescent="0.3">
      <c r="A3071" s="42" t="s">
        <v>3259</v>
      </c>
      <c r="B3071" s="42" t="s">
        <v>3268</v>
      </c>
      <c r="C3071" s="42" t="s">
        <v>8809</v>
      </c>
      <c r="D3071" s="43" t="s">
        <v>136</v>
      </c>
      <c r="E3071" s="43" t="s">
        <v>92</v>
      </c>
      <c r="F3071" s="42" t="s">
        <v>11469</v>
      </c>
      <c r="G3071" t="s">
        <v>13197</v>
      </c>
    </row>
    <row r="3072" spans="1:7" x14ac:dyDescent="0.3">
      <c r="A3072" s="42" t="s">
        <v>3259</v>
      </c>
      <c r="B3072" s="42" t="s">
        <v>3269</v>
      </c>
      <c r="C3072" s="42" t="s">
        <v>8810</v>
      </c>
      <c r="D3072" s="43" t="s">
        <v>136</v>
      </c>
      <c r="E3072" s="43" t="s">
        <v>92</v>
      </c>
      <c r="F3072" s="42" t="s">
        <v>11469</v>
      </c>
      <c r="G3072" t="s">
        <v>13197</v>
      </c>
    </row>
    <row r="3073" spans="1:7" x14ac:dyDescent="0.3">
      <c r="A3073" s="42" t="s">
        <v>3259</v>
      </c>
      <c r="B3073" s="42" t="s">
        <v>3270</v>
      </c>
      <c r="C3073" s="42" t="s">
        <v>8811</v>
      </c>
      <c r="D3073" s="43" t="s">
        <v>136</v>
      </c>
      <c r="E3073" s="43" t="s">
        <v>92</v>
      </c>
      <c r="F3073" s="42" t="s">
        <v>11469</v>
      </c>
      <c r="G3073" t="s">
        <v>13197</v>
      </c>
    </row>
    <row r="3074" spans="1:7" x14ac:dyDescent="0.3">
      <c r="A3074" s="42" t="s">
        <v>3259</v>
      </c>
      <c r="B3074" s="42" t="s">
        <v>3271</v>
      </c>
      <c r="C3074" s="42" t="s">
        <v>8812</v>
      </c>
      <c r="D3074" s="43" t="s">
        <v>136</v>
      </c>
      <c r="E3074" s="43" t="s">
        <v>92</v>
      </c>
      <c r="F3074" s="42" t="s">
        <v>11469</v>
      </c>
      <c r="G3074" t="s">
        <v>13197</v>
      </c>
    </row>
    <row r="3075" spans="1:7" x14ac:dyDescent="0.3">
      <c r="A3075" s="42" t="s">
        <v>3259</v>
      </c>
      <c r="B3075" s="42" t="s">
        <v>3272</v>
      </c>
      <c r="C3075" s="42" t="s">
        <v>8813</v>
      </c>
      <c r="D3075" s="43" t="s">
        <v>136</v>
      </c>
      <c r="E3075" s="43" t="s">
        <v>92</v>
      </c>
      <c r="F3075" s="42" t="s">
        <v>11469</v>
      </c>
      <c r="G3075" t="s">
        <v>13197</v>
      </c>
    </row>
    <row r="3076" spans="1:7" x14ac:dyDescent="0.3">
      <c r="A3076" s="42" t="s">
        <v>3259</v>
      </c>
      <c r="B3076" s="42" t="s">
        <v>3273</v>
      </c>
      <c r="C3076" s="42" t="s">
        <v>8814</v>
      </c>
      <c r="D3076" s="43" t="s">
        <v>136</v>
      </c>
      <c r="E3076" s="43" t="s">
        <v>92</v>
      </c>
      <c r="F3076" s="42" t="s">
        <v>11469</v>
      </c>
      <c r="G3076" t="s">
        <v>13197</v>
      </c>
    </row>
    <row r="3077" spans="1:7" x14ac:dyDescent="0.3">
      <c r="A3077" s="42" t="s">
        <v>3259</v>
      </c>
      <c r="B3077" s="42" t="s">
        <v>3274</v>
      </c>
      <c r="C3077" s="42" t="s">
        <v>8815</v>
      </c>
      <c r="D3077" s="43" t="s">
        <v>136</v>
      </c>
      <c r="E3077" s="43" t="s">
        <v>92</v>
      </c>
      <c r="F3077" s="42" t="s">
        <v>11469</v>
      </c>
      <c r="G3077" t="s">
        <v>13197</v>
      </c>
    </row>
    <row r="3078" spans="1:7" x14ac:dyDescent="0.3">
      <c r="A3078" s="42" t="s">
        <v>3259</v>
      </c>
      <c r="B3078" s="42" t="s">
        <v>3275</v>
      </c>
      <c r="C3078" s="42" t="s">
        <v>8816</v>
      </c>
      <c r="D3078" s="43" t="s">
        <v>136</v>
      </c>
      <c r="E3078" s="43" t="s">
        <v>92</v>
      </c>
      <c r="F3078" s="42" t="s">
        <v>192</v>
      </c>
      <c r="G3078" t="s">
        <v>13196</v>
      </c>
    </row>
    <row r="3079" spans="1:7" x14ac:dyDescent="0.3">
      <c r="A3079" s="42" t="s">
        <v>3259</v>
      </c>
      <c r="B3079" s="42" t="s">
        <v>3276</v>
      </c>
      <c r="C3079" s="42" t="s">
        <v>8817</v>
      </c>
      <c r="D3079" s="43" t="s">
        <v>136</v>
      </c>
      <c r="E3079" s="43" t="s">
        <v>92</v>
      </c>
      <c r="F3079" s="42" t="s">
        <v>11469</v>
      </c>
      <c r="G3079" t="s">
        <v>13197</v>
      </c>
    </row>
    <row r="3080" spans="1:7" x14ac:dyDescent="0.3">
      <c r="A3080" s="42" t="s">
        <v>3259</v>
      </c>
      <c r="B3080" s="42" t="s">
        <v>3277</v>
      </c>
      <c r="C3080" s="42" t="s">
        <v>8818</v>
      </c>
      <c r="D3080" s="43" t="s">
        <v>136</v>
      </c>
      <c r="E3080" s="43" t="s">
        <v>92</v>
      </c>
      <c r="F3080" s="42" t="s">
        <v>11469</v>
      </c>
      <c r="G3080" t="s">
        <v>13197</v>
      </c>
    </row>
    <row r="3081" spans="1:7" x14ac:dyDescent="0.3">
      <c r="A3081" s="42" t="s">
        <v>3259</v>
      </c>
      <c r="B3081" s="42" t="s">
        <v>3278</v>
      </c>
      <c r="C3081" s="42" t="s">
        <v>8819</v>
      </c>
      <c r="D3081" s="43" t="s">
        <v>136</v>
      </c>
      <c r="E3081" s="43" t="s">
        <v>92</v>
      </c>
      <c r="F3081" s="42" t="s">
        <v>11469</v>
      </c>
      <c r="G3081" t="s">
        <v>13197</v>
      </c>
    </row>
    <row r="3082" spans="1:7" x14ac:dyDescent="0.3">
      <c r="A3082" s="42" t="s">
        <v>3259</v>
      </c>
      <c r="B3082" s="42" t="s">
        <v>3279</v>
      </c>
      <c r="C3082" s="42" t="s">
        <v>8820</v>
      </c>
      <c r="D3082" s="43" t="s">
        <v>136</v>
      </c>
      <c r="E3082" s="43" t="s">
        <v>92</v>
      </c>
      <c r="F3082" s="42" t="s">
        <v>11469</v>
      </c>
      <c r="G3082" t="s">
        <v>13197</v>
      </c>
    </row>
    <row r="3083" spans="1:7" x14ac:dyDescent="0.3">
      <c r="A3083" s="42" t="s">
        <v>3259</v>
      </c>
      <c r="B3083" s="42" t="s">
        <v>3280</v>
      </c>
      <c r="C3083" s="42" t="s">
        <v>8821</v>
      </c>
      <c r="D3083" s="43" t="s">
        <v>136</v>
      </c>
      <c r="E3083" s="43" t="s">
        <v>92</v>
      </c>
      <c r="F3083" s="42" t="s">
        <v>11469</v>
      </c>
      <c r="G3083" t="s">
        <v>13197</v>
      </c>
    </row>
    <row r="3084" spans="1:7" x14ac:dyDescent="0.3">
      <c r="A3084" s="42" t="s">
        <v>3259</v>
      </c>
      <c r="B3084" s="42" t="s">
        <v>3281</v>
      </c>
      <c r="C3084" s="42" t="s">
        <v>8822</v>
      </c>
      <c r="D3084" s="43" t="s">
        <v>136</v>
      </c>
      <c r="E3084" s="43" t="s">
        <v>92</v>
      </c>
      <c r="F3084" s="42" t="s">
        <v>11469</v>
      </c>
      <c r="G3084" t="s">
        <v>13197</v>
      </c>
    </row>
    <row r="3085" spans="1:7" x14ac:dyDescent="0.3">
      <c r="A3085" s="42" t="s">
        <v>3259</v>
      </c>
      <c r="B3085" s="42" t="s">
        <v>3282</v>
      </c>
      <c r="C3085" s="42" t="s">
        <v>8823</v>
      </c>
      <c r="D3085" s="43" t="s">
        <v>136</v>
      </c>
      <c r="E3085" s="43" t="s">
        <v>92</v>
      </c>
      <c r="F3085" s="42" t="s">
        <v>11469</v>
      </c>
      <c r="G3085" t="s">
        <v>13197</v>
      </c>
    </row>
    <row r="3086" spans="1:7" x14ac:dyDescent="0.3">
      <c r="A3086" s="42" t="s">
        <v>3259</v>
      </c>
      <c r="B3086" s="42" t="s">
        <v>3283</v>
      </c>
      <c r="C3086" s="42" t="s">
        <v>8824</v>
      </c>
      <c r="D3086" s="43" t="s">
        <v>136</v>
      </c>
      <c r="E3086" s="43" t="s">
        <v>92</v>
      </c>
      <c r="F3086" s="42" t="s">
        <v>11469</v>
      </c>
      <c r="G3086" t="s">
        <v>13197</v>
      </c>
    </row>
    <row r="3087" spans="1:7" x14ac:dyDescent="0.3">
      <c r="A3087" s="42" t="s">
        <v>3259</v>
      </c>
      <c r="B3087" s="42" t="s">
        <v>3284</v>
      </c>
      <c r="C3087" s="42" t="s">
        <v>8825</v>
      </c>
      <c r="D3087" s="43" t="s">
        <v>136</v>
      </c>
      <c r="E3087" s="43" t="s">
        <v>92</v>
      </c>
      <c r="F3087" s="42" t="s">
        <v>11469</v>
      </c>
      <c r="G3087" t="s">
        <v>13197</v>
      </c>
    </row>
    <row r="3088" spans="1:7" x14ac:dyDescent="0.3">
      <c r="A3088" s="42" t="s">
        <v>3259</v>
      </c>
      <c r="B3088" s="42" t="s">
        <v>3285</v>
      </c>
      <c r="C3088" s="42" t="s">
        <v>8826</v>
      </c>
      <c r="D3088" s="43" t="s">
        <v>136</v>
      </c>
      <c r="E3088" s="43" t="s">
        <v>92</v>
      </c>
      <c r="F3088" s="42" t="s">
        <v>11469</v>
      </c>
      <c r="G3088" t="s">
        <v>13197</v>
      </c>
    </row>
    <row r="3089" spans="1:7" x14ac:dyDescent="0.3">
      <c r="A3089" s="42" t="s">
        <v>3259</v>
      </c>
      <c r="B3089" s="42" t="s">
        <v>3286</v>
      </c>
      <c r="C3089" s="42" t="s">
        <v>8827</v>
      </c>
      <c r="D3089" s="43" t="s">
        <v>136</v>
      </c>
      <c r="E3089" s="43" t="s">
        <v>92</v>
      </c>
      <c r="F3089" s="42" t="s">
        <v>11469</v>
      </c>
      <c r="G3089" t="s">
        <v>13197</v>
      </c>
    </row>
    <row r="3090" spans="1:7" x14ac:dyDescent="0.3">
      <c r="A3090" s="42" t="s">
        <v>3259</v>
      </c>
      <c r="B3090" s="42" t="s">
        <v>3287</v>
      </c>
      <c r="C3090" s="42" t="s">
        <v>8828</v>
      </c>
      <c r="D3090" s="43" t="s">
        <v>136</v>
      </c>
      <c r="E3090" s="43" t="s">
        <v>92</v>
      </c>
      <c r="F3090" s="42" t="s">
        <v>11469</v>
      </c>
      <c r="G3090" t="s">
        <v>13197</v>
      </c>
    </row>
    <row r="3091" spans="1:7" x14ac:dyDescent="0.3">
      <c r="A3091" s="42" t="s">
        <v>3259</v>
      </c>
      <c r="B3091" s="42" t="s">
        <v>3288</v>
      </c>
      <c r="C3091" s="42" t="s">
        <v>8829</v>
      </c>
      <c r="D3091" s="43" t="s">
        <v>136</v>
      </c>
      <c r="E3091" s="43" t="s">
        <v>92</v>
      </c>
      <c r="F3091" s="42" t="s">
        <v>11469</v>
      </c>
      <c r="G3091" t="s">
        <v>13197</v>
      </c>
    </row>
    <row r="3092" spans="1:7" x14ac:dyDescent="0.3">
      <c r="A3092" s="42" t="s">
        <v>3259</v>
      </c>
      <c r="B3092" s="42" t="s">
        <v>3289</v>
      </c>
      <c r="C3092" s="42" t="s">
        <v>8830</v>
      </c>
      <c r="D3092" s="43" t="s">
        <v>136</v>
      </c>
      <c r="E3092" s="43" t="s">
        <v>92</v>
      </c>
      <c r="F3092" s="42" t="s">
        <v>11469</v>
      </c>
      <c r="G3092" t="s">
        <v>13197</v>
      </c>
    </row>
    <row r="3093" spans="1:7" x14ac:dyDescent="0.3">
      <c r="A3093" s="42" t="s">
        <v>3259</v>
      </c>
      <c r="B3093" s="42" t="s">
        <v>3290</v>
      </c>
      <c r="C3093" s="42" t="s">
        <v>8831</v>
      </c>
      <c r="D3093" s="43" t="s">
        <v>136</v>
      </c>
      <c r="E3093" s="43" t="s">
        <v>92</v>
      </c>
      <c r="F3093" s="42" t="s">
        <v>11469</v>
      </c>
      <c r="G3093" t="s">
        <v>13197</v>
      </c>
    </row>
    <row r="3094" spans="1:7" x14ac:dyDescent="0.3">
      <c r="A3094" s="42" t="s">
        <v>3259</v>
      </c>
      <c r="B3094" s="42" t="s">
        <v>3291</v>
      </c>
      <c r="C3094" s="42" t="s">
        <v>8832</v>
      </c>
      <c r="D3094" s="43" t="s">
        <v>136</v>
      </c>
      <c r="E3094" s="43" t="s">
        <v>92</v>
      </c>
      <c r="F3094" s="42" t="s">
        <v>11469</v>
      </c>
      <c r="G3094" t="s">
        <v>13197</v>
      </c>
    </row>
    <row r="3095" spans="1:7" x14ac:dyDescent="0.3">
      <c r="A3095" s="42" t="s">
        <v>3259</v>
      </c>
      <c r="B3095" s="42" t="s">
        <v>3292</v>
      </c>
      <c r="C3095" s="42" t="s">
        <v>8833</v>
      </c>
      <c r="D3095" s="43" t="s">
        <v>136</v>
      </c>
      <c r="E3095" s="43" t="s">
        <v>92</v>
      </c>
      <c r="F3095" s="42" t="s">
        <v>11469</v>
      </c>
      <c r="G3095" t="s">
        <v>13197</v>
      </c>
    </row>
    <row r="3096" spans="1:7" x14ac:dyDescent="0.3">
      <c r="A3096" s="42" t="s">
        <v>3259</v>
      </c>
      <c r="B3096" s="42" t="s">
        <v>3293</v>
      </c>
      <c r="C3096" s="42" t="s">
        <v>8834</v>
      </c>
      <c r="D3096" s="43" t="s">
        <v>136</v>
      </c>
      <c r="E3096" s="43" t="s">
        <v>92</v>
      </c>
      <c r="F3096" s="42" t="s">
        <v>11469</v>
      </c>
      <c r="G3096" t="s">
        <v>13197</v>
      </c>
    </row>
    <row r="3097" spans="1:7" x14ac:dyDescent="0.3">
      <c r="A3097" s="42" t="s">
        <v>3259</v>
      </c>
      <c r="B3097" s="42" t="s">
        <v>3294</v>
      </c>
      <c r="C3097" s="42" t="s">
        <v>8835</v>
      </c>
      <c r="D3097" s="43" t="s">
        <v>136</v>
      </c>
      <c r="E3097" s="43" t="s">
        <v>92</v>
      </c>
      <c r="F3097" s="42" t="s">
        <v>11469</v>
      </c>
      <c r="G3097" t="s">
        <v>13197</v>
      </c>
    </row>
    <row r="3098" spans="1:7" x14ac:dyDescent="0.3">
      <c r="A3098" s="42" t="s">
        <v>3259</v>
      </c>
      <c r="B3098" s="42" t="s">
        <v>3295</v>
      </c>
      <c r="C3098" s="42" t="s">
        <v>8836</v>
      </c>
      <c r="D3098" s="43" t="s">
        <v>136</v>
      </c>
      <c r="E3098" s="43" t="s">
        <v>92</v>
      </c>
      <c r="F3098" s="42" t="s">
        <v>11469</v>
      </c>
      <c r="G3098" t="s">
        <v>13197</v>
      </c>
    </row>
    <row r="3099" spans="1:7" x14ac:dyDescent="0.3">
      <c r="A3099" s="42" t="s">
        <v>3259</v>
      </c>
      <c r="B3099" s="42" t="s">
        <v>3296</v>
      </c>
      <c r="C3099" s="42" t="s">
        <v>8837</v>
      </c>
      <c r="D3099" s="43" t="s">
        <v>136</v>
      </c>
      <c r="E3099" s="43" t="s">
        <v>92</v>
      </c>
      <c r="F3099" s="42" t="s">
        <v>11469</v>
      </c>
      <c r="G3099" t="s">
        <v>13197</v>
      </c>
    </row>
    <row r="3100" spans="1:7" x14ac:dyDescent="0.3">
      <c r="A3100" s="42" t="s">
        <v>3259</v>
      </c>
      <c r="B3100" s="42" t="s">
        <v>3297</v>
      </c>
      <c r="C3100" s="42" t="s">
        <v>8838</v>
      </c>
      <c r="D3100" s="43" t="s">
        <v>136</v>
      </c>
      <c r="E3100" s="43" t="s">
        <v>92</v>
      </c>
      <c r="F3100" s="42" t="s">
        <v>11469</v>
      </c>
      <c r="G3100" t="s">
        <v>13197</v>
      </c>
    </row>
    <row r="3101" spans="1:7" x14ac:dyDescent="0.3">
      <c r="A3101" s="42" t="s">
        <v>3259</v>
      </c>
      <c r="B3101" s="42" t="s">
        <v>3298</v>
      </c>
      <c r="C3101" s="42" t="s">
        <v>8839</v>
      </c>
      <c r="D3101" s="43" t="s">
        <v>136</v>
      </c>
      <c r="E3101" s="43" t="s">
        <v>92</v>
      </c>
      <c r="F3101" s="42" t="s">
        <v>11469</v>
      </c>
      <c r="G3101" t="s">
        <v>13197</v>
      </c>
    </row>
    <row r="3102" spans="1:7" x14ac:dyDescent="0.3">
      <c r="A3102" s="42" t="s">
        <v>3259</v>
      </c>
      <c r="B3102" s="42" t="s">
        <v>3299</v>
      </c>
      <c r="C3102" s="42" t="s">
        <v>8840</v>
      </c>
      <c r="D3102" s="43" t="s">
        <v>136</v>
      </c>
      <c r="E3102" s="43" t="s">
        <v>92</v>
      </c>
      <c r="F3102" s="42" t="s">
        <v>11469</v>
      </c>
      <c r="G3102" t="s">
        <v>13197</v>
      </c>
    </row>
    <row r="3103" spans="1:7" x14ac:dyDescent="0.3">
      <c r="A3103" s="42" t="s">
        <v>3259</v>
      </c>
      <c r="B3103" s="42" t="s">
        <v>3300</v>
      </c>
      <c r="C3103" s="42" t="s">
        <v>8841</v>
      </c>
      <c r="D3103" s="43" t="s">
        <v>136</v>
      </c>
      <c r="E3103" s="43" t="s">
        <v>92</v>
      </c>
      <c r="F3103" s="42" t="s">
        <v>11469</v>
      </c>
      <c r="G3103" t="s">
        <v>13197</v>
      </c>
    </row>
    <row r="3104" spans="1:7" x14ac:dyDescent="0.3">
      <c r="A3104" s="42" t="s">
        <v>3259</v>
      </c>
      <c r="B3104" s="42" t="s">
        <v>3301</v>
      </c>
      <c r="C3104" s="42" t="s">
        <v>8842</v>
      </c>
      <c r="D3104" s="43" t="s">
        <v>136</v>
      </c>
      <c r="E3104" s="43" t="s">
        <v>92</v>
      </c>
      <c r="F3104" s="42" t="s">
        <v>11469</v>
      </c>
      <c r="G3104" t="s">
        <v>13197</v>
      </c>
    </row>
    <row r="3105" spans="1:7" x14ac:dyDescent="0.3">
      <c r="A3105" s="42" t="s">
        <v>3259</v>
      </c>
      <c r="B3105" s="42" t="s">
        <v>3302</v>
      </c>
      <c r="C3105" s="42" t="s">
        <v>8843</v>
      </c>
      <c r="D3105" s="43" t="s">
        <v>136</v>
      </c>
      <c r="E3105" s="43" t="s">
        <v>92</v>
      </c>
      <c r="F3105" s="42" t="s">
        <v>11469</v>
      </c>
      <c r="G3105" t="s">
        <v>13197</v>
      </c>
    </row>
    <row r="3106" spans="1:7" x14ac:dyDescent="0.3">
      <c r="A3106" s="42" t="s">
        <v>3259</v>
      </c>
      <c r="B3106" s="42" t="s">
        <v>3303</v>
      </c>
      <c r="C3106" s="42" t="s">
        <v>8844</v>
      </c>
      <c r="D3106" s="43" t="s">
        <v>136</v>
      </c>
      <c r="E3106" s="43" t="s">
        <v>92</v>
      </c>
      <c r="F3106" s="42" t="s">
        <v>11469</v>
      </c>
      <c r="G3106" t="s">
        <v>13197</v>
      </c>
    </row>
    <row r="3107" spans="1:7" x14ac:dyDescent="0.3">
      <c r="A3107" s="42" t="s">
        <v>3259</v>
      </c>
      <c r="B3107" s="42" t="s">
        <v>3304</v>
      </c>
      <c r="C3107" s="42" t="s">
        <v>8845</v>
      </c>
      <c r="D3107" s="43" t="s">
        <v>136</v>
      </c>
      <c r="E3107" s="43" t="s">
        <v>92</v>
      </c>
      <c r="F3107" s="42" t="s">
        <v>11469</v>
      </c>
      <c r="G3107" t="s">
        <v>13197</v>
      </c>
    </row>
    <row r="3108" spans="1:7" x14ac:dyDescent="0.3">
      <c r="A3108" s="42" t="s">
        <v>3259</v>
      </c>
      <c r="B3108" s="42" t="s">
        <v>3305</v>
      </c>
      <c r="C3108" s="42" t="s">
        <v>8846</v>
      </c>
      <c r="D3108" s="43" t="s">
        <v>136</v>
      </c>
      <c r="E3108" s="43" t="s">
        <v>92</v>
      </c>
      <c r="F3108" s="42" t="s">
        <v>11469</v>
      </c>
      <c r="G3108" t="s">
        <v>13197</v>
      </c>
    </row>
    <row r="3109" spans="1:7" x14ac:dyDescent="0.3">
      <c r="A3109" s="42" t="s">
        <v>3259</v>
      </c>
      <c r="B3109" s="42" t="s">
        <v>3306</v>
      </c>
      <c r="C3109" s="42" t="s">
        <v>8847</v>
      </c>
      <c r="D3109" s="43" t="s">
        <v>136</v>
      </c>
      <c r="E3109" s="43" t="s">
        <v>92</v>
      </c>
      <c r="F3109" s="42" t="s">
        <v>11469</v>
      </c>
      <c r="G3109" t="s">
        <v>13197</v>
      </c>
    </row>
    <row r="3110" spans="1:7" x14ac:dyDescent="0.3">
      <c r="A3110" s="42" t="s">
        <v>3259</v>
      </c>
      <c r="B3110" s="42" t="s">
        <v>3307</v>
      </c>
      <c r="C3110" s="42" t="s">
        <v>8848</v>
      </c>
      <c r="D3110" s="43" t="s">
        <v>136</v>
      </c>
      <c r="E3110" s="43" t="s">
        <v>92</v>
      </c>
      <c r="F3110" s="42" t="s">
        <v>11469</v>
      </c>
      <c r="G3110" t="s">
        <v>13197</v>
      </c>
    </row>
    <row r="3111" spans="1:7" x14ac:dyDescent="0.3">
      <c r="A3111" s="42" t="s">
        <v>3259</v>
      </c>
      <c r="B3111" s="42" t="s">
        <v>3308</v>
      </c>
      <c r="C3111" s="42" t="s">
        <v>8849</v>
      </c>
      <c r="D3111" s="43" t="s">
        <v>136</v>
      </c>
      <c r="E3111" s="43" t="s">
        <v>92</v>
      </c>
      <c r="F3111" s="42" t="s">
        <v>11469</v>
      </c>
      <c r="G3111" t="s">
        <v>13197</v>
      </c>
    </row>
    <row r="3112" spans="1:7" x14ac:dyDescent="0.3">
      <c r="A3112" s="42" t="s">
        <v>3259</v>
      </c>
      <c r="B3112" s="42" t="s">
        <v>3309</v>
      </c>
      <c r="C3112" s="42" t="s">
        <v>8850</v>
      </c>
      <c r="D3112" s="43" t="s">
        <v>136</v>
      </c>
      <c r="E3112" s="43" t="s">
        <v>92</v>
      </c>
      <c r="F3112" s="42" t="s">
        <v>11469</v>
      </c>
      <c r="G3112" t="s">
        <v>13197</v>
      </c>
    </row>
    <row r="3113" spans="1:7" x14ac:dyDescent="0.3">
      <c r="A3113" s="42" t="s">
        <v>3259</v>
      </c>
      <c r="B3113" s="42" t="s">
        <v>3310</v>
      </c>
      <c r="C3113" s="42" t="s">
        <v>8851</v>
      </c>
      <c r="D3113" s="43" t="s">
        <v>136</v>
      </c>
      <c r="E3113" s="43" t="s">
        <v>92</v>
      </c>
      <c r="F3113" s="42" t="s">
        <v>11469</v>
      </c>
      <c r="G3113" t="s">
        <v>13197</v>
      </c>
    </row>
    <row r="3114" spans="1:7" x14ac:dyDescent="0.3">
      <c r="A3114" s="42" t="s">
        <v>3259</v>
      </c>
      <c r="B3114" s="42" t="s">
        <v>3311</v>
      </c>
      <c r="C3114" s="42" t="s">
        <v>8852</v>
      </c>
      <c r="D3114" s="43" t="s">
        <v>136</v>
      </c>
      <c r="E3114" s="43" t="s">
        <v>92</v>
      </c>
      <c r="F3114" s="42" t="s">
        <v>192</v>
      </c>
      <c r="G3114" t="s">
        <v>13196</v>
      </c>
    </row>
    <row r="3115" spans="1:7" x14ac:dyDescent="0.3">
      <c r="A3115" s="42" t="s">
        <v>3259</v>
      </c>
      <c r="B3115" s="42" t="s">
        <v>3312</v>
      </c>
      <c r="C3115" s="42" t="s">
        <v>8853</v>
      </c>
      <c r="D3115" s="43" t="s">
        <v>136</v>
      </c>
      <c r="E3115" s="43" t="s">
        <v>92</v>
      </c>
      <c r="F3115" s="42" t="s">
        <v>11469</v>
      </c>
      <c r="G3115" t="s">
        <v>13197</v>
      </c>
    </row>
    <row r="3116" spans="1:7" x14ac:dyDescent="0.3">
      <c r="A3116" s="42" t="s">
        <v>3259</v>
      </c>
      <c r="B3116" s="42" t="s">
        <v>3313</v>
      </c>
      <c r="C3116" s="42" t="s">
        <v>8854</v>
      </c>
      <c r="D3116" s="43" t="s">
        <v>136</v>
      </c>
      <c r="E3116" s="43" t="s">
        <v>92</v>
      </c>
      <c r="F3116" s="42" t="s">
        <v>11469</v>
      </c>
      <c r="G3116" t="s">
        <v>13197</v>
      </c>
    </row>
    <row r="3117" spans="1:7" x14ac:dyDescent="0.3">
      <c r="A3117" s="42" t="s">
        <v>3259</v>
      </c>
      <c r="B3117" s="42" t="s">
        <v>3314</v>
      </c>
      <c r="C3117" s="42" t="s">
        <v>8855</v>
      </c>
      <c r="D3117" s="43" t="s">
        <v>136</v>
      </c>
      <c r="E3117" s="43" t="s">
        <v>92</v>
      </c>
      <c r="F3117" s="42" t="s">
        <v>11469</v>
      </c>
      <c r="G3117" t="s">
        <v>13197</v>
      </c>
    </row>
    <row r="3118" spans="1:7" x14ac:dyDescent="0.3">
      <c r="A3118" s="42" t="s">
        <v>3259</v>
      </c>
      <c r="B3118" s="42" t="s">
        <v>3315</v>
      </c>
      <c r="C3118" s="42" t="s">
        <v>8856</v>
      </c>
      <c r="D3118" s="43" t="s">
        <v>136</v>
      </c>
      <c r="E3118" s="43" t="s">
        <v>92</v>
      </c>
      <c r="F3118" s="42" t="s">
        <v>11469</v>
      </c>
      <c r="G3118" t="s">
        <v>13197</v>
      </c>
    </row>
    <row r="3119" spans="1:7" x14ac:dyDescent="0.3">
      <c r="A3119" s="42" t="s">
        <v>3259</v>
      </c>
      <c r="B3119" s="42" t="s">
        <v>3316</v>
      </c>
      <c r="C3119" s="42" t="s">
        <v>8857</v>
      </c>
      <c r="D3119" s="43" t="s">
        <v>136</v>
      </c>
      <c r="E3119" s="43" t="s">
        <v>92</v>
      </c>
      <c r="F3119" s="42" t="s">
        <v>11469</v>
      </c>
      <c r="G3119" t="s">
        <v>13197</v>
      </c>
    </row>
    <row r="3120" spans="1:7" x14ac:dyDescent="0.3">
      <c r="A3120" s="42" t="s">
        <v>3259</v>
      </c>
      <c r="B3120" s="42" t="s">
        <v>3317</v>
      </c>
      <c r="C3120" s="42" t="s">
        <v>8858</v>
      </c>
      <c r="D3120" s="43" t="s">
        <v>136</v>
      </c>
      <c r="E3120" s="43" t="s">
        <v>92</v>
      </c>
      <c r="F3120" s="42" t="s">
        <v>11469</v>
      </c>
      <c r="G3120" t="s">
        <v>13197</v>
      </c>
    </row>
    <row r="3121" spans="1:7" x14ac:dyDescent="0.3">
      <c r="A3121" s="42" t="s">
        <v>3259</v>
      </c>
      <c r="B3121" s="42" t="s">
        <v>3318</v>
      </c>
      <c r="C3121" s="42" t="s">
        <v>8859</v>
      </c>
      <c r="D3121" s="43" t="s">
        <v>136</v>
      </c>
      <c r="E3121" s="43" t="s">
        <v>92</v>
      </c>
      <c r="F3121" s="42" t="s">
        <v>11469</v>
      </c>
      <c r="G3121" t="s">
        <v>13197</v>
      </c>
    </row>
    <row r="3122" spans="1:7" x14ac:dyDescent="0.3">
      <c r="A3122" s="42" t="s">
        <v>3259</v>
      </c>
      <c r="B3122" s="42" t="s">
        <v>3319</v>
      </c>
      <c r="C3122" s="42" t="s">
        <v>8860</v>
      </c>
      <c r="D3122" s="43" t="s">
        <v>136</v>
      </c>
      <c r="E3122" s="43" t="s">
        <v>92</v>
      </c>
      <c r="F3122" s="42" t="s">
        <v>11469</v>
      </c>
      <c r="G3122" t="s">
        <v>13197</v>
      </c>
    </row>
    <row r="3123" spans="1:7" x14ac:dyDescent="0.3">
      <c r="A3123" s="42" t="s">
        <v>3259</v>
      </c>
      <c r="B3123" s="42" t="s">
        <v>3320</v>
      </c>
      <c r="C3123" s="42" t="s">
        <v>8861</v>
      </c>
      <c r="D3123" s="43" t="s">
        <v>136</v>
      </c>
      <c r="E3123" s="43" t="s">
        <v>92</v>
      </c>
      <c r="F3123" s="42" t="s">
        <v>11469</v>
      </c>
      <c r="G3123" t="s">
        <v>13197</v>
      </c>
    </row>
    <row r="3124" spans="1:7" x14ac:dyDescent="0.3">
      <c r="A3124" s="42" t="s">
        <v>3259</v>
      </c>
      <c r="B3124" s="42" t="s">
        <v>3321</v>
      </c>
      <c r="C3124" s="42" t="s">
        <v>8862</v>
      </c>
      <c r="D3124" s="43" t="s">
        <v>136</v>
      </c>
      <c r="E3124" s="43" t="s">
        <v>92</v>
      </c>
      <c r="F3124" s="42" t="s">
        <v>11469</v>
      </c>
      <c r="G3124" t="s">
        <v>13197</v>
      </c>
    </row>
    <row r="3125" spans="1:7" x14ac:dyDescent="0.3">
      <c r="A3125" s="42" t="s">
        <v>3259</v>
      </c>
      <c r="B3125" s="42" t="s">
        <v>3322</v>
      </c>
      <c r="C3125" s="42" t="s">
        <v>8863</v>
      </c>
      <c r="D3125" s="43" t="s">
        <v>136</v>
      </c>
      <c r="E3125" s="43" t="s">
        <v>92</v>
      </c>
      <c r="F3125" s="42" t="s">
        <v>11469</v>
      </c>
      <c r="G3125" t="s">
        <v>13197</v>
      </c>
    </row>
    <row r="3126" spans="1:7" x14ac:dyDescent="0.3">
      <c r="A3126" s="42" t="s">
        <v>3259</v>
      </c>
      <c r="B3126" s="42" t="s">
        <v>3323</v>
      </c>
      <c r="C3126" s="42" t="s">
        <v>8864</v>
      </c>
      <c r="D3126" s="43" t="s">
        <v>136</v>
      </c>
      <c r="E3126" s="43" t="s">
        <v>92</v>
      </c>
      <c r="F3126" s="42" t="s">
        <v>11469</v>
      </c>
      <c r="G3126" t="s">
        <v>13197</v>
      </c>
    </row>
    <row r="3127" spans="1:7" x14ac:dyDescent="0.3">
      <c r="A3127" s="42" t="s">
        <v>3259</v>
      </c>
      <c r="B3127" s="42" t="s">
        <v>3324</v>
      </c>
      <c r="C3127" s="42" t="s">
        <v>8865</v>
      </c>
      <c r="D3127" s="43" t="s">
        <v>136</v>
      </c>
      <c r="E3127" s="43" t="s">
        <v>92</v>
      </c>
      <c r="F3127" s="42" t="s">
        <v>11469</v>
      </c>
      <c r="G3127" t="s">
        <v>13197</v>
      </c>
    </row>
    <row r="3128" spans="1:7" x14ac:dyDescent="0.3">
      <c r="A3128" s="42" t="s">
        <v>3259</v>
      </c>
      <c r="B3128" s="42" t="s">
        <v>3325</v>
      </c>
      <c r="C3128" s="42" t="s">
        <v>8866</v>
      </c>
      <c r="D3128" s="43" t="s">
        <v>136</v>
      </c>
      <c r="E3128" s="43" t="s">
        <v>92</v>
      </c>
      <c r="F3128" s="42" t="s">
        <v>11469</v>
      </c>
      <c r="G3128" t="s">
        <v>13197</v>
      </c>
    </row>
    <row r="3129" spans="1:7" x14ac:dyDescent="0.3">
      <c r="A3129" s="42" t="s">
        <v>3259</v>
      </c>
      <c r="B3129" s="42" t="s">
        <v>3326</v>
      </c>
      <c r="C3129" s="42" t="s">
        <v>8867</v>
      </c>
      <c r="D3129" s="43" t="s">
        <v>136</v>
      </c>
      <c r="E3129" s="43" t="s">
        <v>92</v>
      </c>
      <c r="F3129" s="42" t="s">
        <v>11469</v>
      </c>
      <c r="G3129" t="s">
        <v>13197</v>
      </c>
    </row>
    <row r="3130" spans="1:7" x14ac:dyDescent="0.3">
      <c r="A3130" s="42" t="s">
        <v>3259</v>
      </c>
      <c r="B3130" s="42" t="s">
        <v>3327</v>
      </c>
      <c r="C3130" s="42" t="s">
        <v>8868</v>
      </c>
      <c r="D3130" s="43" t="s">
        <v>136</v>
      </c>
      <c r="E3130" s="43" t="s">
        <v>92</v>
      </c>
      <c r="F3130" s="42" t="s">
        <v>11469</v>
      </c>
      <c r="G3130" t="s">
        <v>13197</v>
      </c>
    </row>
    <row r="3131" spans="1:7" x14ac:dyDescent="0.3">
      <c r="A3131" s="42" t="s">
        <v>3259</v>
      </c>
      <c r="B3131" s="42" t="s">
        <v>3328</v>
      </c>
      <c r="C3131" s="42" t="s">
        <v>8869</v>
      </c>
      <c r="D3131" s="43" t="s">
        <v>136</v>
      </c>
      <c r="E3131" s="43" t="s">
        <v>92</v>
      </c>
      <c r="F3131" s="42" t="s">
        <v>11469</v>
      </c>
      <c r="G3131" t="s">
        <v>13197</v>
      </c>
    </row>
    <row r="3132" spans="1:7" x14ac:dyDescent="0.3">
      <c r="A3132" s="42" t="s">
        <v>3259</v>
      </c>
      <c r="B3132" s="42" t="s">
        <v>3329</v>
      </c>
      <c r="C3132" s="42" t="s">
        <v>8870</v>
      </c>
      <c r="D3132" s="43" t="s">
        <v>136</v>
      </c>
      <c r="E3132" s="43" t="s">
        <v>92</v>
      </c>
      <c r="F3132" s="42" t="s">
        <v>11469</v>
      </c>
      <c r="G3132" t="s">
        <v>13197</v>
      </c>
    </row>
    <row r="3133" spans="1:7" x14ac:dyDescent="0.3">
      <c r="A3133" s="42" t="s">
        <v>3259</v>
      </c>
      <c r="B3133" s="42" t="s">
        <v>3330</v>
      </c>
      <c r="C3133" s="42" t="s">
        <v>8871</v>
      </c>
      <c r="D3133" s="43" t="s">
        <v>136</v>
      </c>
      <c r="E3133" s="43" t="s">
        <v>92</v>
      </c>
      <c r="F3133" s="42" t="s">
        <v>11469</v>
      </c>
      <c r="G3133" t="s">
        <v>13197</v>
      </c>
    </row>
    <row r="3134" spans="1:7" x14ac:dyDescent="0.3">
      <c r="A3134" s="42" t="s">
        <v>3259</v>
      </c>
      <c r="B3134" s="42" t="s">
        <v>3331</v>
      </c>
      <c r="C3134" s="42" t="s">
        <v>8872</v>
      </c>
      <c r="D3134" s="43" t="s">
        <v>136</v>
      </c>
      <c r="E3134" s="43" t="s">
        <v>92</v>
      </c>
      <c r="F3134" s="42" t="s">
        <v>11469</v>
      </c>
      <c r="G3134" t="s">
        <v>13197</v>
      </c>
    </row>
    <row r="3135" spans="1:7" x14ac:dyDescent="0.3">
      <c r="A3135" s="42" t="s">
        <v>3259</v>
      </c>
      <c r="B3135" s="42" t="s">
        <v>3332</v>
      </c>
      <c r="C3135" s="42" t="s">
        <v>8873</v>
      </c>
      <c r="D3135" s="43" t="s">
        <v>136</v>
      </c>
      <c r="E3135" s="43" t="s">
        <v>92</v>
      </c>
      <c r="F3135" s="42" t="s">
        <v>11469</v>
      </c>
      <c r="G3135" t="s">
        <v>13197</v>
      </c>
    </row>
    <row r="3136" spans="1:7" x14ac:dyDescent="0.3">
      <c r="A3136" s="42" t="s">
        <v>3259</v>
      </c>
      <c r="B3136" s="42" t="s">
        <v>3333</v>
      </c>
      <c r="C3136" s="42" t="s">
        <v>8874</v>
      </c>
      <c r="D3136" s="43" t="s">
        <v>136</v>
      </c>
      <c r="E3136" s="43" t="s">
        <v>92</v>
      </c>
      <c r="F3136" s="42" t="s">
        <v>11469</v>
      </c>
      <c r="G3136" t="s">
        <v>13197</v>
      </c>
    </row>
    <row r="3137" spans="1:7" x14ac:dyDescent="0.3">
      <c r="A3137" s="42" t="s">
        <v>3259</v>
      </c>
      <c r="B3137" s="42" t="s">
        <v>3334</v>
      </c>
      <c r="C3137" s="42" t="s">
        <v>8875</v>
      </c>
      <c r="D3137" s="43" t="s">
        <v>136</v>
      </c>
      <c r="E3137" s="43" t="s">
        <v>92</v>
      </c>
      <c r="F3137" s="42" t="s">
        <v>11469</v>
      </c>
      <c r="G3137" t="s">
        <v>13197</v>
      </c>
    </row>
    <row r="3138" spans="1:7" x14ac:dyDescent="0.3">
      <c r="A3138" s="42" t="s">
        <v>3259</v>
      </c>
      <c r="B3138" s="42" t="s">
        <v>3335</v>
      </c>
      <c r="C3138" s="42" t="s">
        <v>8876</v>
      </c>
      <c r="D3138" s="43" t="s">
        <v>136</v>
      </c>
      <c r="E3138" s="43" t="s">
        <v>92</v>
      </c>
      <c r="F3138" s="42" t="s">
        <v>11469</v>
      </c>
      <c r="G3138" t="s">
        <v>13197</v>
      </c>
    </row>
    <row r="3139" spans="1:7" x14ac:dyDescent="0.3">
      <c r="A3139" s="42" t="s">
        <v>3259</v>
      </c>
      <c r="B3139" s="42" t="s">
        <v>3336</v>
      </c>
      <c r="C3139" s="42" t="s">
        <v>8877</v>
      </c>
      <c r="D3139" s="43" t="s">
        <v>136</v>
      </c>
      <c r="E3139" s="43" t="s">
        <v>92</v>
      </c>
      <c r="F3139" s="42" t="s">
        <v>11469</v>
      </c>
      <c r="G3139" t="s">
        <v>13197</v>
      </c>
    </row>
    <row r="3140" spans="1:7" x14ac:dyDescent="0.3">
      <c r="A3140" s="42" t="s">
        <v>3259</v>
      </c>
      <c r="B3140" s="42" t="s">
        <v>3337</v>
      </c>
      <c r="C3140" s="42" t="s">
        <v>8878</v>
      </c>
      <c r="D3140" s="43" t="s">
        <v>136</v>
      </c>
      <c r="E3140" s="43" t="s">
        <v>92</v>
      </c>
      <c r="F3140" s="42" t="s">
        <v>11469</v>
      </c>
      <c r="G3140" t="s">
        <v>13197</v>
      </c>
    </row>
    <row r="3141" spans="1:7" x14ac:dyDescent="0.3">
      <c r="A3141" s="42" t="s">
        <v>3259</v>
      </c>
      <c r="B3141" s="42" t="s">
        <v>3338</v>
      </c>
      <c r="C3141" s="42" t="s">
        <v>8879</v>
      </c>
      <c r="D3141" s="43" t="s">
        <v>136</v>
      </c>
      <c r="E3141" s="43" t="s">
        <v>92</v>
      </c>
      <c r="F3141" s="42" t="s">
        <v>11469</v>
      </c>
      <c r="G3141" t="s">
        <v>13198</v>
      </c>
    </row>
    <row r="3142" spans="1:7" x14ac:dyDescent="0.3">
      <c r="A3142" s="42" t="s">
        <v>3259</v>
      </c>
      <c r="B3142" s="42" t="s">
        <v>3339</v>
      </c>
      <c r="C3142" s="42" t="s">
        <v>8880</v>
      </c>
      <c r="D3142" s="43" t="s">
        <v>136</v>
      </c>
      <c r="E3142" s="43" t="s">
        <v>92</v>
      </c>
      <c r="F3142" s="42" t="s">
        <v>11469</v>
      </c>
      <c r="G3142" t="s">
        <v>13197</v>
      </c>
    </row>
    <row r="3143" spans="1:7" x14ac:dyDescent="0.3">
      <c r="A3143" s="42" t="s">
        <v>3259</v>
      </c>
      <c r="B3143" s="42" t="s">
        <v>3340</v>
      </c>
      <c r="C3143" s="42" t="s">
        <v>8881</v>
      </c>
      <c r="D3143" s="43" t="s">
        <v>136</v>
      </c>
      <c r="E3143" s="43" t="s">
        <v>92</v>
      </c>
      <c r="F3143" s="42" t="s">
        <v>11469</v>
      </c>
      <c r="G3143" t="s">
        <v>13197</v>
      </c>
    </row>
    <row r="3144" spans="1:7" x14ac:dyDescent="0.3">
      <c r="A3144" s="42" t="s">
        <v>3259</v>
      </c>
      <c r="B3144" s="42" t="s">
        <v>3341</v>
      </c>
      <c r="C3144" s="42" t="s">
        <v>8882</v>
      </c>
      <c r="D3144" s="43" t="s">
        <v>136</v>
      </c>
      <c r="E3144" s="43" t="s">
        <v>92</v>
      </c>
      <c r="F3144" s="42" t="s">
        <v>192</v>
      </c>
      <c r="G3144" t="s">
        <v>13196</v>
      </c>
    </row>
    <row r="3145" spans="1:7" x14ac:dyDescent="0.3">
      <c r="A3145" s="42" t="s">
        <v>3259</v>
      </c>
      <c r="B3145" s="42" t="s">
        <v>3342</v>
      </c>
      <c r="C3145" s="42" t="s">
        <v>8883</v>
      </c>
      <c r="D3145" s="43" t="s">
        <v>136</v>
      </c>
      <c r="E3145" s="43" t="s">
        <v>92</v>
      </c>
      <c r="F3145" s="42" t="s">
        <v>11469</v>
      </c>
      <c r="G3145" t="s">
        <v>13197</v>
      </c>
    </row>
    <row r="3146" spans="1:7" x14ac:dyDescent="0.3">
      <c r="A3146" s="42" t="s">
        <v>3259</v>
      </c>
      <c r="B3146" s="42" t="s">
        <v>3343</v>
      </c>
      <c r="C3146" s="42" t="s">
        <v>8884</v>
      </c>
      <c r="D3146" s="43" t="s">
        <v>136</v>
      </c>
      <c r="E3146" s="43" t="s">
        <v>92</v>
      </c>
      <c r="F3146" s="42" t="s">
        <v>11469</v>
      </c>
      <c r="G3146" t="s">
        <v>13197</v>
      </c>
    </row>
    <row r="3147" spans="1:7" x14ac:dyDescent="0.3">
      <c r="A3147" s="42" t="s">
        <v>3259</v>
      </c>
      <c r="B3147" s="42" t="s">
        <v>3344</v>
      </c>
      <c r="C3147" s="42" t="s">
        <v>8885</v>
      </c>
      <c r="D3147" s="43" t="s">
        <v>136</v>
      </c>
      <c r="E3147" s="43" t="s">
        <v>92</v>
      </c>
      <c r="F3147" s="42" t="s">
        <v>11469</v>
      </c>
      <c r="G3147" t="s">
        <v>13197</v>
      </c>
    </row>
    <row r="3148" spans="1:7" x14ac:dyDescent="0.3">
      <c r="A3148" s="42" t="s">
        <v>3259</v>
      </c>
      <c r="B3148" s="42" t="s">
        <v>3345</v>
      </c>
      <c r="C3148" s="42" t="s">
        <v>8886</v>
      </c>
      <c r="D3148" s="43" t="s">
        <v>136</v>
      </c>
      <c r="E3148" s="43" t="s">
        <v>92</v>
      </c>
      <c r="F3148" s="42" t="s">
        <v>11469</v>
      </c>
      <c r="G3148" t="s">
        <v>13197</v>
      </c>
    </row>
    <row r="3149" spans="1:7" x14ac:dyDescent="0.3">
      <c r="A3149" s="42" t="s">
        <v>3259</v>
      </c>
      <c r="B3149" s="42" t="s">
        <v>3346</v>
      </c>
      <c r="C3149" s="42" t="s">
        <v>8887</v>
      </c>
      <c r="D3149" s="43" t="s">
        <v>136</v>
      </c>
      <c r="E3149" s="43" t="s">
        <v>92</v>
      </c>
      <c r="F3149" s="42" t="s">
        <v>192</v>
      </c>
      <c r="G3149" t="s">
        <v>13196</v>
      </c>
    </row>
    <row r="3150" spans="1:7" x14ac:dyDescent="0.3">
      <c r="A3150" s="42" t="s">
        <v>3259</v>
      </c>
      <c r="B3150" s="42" t="s">
        <v>3347</v>
      </c>
      <c r="C3150" s="42" t="s">
        <v>8888</v>
      </c>
      <c r="D3150" s="43" t="s">
        <v>136</v>
      </c>
      <c r="E3150" s="43" t="s">
        <v>92</v>
      </c>
      <c r="F3150" s="42" t="s">
        <v>11469</v>
      </c>
      <c r="G3150" t="s">
        <v>13197</v>
      </c>
    </row>
    <row r="3151" spans="1:7" x14ac:dyDescent="0.3">
      <c r="A3151" s="42" t="s">
        <v>3259</v>
      </c>
      <c r="B3151" s="42" t="s">
        <v>3348</v>
      </c>
      <c r="C3151" s="42" t="s">
        <v>8889</v>
      </c>
      <c r="D3151" s="43" t="s">
        <v>136</v>
      </c>
      <c r="E3151" s="43" t="s">
        <v>92</v>
      </c>
      <c r="F3151" s="42" t="s">
        <v>11469</v>
      </c>
      <c r="G3151" t="s">
        <v>13197</v>
      </c>
    </row>
    <row r="3152" spans="1:7" x14ac:dyDescent="0.3">
      <c r="A3152" s="42" t="s">
        <v>3259</v>
      </c>
      <c r="B3152" s="42" t="s">
        <v>3349</v>
      </c>
      <c r="C3152" s="42" t="s">
        <v>8890</v>
      </c>
      <c r="D3152" s="43" t="s">
        <v>136</v>
      </c>
      <c r="E3152" s="43" t="s">
        <v>92</v>
      </c>
      <c r="F3152" s="42" t="s">
        <v>11469</v>
      </c>
      <c r="G3152" t="s">
        <v>13197</v>
      </c>
    </row>
    <row r="3153" spans="1:7" x14ac:dyDescent="0.3">
      <c r="A3153" s="42" t="s">
        <v>3259</v>
      </c>
      <c r="B3153" s="42" t="s">
        <v>3350</v>
      </c>
      <c r="C3153" s="42" t="s">
        <v>8891</v>
      </c>
      <c r="D3153" s="43" t="s">
        <v>136</v>
      </c>
      <c r="E3153" s="43" t="s">
        <v>92</v>
      </c>
      <c r="F3153" s="42" t="s">
        <v>11469</v>
      </c>
      <c r="G3153" t="s">
        <v>13197</v>
      </c>
    </row>
    <row r="3154" spans="1:7" x14ac:dyDescent="0.3">
      <c r="A3154" s="42" t="s">
        <v>3259</v>
      </c>
      <c r="B3154" s="42" t="s">
        <v>3351</v>
      </c>
      <c r="C3154" s="42" t="s">
        <v>8892</v>
      </c>
      <c r="D3154" s="43" t="s">
        <v>136</v>
      </c>
      <c r="E3154" s="43" t="s">
        <v>92</v>
      </c>
      <c r="F3154" s="42" t="s">
        <v>11469</v>
      </c>
      <c r="G3154" t="s">
        <v>13197</v>
      </c>
    </row>
    <row r="3155" spans="1:7" x14ac:dyDescent="0.3">
      <c r="A3155" s="42" t="s">
        <v>3259</v>
      </c>
      <c r="B3155" s="42" t="s">
        <v>3352</v>
      </c>
      <c r="C3155" s="42" t="s">
        <v>8893</v>
      </c>
      <c r="D3155" s="43" t="s">
        <v>136</v>
      </c>
      <c r="E3155" s="43" t="s">
        <v>92</v>
      </c>
      <c r="F3155" s="42" t="s">
        <v>11469</v>
      </c>
      <c r="G3155" t="s">
        <v>13197</v>
      </c>
    </row>
    <row r="3156" spans="1:7" x14ac:dyDescent="0.3">
      <c r="A3156" s="42" t="s">
        <v>3259</v>
      </c>
      <c r="B3156" s="42" t="s">
        <v>3353</v>
      </c>
      <c r="C3156" s="42" t="s">
        <v>8894</v>
      </c>
      <c r="D3156" s="43" t="s">
        <v>136</v>
      </c>
      <c r="E3156" s="43" t="s">
        <v>92</v>
      </c>
      <c r="F3156" s="42" t="s">
        <v>11469</v>
      </c>
      <c r="G3156" t="s">
        <v>13197</v>
      </c>
    </row>
    <row r="3157" spans="1:7" x14ac:dyDescent="0.3">
      <c r="A3157" s="42" t="s">
        <v>3259</v>
      </c>
      <c r="B3157" s="42" t="s">
        <v>3354</v>
      </c>
      <c r="C3157" s="42" t="s">
        <v>8895</v>
      </c>
      <c r="D3157" s="43" t="s">
        <v>136</v>
      </c>
      <c r="E3157" s="43" t="s">
        <v>92</v>
      </c>
      <c r="F3157" s="42" t="s">
        <v>11469</v>
      </c>
      <c r="G3157" t="s">
        <v>13197</v>
      </c>
    </row>
    <row r="3158" spans="1:7" x14ac:dyDescent="0.3">
      <c r="A3158" s="42" t="s">
        <v>3259</v>
      </c>
      <c r="B3158" s="42" t="s">
        <v>3355</v>
      </c>
      <c r="C3158" s="42" t="s">
        <v>8896</v>
      </c>
      <c r="D3158" s="43" t="s">
        <v>136</v>
      </c>
      <c r="E3158" s="43" t="s">
        <v>92</v>
      </c>
      <c r="F3158" s="42" t="s">
        <v>11469</v>
      </c>
      <c r="G3158" t="s">
        <v>13197</v>
      </c>
    </row>
    <row r="3159" spans="1:7" x14ac:dyDescent="0.3">
      <c r="A3159" s="42" t="s">
        <v>3259</v>
      </c>
      <c r="B3159" s="42" t="s">
        <v>3356</v>
      </c>
      <c r="C3159" s="42" t="s">
        <v>8897</v>
      </c>
      <c r="D3159" s="43" t="s">
        <v>136</v>
      </c>
      <c r="E3159" s="43" t="s">
        <v>92</v>
      </c>
      <c r="F3159" s="42" t="s">
        <v>11469</v>
      </c>
      <c r="G3159" t="s">
        <v>13197</v>
      </c>
    </row>
    <row r="3160" spans="1:7" x14ac:dyDescent="0.3">
      <c r="A3160" s="42" t="s">
        <v>3259</v>
      </c>
      <c r="B3160" s="42" t="s">
        <v>3357</v>
      </c>
      <c r="C3160" s="42" t="s">
        <v>8898</v>
      </c>
      <c r="D3160" s="43" t="s">
        <v>136</v>
      </c>
      <c r="E3160" s="43" t="s">
        <v>92</v>
      </c>
      <c r="F3160" s="42" t="s">
        <v>11469</v>
      </c>
      <c r="G3160" t="s">
        <v>13197</v>
      </c>
    </row>
    <row r="3161" spans="1:7" x14ac:dyDescent="0.3">
      <c r="A3161" s="42" t="s">
        <v>3259</v>
      </c>
      <c r="B3161" s="42" t="s">
        <v>3358</v>
      </c>
      <c r="C3161" s="42" t="s">
        <v>8899</v>
      </c>
      <c r="D3161" s="43" t="s">
        <v>136</v>
      </c>
      <c r="E3161" s="43" t="s">
        <v>92</v>
      </c>
      <c r="F3161" s="42" t="s">
        <v>11469</v>
      </c>
      <c r="G3161" t="s">
        <v>13197</v>
      </c>
    </row>
    <row r="3162" spans="1:7" x14ac:dyDescent="0.3">
      <c r="A3162" s="42" t="s">
        <v>3259</v>
      </c>
      <c r="B3162" s="42" t="s">
        <v>3359</v>
      </c>
      <c r="C3162" s="42" t="s">
        <v>8900</v>
      </c>
      <c r="D3162" s="43" t="s">
        <v>136</v>
      </c>
      <c r="E3162" s="43" t="s">
        <v>92</v>
      </c>
      <c r="F3162" s="42" t="s">
        <v>11469</v>
      </c>
      <c r="G3162" t="s">
        <v>13197</v>
      </c>
    </row>
    <row r="3163" spans="1:7" x14ac:dyDescent="0.3">
      <c r="A3163" s="42" t="s">
        <v>3259</v>
      </c>
      <c r="B3163" s="42" t="s">
        <v>3360</v>
      </c>
      <c r="C3163" s="42" t="s">
        <v>8901</v>
      </c>
      <c r="D3163" s="43" t="s">
        <v>136</v>
      </c>
      <c r="E3163" s="43" t="s">
        <v>92</v>
      </c>
      <c r="F3163" s="42" t="s">
        <v>11469</v>
      </c>
      <c r="G3163" t="s">
        <v>13197</v>
      </c>
    </row>
    <row r="3164" spans="1:7" x14ac:dyDescent="0.3">
      <c r="A3164" s="42" t="s">
        <v>3259</v>
      </c>
      <c r="B3164" s="42" t="s">
        <v>3361</v>
      </c>
      <c r="C3164" s="42" t="s">
        <v>8902</v>
      </c>
      <c r="D3164" s="43" t="s">
        <v>136</v>
      </c>
      <c r="E3164" s="43" t="s">
        <v>92</v>
      </c>
      <c r="F3164" s="42" t="s">
        <v>11469</v>
      </c>
      <c r="G3164" t="s">
        <v>13197</v>
      </c>
    </row>
    <row r="3165" spans="1:7" x14ac:dyDescent="0.3">
      <c r="A3165" s="42" t="s">
        <v>3259</v>
      </c>
      <c r="B3165" s="42" t="s">
        <v>3362</v>
      </c>
      <c r="C3165" s="42" t="s">
        <v>8903</v>
      </c>
      <c r="D3165" s="43" t="s">
        <v>136</v>
      </c>
      <c r="E3165" s="43" t="s">
        <v>92</v>
      </c>
      <c r="F3165" s="42" t="s">
        <v>11469</v>
      </c>
      <c r="G3165" t="s">
        <v>13197</v>
      </c>
    </row>
    <row r="3166" spans="1:7" x14ac:dyDescent="0.3">
      <c r="A3166" s="42" t="s">
        <v>3259</v>
      </c>
      <c r="B3166" s="42" t="s">
        <v>3363</v>
      </c>
      <c r="C3166" s="42" t="s">
        <v>8904</v>
      </c>
      <c r="D3166" s="43" t="s">
        <v>136</v>
      </c>
      <c r="E3166" s="43" t="s">
        <v>92</v>
      </c>
      <c r="F3166" s="42" t="s">
        <v>11469</v>
      </c>
      <c r="G3166" t="s">
        <v>13197</v>
      </c>
    </row>
    <row r="3167" spans="1:7" x14ac:dyDescent="0.3">
      <c r="A3167" s="42" t="s">
        <v>3259</v>
      </c>
      <c r="B3167" s="42" t="s">
        <v>3364</v>
      </c>
      <c r="C3167" s="42" t="s">
        <v>8905</v>
      </c>
      <c r="D3167" s="43" t="s">
        <v>136</v>
      </c>
      <c r="E3167" s="43" t="s">
        <v>92</v>
      </c>
      <c r="F3167" s="42" t="s">
        <v>192</v>
      </c>
      <c r="G3167" t="s">
        <v>13196</v>
      </c>
    </row>
    <row r="3168" spans="1:7" x14ac:dyDescent="0.3">
      <c r="A3168" s="42" t="s">
        <v>3259</v>
      </c>
      <c r="B3168" s="42" t="s">
        <v>3365</v>
      </c>
      <c r="C3168" s="42" t="s">
        <v>8906</v>
      </c>
      <c r="D3168" s="43" t="s">
        <v>136</v>
      </c>
      <c r="E3168" s="43" t="s">
        <v>92</v>
      </c>
      <c r="F3168" s="42" t="s">
        <v>11469</v>
      </c>
      <c r="G3168" t="s">
        <v>13197</v>
      </c>
    </row>
    <row r="3169" spans="1:7" x14ac:dyDescent="0.3">
      <c r="A3169" s="42" t="s">
        <v>3259</v>
      </c>
      <c r="B3169" s="42" t="s">
        <v>3366</v>
      </c>
      <c r="C3169" s="42" t="s">
        <v>8907</v>
      </c>
      <c r="D3169" s="43" t="s">
        <v>136</v>
      </c>
      <c r="E3169" s="43" t="s">
        <v>92</v>
      </c>
      <c r="F3169" s="42" t="s">
        <v>11469</v>
      </c>
      <c r="G3169" t="s">
        <v>13197</v>
      </c>
    </row>
    <row r="3170" spans="1:7" x14ac:dyDescent="0.3">
      <c r="A3170" s="42" t="s">
        <v>3259</v>
      </c>
      <c r="B3170" s="42" t="s">
        <v>3367</v>
      </c>
      <c r="C3170" s="42" t="s">
        <v>8908</v>
      </c>
      <c r="D3170" s="43" t="s">
        <v>136</v>
      </c>
      <c r="E3170" s="43" t="s">
        <v>92</v>
      </c>
      <c r="F3170" s="42" t="s">
        <v>11469</v>
      </c>
      <c r="G3170" t="s">
        <v>13197</v>
      </c>
    </row>
    <row r="3171" spans="1:7" x14ac:dyDescent="0.3">
      <c r="A3171" s="42" t="s">
        <v>3259</v>
      </c>
      <c r="B3171" s="42" t="s">
        <v>3368</v>
      </c>
      <c r="C3171" s="42" t="s">
        <v>8909</v>
      </c>
      <c r="D3171" s="43" t="s">
        <v>136</v>
      </c>
      <c r="E3171" s="43" t="s">
        <v>92</v>
      </c>
      <c r="F3171" s="42" t="s">
        <v>11469</v>
      </c>
      <c r="G3171" t="s">
        <v>13197</v>
      </c>
    </row>
    <row r="3172" spans="1:7" x14ac:dyDescent="0.3">
      <c r="A3172" s="42" t="s">
        <v>3259</v>
      </c>
      <c r="B3172" s="42" t="s">
        <v>3369</v>
      </c>
      <c r="C3172" s="42" t="s">
        <v>8910</v>
      </c>
      <c r="D3172" s="43" t="s">
        <v>136</v>
      </c>
      <c r="E3172" s="43" t="s">
        <v>92</v>
      </c>
      <c r="F3172" s="42" t="s">
        <v>192</v>
      </c>
      <c r="G3172" t="s">
        <v>13196</v>
      </c>
    </row>
    <row r="3173" spans="1:7" x14ac:dyDescent="0.3">
      <c r="A3173" s="42" t="s">
        <v>3259</v>
      </c>
      <c r="B3173" s="42" t="s">
        <v>3370</v>
      </c>
      <c r="C3173" s="42" t="s">
        <v>8911</v>
      </c>
      <c r="D3173" s="43" t="s">
        <v>136</v>
      </c>
      <c r="E3173" s="43" t="s">
        <v>92</v>
      </c>
      <c r="F3173" s="42" t="s">
        <v>11469</v>
      </c>
      <c r="G3173" t="s">
        <v>13197</v>
      </c>
    </row>
    <row r="3174" spans="1:7" x14ac:dyDescent="0.3">
      <c r="A3174" s="42" t="s">
        <v>3259</v>
      </c>
      <c r="B3174" s="42" t="s">
        <v>3371</v>
      </c>
      <c r="C3174" s="42" t="s">
        <v>8912</v>
      </c>
      <c r="D3174" s="43" t="s">
        <v>136</v>
      </c>
      <c r="E3174" s="43" t="s">
        <v>92</v>
      </c>
      <c r="F3174" s="42" t="s">
        <v>11469</v>
      </c>
      <c r="G3174" t="s">
        <v>13197</v>
      </c>
    </row>
    <row r="3175" spans="1:7" x14ac:dyDescent="0.3">
      <c r="A3175" s="42" t="s">
        <v>3259</v>
      </c>
      <c r="B3175" s="42" t="s">
        <v>3372</v>
      </c>
      <c r="C3175" s="42" t="s">
        <v>8913</v>
      </c>
      <c r="D3175" s="43" t="s">
        <v>136</v>
      </c>
      <c r="E3175" s="43" t="s">
        <v>92</v>
      </c>
      <c r="F3175" s="42" t="s">
        <v>11469</v>
      </c>
      <c r="G3175" t="s">
        <v>13197</v>
      </c>
    </row>
    <row r="3176" spans="1:7" x14ac:dyDescent="0.3">
      <c r="A3176" s="42" t="s">
        <v>3259</v>
      </c>
      <c r="B3176" s="42" t="s">
        <v>3373</v>
      </c>
      <c r="C3176" s="42" t="s">
        <v>8914</v>
      </c>
      <c r="D3176" s="43" t="s">
        <v>136</v>
      </c>
      <c r="E3176" s="43" t="s">
        <v>92</v>
      </c>
      <c r="F3176" s="42" t="s">
        <v>11469</v>
      </c>
      <c r="G3176" t="s">
        <v>13197</v>
      </c>
    </row>
    <row r="3177" spans="1:7" x14ac:dyDescent="0.3">
      <c r="A3177" s="42" t="s">
        <v>3259</v>
      </c>
      <c r="B3177" s="42" t="s">
        <v>3374</v>
      </c>
      <c r="C3177" s="42" t="s">
        <v>8915</v>
      </c>
      <c r="D3177" s="43" t="s">
        <v>136</v>
      </c>
      <c r="E3177" s="43" t="s">
        <v>92</v>
      </c>
      <c r="F3177" s="42" t="s">
        <v>11469</v>
      </c>
      <c r="G3177" t="s">
        <v>13197</v>
      </c>
    </row>
    <row r="3178" spans="1:7" x14ac:dyDescent="0.3">
      <c r="A3178" s="42" t="s">
        <v>3259</v>
      </c>
      <c r="B3178" s="42" t="s">
        <v>3375</v>
      </c>
      <c r="C3178" s="42" t="s">
        <v>8916</v>
      </c>
      <c r="D3178" s="43" t="s">
        <v>136</v>
      </c>
      <c r="E3178" s="43" t="s">
        <v>92</v>
      </c>
      <c r="F3178" s="42" t="s">
        <v>11469</v>
      </c>
      <c r="G3178" t="s">
        <v>13197</v>
      </c>
    </row>
    <row r="3179" spans="1:7" x14ac:dyDescent="0.3">
      <c r="A3179" s="42" t="s">
        <v>3259</v>
      </c>
      <c r="B3179" s="42" t="s">
        <v>3376</v>
      </c>
      <c r="C3179" s="42" t="s">
        <v>8917</v>
      </c>
      <c r="D3179" s="43" t="s">
        <v>136</v>
      </c>
      <c r="E3179" s="43" t="s">
        <v>92</v>
      </c>
      <c r="F3179" s="42" t="s">
        <v>11469</v>
      </c>
      <c r="G3179" t="s">
        <v>13197</v>
      </c>
    </row>
    <row r="3180" spans="1:7" x14ac:dyDescent="0.3">
      <c r="A3180" s="42" t="s">
        <v>3259</v>
      </c>
      <c r="B3180" s="42" t="s">
        <v>3377</v>
      </c>
      <c r="C3180" s="42" t="s">
        <v>8918</v>
      </c>
      <c r="D3180" s="43" t="s">
        <v>136</v>
      </c>
      <c r="E3180" s="43" t="s">
        <v>92</v>
      </c>
      <c r="F3180" s="42" t="s">
        <v>11469</v>
      </c>
      <c r="G3180" t="s">
        <v>13197</v>
      </c>
    </row>
    <row r="3181" spans="1:7" x14ac:dyDescent="0.3">
      <c r="A3181" s="42" t="s">
        <v>3259</v>
      </c>
      <c r="B3181" s="42" t="s">
        <v>3378</v>
      </c>
      <c r="C3181" s="42" t="s">
        <v>8919</v>
      </c>
      <c r="D3181" s="43" t="s">
        <v>136</v>
      </c>
      <c r="E3181" s="43" t="s">
        <v>92</v>
      </c>
      <c r="F3181" s="42" t="s">
        <v>11469</v>
      </c>
      <c r="G3181" t="s">
        <v>13197</v>
      </c>
    </row>
    <row r="3182" spans="1:7" x14ac:dyDescent="0.3">
      <c r="A3182" s="42" t="s">
        <v>3259</v>
      </c>
      <c r="B3182" s="42" t="s">
        <v>3379</v>
      </c>
      <c r="C3182" s="42" t="s">
        <v>8920</v>
      </c>
      <c r="D3182" s="43" t="s">
        <v>136</v>
      </c>
      <c r="E3182" s="43" t="s">
        <v>92</v>
      </c>
      <c r="F3182" s="42" t="s">
        <v>11469</v>
      </c>
      <c r="G3182" t="s">
        <v>13197</v>
      </c>
    </row>
    <row r="3183" spans="1:7" x14ac:dyDescent="0.3">
      <c r="A3183" s="42" t="s">
        <v>3259</v>
      </c>
      <c r="B3183" s="42" t="s">
        <v>3380</v>
      </c>
      <c r="C3183" s="42" t="s">
        <v>8921</v>
      </c>
      <c r="D3183" s="43" t="s">
        <v>136</v>
      </c>
      <c r="E3183" s="43" t="s">
        <v>92</v>
      </c>
      <c r="F3183" s="42" t="s">
        <v>11469</v>
      </c>
      <c r="G3183" t="s">
        <v>13197</v>
      </c>
    </row>
    <row r="3184" spans="1:7" x14ac:dyDescent="0.3">
      <c r="A3184" s="42" t="s">
        <v>3259</v>
      </c>
      <c r="B3184" s="42" t="s">
        <v>3381</v>
      </c>
      <c r="C3184" s="42" t="s">
        <v>8922</v>
      </c>
      <c r="D3184" s="43" t="s">
        <v>136</v>
      </c>
      <c r="E3184" s="43" t="s">
        <v>92</v>
      </c>
      <c r="F3184" s="42" t="s">
        <v>11469</v>
      </c>
      <c r="G3184" t="s">
        <v>13198</v>
      </c>
    </row>
    <row r="3185" spans="1:7" x14ac:dyDescent="0.3">
      <c r="A3185" s="42" t="s">
        <v>3259</v>
      </c>
      <c r="B3185" s="42" t="s">
        <v>3382</v>
      </c>
      <c r="C3185" s="42" t="s">
        <v>8923</v>
      </c>
      <c r="D3185" s="43" t="s">
        <v>136</v>
      </c>
      <c r="E3185" s="43" t="s">
        <v>92</v>
      </c>
      <c r="F3185" s="42" t="s">
        <v>11469</v>
      </c>
      <c r="G3185" t="s">
        <v>13197</v>
      </c>
    </row>
    <row r="3186" spans="1:7" x14ac:dyDescent="0.3">
      <c r="A3186" s="42" t="s">
        <v>3259</v>
      </c>
      <c r="B3186" s="42" t="s">
        <v>3383</v>
      </c>
      <c r="C3186" s="42" t="s">
        <v>8924</v>
      </c>
      <c r="D3186" s="43" t="s">
        <v>136</v>
      </c>
      <c r="E3186" s="43" t="s">
        <v>92</v>
      </c>
      <c r="F3186" s="42" t="s">
        <v>11469</v>
      </c>
      <c r="G3186" t="s">
        <v>13197</v>
      </c>
    </row>
    <row r="3187" spans="1:7" x14ac:dyDescent="0.3">
      <c r="A3187" s="42" t="s">
        <v>3259</v>
      </c>
      <c r="B3187" s="42" t="s">
        <v>3384</v>
      </c>
      <c r="C3187" s="42" t="s">
        <v>8925</v>
      </c>
      <c r="D3187" s="43" t="s">
        <v>136</v>
      </c>
      <c r="E3187" s="43" t="s">
        <v>92</v>
      </c>
      <c r="F3187" s="42" t="s">
        <v>11469</v>
      </c>
      <c r="G3187" t="s">
        <v>13197</v>
      </c>
    </row>
    <row r="3188" spans="1:7" x14ac:dyDescent="0.3">
      <c r="A3188" s="42" t="s">
        <v>3259</v>
      </c>
      <c r="B3188" s="42" t="s">
        <v>3385</v>
      </c>
      <c r="C3188" s="42" t="s">
        <v>8926</v>
      </c>
      <c r="D3188" s="43" t="s">
        <v>136</v>
      </c>
      <c r="E3188" s="43" t="s">
        <v>92</v>
      </c>
      <c r="F3188" s="42" t="s">
        <v>11469</v>
      </c>
      <c r="G3188" t="s">
        <v>13197</v>
      </c>
    </row>
    <row r="3189" spans="1:7" x14ac:dyDescent="0.3">
      <c r="A3189" s="42" t="s">
        <v>3259</v>
      </c>
      <c r="B3189" s="42" t="s">
        <v>3386</v>
      </c>
      <c r="C3189" s="42" t="s">
        <v>8927</v>
      </c>
      <c r="D3189" s="43" t="s">
        <v>136</v>
      </c>
      <c r="E3189" s="43" t="s">
        <v>92</v>
      </c>
      <c r="F3189" s="42" t="s">
        <v>11469</v>
      </c>
      <c r="G3189" t="s">
        <v>13197</v>
      </c>
    </row>
    <row r="3190" spans="1:7" x14ac:dyDescent="0.3">
      <c r="A3190" s="42" t="s">
        <v>3259</v>
      </c>
      <c r="B3190" s="42" t="s">
        <v>3387</v>
      </c>
      <c r="C3190" s="42" t="s">
        <v>8928</v>
      </c>
      <c r="D3190" s="43" t="s">
        <v>136</v>
      </c>
      <c r="E3190" s="43" t="s">
        <v>92</v>
      </c>
      <c r="F3190" s="42" t="s">
        <v>11469</v>
      </c>
      <c r="G3190" t="s">
        <v>13197</v>
      </c>
    </row>
    <row r="3191" spans="1:7" x14ac:dyDescent="0.3">
      <c r="A3191" s="42" t="s">
        <v>3259</v>
      </c>
      <c r="B3191" s="42" t="s">
        <v>3388</v>
      </c>
      <c r="C3191" s="42" t="s">
        <v>8929</v>
      </c>
      <c r="D3191" s="43" t="s">
        <v>136</v>
      </c>
      <c r="E3191" s="43" t="s">
        <v>92</v>
      </c>
      <c r="F3191" s="42" t="s">
        <v>11469</v>
      </c>
      <c r="G3191" t="s">
        <v>13197</v>
      </c>
    </row>
    <row r="3192" spans="1:7" x14ac:dyDescent="0.3">
      <c r="A3192" s="42" t="s">
        <v>3259</v>
      </c>
      <c r="B3192" s="42" t="s">
        <v>3389</v>
      </c>
      <c r="C3192" s="42" t="s">
        <v>8930</v>
      </c>
      <c r="D3192" s="43" t="s">
        <v>136</v>
      </c>
      <c r="E3192" s="43" t="s">
        <v>92</v>
      </c>
      <c r="F3192" s="42" t="s">
        <v>11469</v>
      </c>
      <c r="G3192" t="s">
        <v>13197</v>
      </c>
    </row>
    <row r="3193" spans="1:7" x14ac:dyDescent="0.3">
      <c r="A3193" s="42" t="s">
        <v>3259</v>
      </c>
      <c r="B3193" s="42" t="s">
        <v>3390</v>
      </c>
      <c r="C3193" s="42" t="s">
        <v>8931</v>
      </c>
      <c r="D3193" s="43" t="s">
        <v>136</v>
      </c>
      <c r="E3193" s="43" t="s">
        <v>92</v>
      </c>
      <c r="F3193" s="42" t="s">
        <v>11469</v>
      </c>
      <c r="G3193" t="s">
        <v>13197</v>
      </c>
    </row>
    <row r="3194" spans="1:7" x14ac:dyDescent="0.3">
      <c r="A3194" s="42" t="s">
        <v>3259</v>
      </c>
      <c r="B3194" s="42" t="s">
        <v>3391</v>
      </c>
      <c r="C3194" s="42" t="s">
        <v>8932</v>
      </c>
      <c r="D3194" s="43" t="s">
        <v>136</v>
      </c>
      <c r="E3194" s="43" t="s">
        <v>92</v>
      </c>
      <c r="F3194" s="42" t="s">
        <v>11469</v>
      </c>
      <c r="G3194" t="s">
        <v>13197</v>
      </c>
    </row>
    <row r="3195" spans="1:7" x14ac:dyDescent="0.3">
      <c r="A3195" s="42" t="s">
        <v>3259</v>
      </c>
      <c r="B3195" s="42" t="s">
        <v>3392</v>
      </c>
      <c r="C3195" s="42" t="s">
        <v>8933</v>
      </c>
      <c r="D3195" s="43" t="s">
        <v>136</v>
      </c>
      <c r="E3195" s="43" t="s">
        <v>92</v>
      </c>
      <c r="F3195" s="42" t="s">
        <v>11469</v>
      </c>
      <c r="G3195" t="s">
        <v>13197</v>
      </c>
    </row>
    <row r="3196" spans="1:7" x14ac:dyDescent="0.3">
      <c r="A3196" s="42" t="s">
        <v>3259</v>
      </c>
      <c r="B3196" s="42" t="s">
        <v>3393</v>
      </c>
      <c r="C3196" s="42" t="s">
        <v>8934</v>
      </c>
      <c r="D3196" s="43" t="s">
        <v>136</v>
      </c>
      <c r="E3196" s="43" t="s">
        <v>92</v>
      </c>
      <c r="F3196" s="42" t="s">
        <v>11469</v>
      </c>
      <c r="G3196" t="s">
        <v>13197</v>
      </c>
    </row>
    <row r="3197" spans="1:7" x14ac:dyDescent="0.3">
      <c r="A3197" s="42" t="s">
        <v>3259</v>
      </c>
      <c r="B3197" s="42" t="s">
        <v>3394</v>
      </c>
      <c r="C3197" s="42" t="s">
        <v>8935</v>
      </c>
      <c r="D3197" s="43" t="s">
        <v>136</v>
      </c>
      <c r="E3197" s="43" t="s">
        <v>92</v>
      </c>
      <c r="F3197" s="42" t="s">
        <v>11469</v>
      </c>
      <c r="G3197" t="s">
        <v>13197</v>
      </c>
    </row>
    <row r="3198" spans="1:7" x14ac:dyDescent="0.3">
      <c r="A3198" s="42" t="s">
        <v>3259</v>
      </c>
      <c r="B3198" s="42" t="s">
        <v>3395</v>
      </c>
      <c r="C3198" s="42" t="s">
        <v>8936</v>
      </c>
      <c r="D3198" s="43" t="s">
        <v>136</v>
      </c>
      <c r="E3198" s="43" t="s">
        <v>92</v>
      </c>
      <c r="F3198" s="42" t="s">
        <v>11469</v>
      </c>
      <c r="G3198" t="s">
        <v>13197</v>
      </c>
    </row>
    <row r="3199" spans="1:7" x14ac:dyDescent="0.3">
      <c r="A3199" s="42" t="s">
        <v>3259</v>
      </c>
      <c r="B3199" s="42" t="s">
        <v>3396</v>
      </c>
      <c r="C3199" s="42" t="s">
        <v>8937</v>
      </c>
      <c r="D3199" s="43" t="s">
        <v>136</v>
      </c>
      <c r="E3199" s="43" t="s">
        <v>92</v>
      </c>
      <c r="F3199" s="42" t="s">
        <v>11469</v>
      </c>
      <c r="G3199" t="s">
        <v>13197</v>
      </c>
    </row>
    <row r="3200" spans="1:7" x14ac:dyDescent="0.3">
      <c r="A3200" s="42" t="s">
        <v>3259</v>
      </c>
      <c r="B3200" s="42" t="s">
        <v>3397</v>
      </c>
      <c r="C3200" s="42" t="s">
        <v>8938</v>
      </c>
      <c r="D3200" s="43" t="s">
        <v>136</v>
      </c>
      <c r="E3200" s="43" t="s">
        <v>92</v>
      </c>
      <c r="F3200" s="42" t="s">
        <v>11469</v>
      </c>
      <c r="G3200" t="s">
        <v>13197</v>
      </c>
    </row>
    <row r="3201" spans="1:7" x14ac:dyDescent="0.3">
      <c r="A3201" s="42" t="s">
        <v>3259</v>
      </c>
      <c r="B3201" s="42" t="s">
        <v>3398</v>
      </c>
      <c r="C3201" s="42" t="s">
        <v>8939</v>
      </c>
      <c r="D3201" s="43" t="s">
        <v>136</v>
      </c>
      <c r="E3201" s="43" t="s">
        <v>92</v>
      </c>
      <c r="F3201" s="42" t="s">
        <v>11469</v>
      </c>
      <c r="G3201" t="s">
        <v>13197</v>
      </c>
    </row>
    <row r="3202" spans="1:7" x14ac:dyDescent="0.3">
      <c r="A3202" s="42" t="s">
        <v>3259</v>
      </c>
      <c r="B3202" s="42" t="s">
        <v>3399</v>
      </c>
      <c r="C3202" s="42" t="s">
        <v>8940</v>
      </c>
      <c r="D3202" s="43" t="s">
        <v>136</v>
      </c>
      <c r="E3202" s="43" t="s">
        <v>92</v>
      </c>
      <c r="F3202" s="42" t="s">
        <v>11469</v>
      </c>
      <c r="G3202" t="s">
        <v>13197</v>
      </c>
    </row>
    <row r="3203" spans="1:7" x14ac:dyDescent="0.3">
      <c r="A3203" s="42" t="s">
        <v>3259</v>
      </c>
      <c r="B3203" s="42" t="s">
        <v>3400</v>
      </c>
      <c r="C3203" s="42" t="s">
        <v>8941</v>
      </c>
      <c r="D3203" s="43" t="s">
        <v>136</v>
      </c>
      <c r="E3203" s="43" t="s">
        <v>92</v>
      </c>
      <c r="F3203" s="42" t="s">
        <v>11469</v>
      </c>
      <c r="G3203" t="s">
        <v>13197</v>
      </c>
    </row>
    <row r="3204" spans="1:7" x14ac:dyDescent="0.3">
      <c r="A3204" s="42" t="s">
        <v>3259</v>
      </c>
      <c r="B3204" s="42" t="s">
        <v>3401</v>
      </c>
      <c r="C3204" s="42" t="s">
        <v>8942</v>
      </c>
      <c r="D3204" s="43" t="s">
        <v>136</v>
      </c>
      <c r="E3204" s="43" t="s">
        <v>92</v>
      </c>
      <c r="F3204" s="42" t="s">
        <v>11469</v>
      </c>
      <c r="G3204" t="s">
        <v>13197</v>
      </c>
    </row>
    <row r="3205" spans="1:7" x14ac:dyDescent="0.3">
      <c r="A3205" s="42" t="s">
        <v>3259</v>
      </c>
      <c r="B3205" s="42" t="s">
        <v>3402</v>
      </c>
      <c r="C3205" s="42" t="s">
        <v>8943</v>
      </c>
      <c r="D3205" s="43" t="s">
        <v>136</v>
      </c>
      <c r="E3205" s="43" t="s">
        <v>92</v>
      </c>
      <c r="F3205" s="42" t="s">
        <v>11469</v>
      </c>
      <c r="G3205" t="s">
        <v>13197</v>
      </c>
    </row>
    <row r="3206" spans="1:7" x14ac:dyDescent="0.3">
      <c r="A3206" s="42" t="s">
        <v>3259</v>
      </c>
      <c r="B3206" s="42" t="s">
        <v>3403</v>
      </c>
      <c r="C3206" s="42" t="s">
        <v>8944</v>
      </c>
      <c r="D3206" s="43" t="s">
        <v>136</v>
      </c>
      <c r="E3206" s="43" t="s">
        <v>92</v>
      </c>
      <c r="F3206" s="42" t="s">
        <v>11469</v>
      </c>
      <c r="G3206" t="s">
        <v>13197</v>
      </c>
    </row>
    <row r="3207" spans="1:7" x14ac:dyDescent="0.3">
      <c r="A3207" s="42" t="s">
        <v>3259</v>
      </c>
      <c r="B3207" s="42" t="s">
        <v>3404</v>
      </c>
      <c r="C3207" s="42" t="s">
        <v>8945</v>
      </c>
      <c r="D3207" s="43" t="s">
        <v>136</v>
      </c>
      <c r="E3207" s="43" t="s">
        <v>92</v>
      </c>
      <c r="F3207" s="42" t="s">
        <v>11469</v>
      </c>
      <c r="G3207" t="s">
        <v>13197</v>
      </c>
    </row>
    <row r="3208" spans="1:7" x14ac:dyDescent="0.3">
      <c r="A3208" s="42" t="s">
        <v>3259</v>
      </c>
      <c r="B3208" s="42" t="s">
        <v>3405</v>
      </c>
      <c r="C3208" s="42" t="s">
        <v>8946</v>
      </c>
      <c r="D3208" s="43" t="s">
        <v>136</v>
      </c>
      <c r="E3208" s="43" t="s">
        <v>92</v>
      </c>
      <c r="F3208" s="42" t="s">
        <v>11469</v>
      </c>
      <c r="G3208" t="s">
        <v>13197</v>
      </c>
    </row>
    <row r="3209" spans="1:7" x14ac:dyDescent="0.3">
      <c r="A3209" s="42" t="s">
        <v>3259</v>
      </c>
      <c r="B3209" s="42" t="s">
        <v>3406</v>
      </c>
      <c r="C3209" s="42" t="s">
        <v>8947</v>
      </c>
      <c r="D3209" s="43" t="s">
        <v>136</v>
      </c>
      <c r="E3209" s="43" t="s">
        <v>92</v>
      </c>
      <c r="F3209" s="42" t="s">
        <v>11469</v>
      </c>
      <c r="G3209" t="s">
        <v>13197</v>
      </c>
    </row>
    <row r="3210" spans="1:7" x14ac:dyDescent="0.3">
      <c r="A3210" s="42" t="s">
        <v>3259</v>
      </c>
      <c r="B3210" s="42" t="s">
        <v>3407</v>
      </c>
      <c r="C3210" s="42" t="s">
        <v>8948</v>
      </c>
      <c r="D3210" s="43" t="s">
        <v>136</v>
      </c>
      <c r="E3210" s="43" t="s">
        <v>92</v>
      </c>
      <c r="F3210" s="42" t="s">
        <v>11469</v>
      </c>
      <c r="G3210" t="s">
        <v>13197</v>
      </c>
    </row>
    <row r="3211" spans="1:7" x14ac:dyDescent="0.3">
      <c r="A3211" s="42" t="s">
        <v>3259</v>
      </c>
      <c r="B3211" s="42" t="s">
        <v>3408</v>
      </c>
      <c r="C3211" s="42" t="s">
        <v>8949</v>
      </c>
      <c r="D3211" s="43" t="s">
        <v>136</v>
      </c>
      <c r="E3211" s="43" t="s">
        <v>92</v>
      </c>
      <c r="F3211" s="42" t="s">
        <v>11469</v>
      </c>
      <c r="G3211" t="s">
        <v>13197</v>
      </c>
    </row>
    <row r="3212" spans="1:7" x14ac:dyDescent="0.3">
      <c r="A3212" s="42" t="s">
        <v>3259</v>
      </c>
      <c r="B3212" s="42" t="s">
        <v>3409</v>
      </c>
      <c r="C3212" s="42" t="s">
        <v>8950</v>
      </c>
      <c r="D3212" s="43" t="s">
        <v>136</v>
      </c>
      <c r="E3212" s="43" t="s">
        <v>92</v>
      </c>
      <c r="F3212" s="42" t="s">
        <v>11469</v>
      </c>
      <c r="G3212" t="s">
        <v>13197</v>
      </c>
    </row>
    <row r="3213" spans="1:7" x14ac:dyDescent="0.3">
      <c r="A3213" s="42" t="s">
        <v>3259</v>
      </c>
      <c r="B3213" s="42" t="s">
        <v>3410</v>
      </c>
      <c r="C3213" s="42" t="s">
        <v>8951</v>
      </c>
      <c r="D3213" s="43" t="s">
        <v>136</v>
      </c>
      <c r="E3213" s="43" t="s">
        <v>92</v>
      </c>
      <c r="F3213" s="42" t="s">
        <v>11469</v>
      </c>
      <c r="G3213" t="s">
        <v>13197</v>
      </c>
    </row>
    <row r="3214" spans="1:7" x14ac:dyDescent="0.3">
      <c r="A3214" s="42" t="s">
        <v>3259</v>
      </c>
      <c r="B3214" s="42" t="s">
        <v>3411</v>
      </c>
      <c r="C3214" s="42" t="s">
        <v>8952</v>
      </c>
      <c r="D3214" s="43" t="s">
        <v>136</v>
      </c>
      <c r="E3214" s="43" t="s">
        <v>92</v>
      </c>
      <c r="F3214" s="42" t="s">
        <v>11469</v>
      </c>
      <c r="G3214" t="s">
        <v>13197</v>
      </c>
    </row>
    <row r="3215" spans="1:7" x14ac:dyDescent="0.3">
      <c r="A3215" s="42" t="s">
        <v>3259</v>
      </c>
      <c r="B3215" s="42" t="s">
        <v>3412</v>
      </c>
      <c r="C3215" s="42" t="s">
        <v>8953</v>
      </c>
      <c r="D3215" s="43" t="s">
        <v>136</v>
      </c>
      <c r="E3215" s="43" t="s">
        <v>92</v>
      </c>
      <c r="F3215" s="42" t="s">
        <v>11469</v>
      </c>
      <c r="G3215" t="s">
        <v>13197</v>
      </c>
    </row>
    <row r="3216" spans="1:7" x14ac:dyDescent="0.3">
      <c r="A3216" s="42" t="s">
        <v>3259</v>
      </c>
      <c r="B3216" s="42" t="s">
        <v>3413</v>
      </c>
      <c r="C3216" s="42" t="s">
        <v>8954</v>
      </c>
      <c r="D3216" s="43" t="s">
        <v>136</v>
      </c>
      <c r="E3216" s="43" t="s">
        <v>92</v>
      </c>
      <c r="F3216" s="42" t="s">
        <v>11469</v>
      </c>
      <c r="G3216" t="s">
        <v>13197</v>
      </c>
    </row>
    <row r="3217" spans="1:7" x14ac:dyDescent="0.3">
      <c r="A3217" s="42" t="s">
        <v>3259</v>
      </c>
      <c r="B3217" s="42" t="s">
        <v>3414</v>
      </c>
      <c r="C3217" s="42" t="s">
        <v>8955</v>
      </c>
      <c r="D3217" s="43" t="s">
        <v>136</v>
      </c>
      <c r="E3217" s="43" t="s">
        <v>92</v>
      </c>
      <c r="F3217" s="42" t="s">
        <v>11469</v>
      </c>
      <c r="G3217" t="s">
        <v>13197</v>
      </c>
    </row>
    <row r="3218" spans="1:7" x14ac:dyDescent="0.3">
      <c r="A3218" s="42" t="s">
        <v>3259</v>
      </c>
      <c r="B3218" s="42" t="s">
        <v>3415</v>
      </c>
      <c r="C3218" s="42" t="s">
        <v>8956</v>
      </c>
      <c r="D3218" s="43" t="s">
        <v>136</v>
      </c>
      <c r="E3218" s="43" t="s">
        <v>92</v>
      </c>
      <c r="F3218" s="42" t="s">
        <v>11469</v>
      </c>
      <c r="G3218" t="s">
        <v>13197</v>
      </c>
    </row>
    <row r="3219" spans="1:7" x14ac:dyDescent="0.3">
      <c r="A3219" s="42" t="s">
        <v>3259</v>
      </c>
      <c r="B3219" s="42" t="s">
        <v>3416</v>
      </c>
      <c r="C3219" s="42" t="s">
        <v>8957</v>
      </c>
      <c r="D3219" s="43" t="s">
        <v>136</v>
      </c>
      <c r="E3219" s="43" t="s">
        <v>92</v>
      </c>
      <c r="F3219" s="42" t="s">
        <v>11469</v>
      </c>
      <c r="G3219" t="s">
        <v>13197</v>
      </c>
    </row>
    <row r="3220" spans="1:7" x14ac:dyDescent="0.3">
      <c r="A3220" s="42" t="s">
        <v>3259</v>
      </c>
      <c r="B3220" s="42" t="s">
        <v>3417</v>
      </c>
      <c r="C3220" s="42" t="s">
        <v>8958</v>
      </c>
      <c r="D3220" s="43" t="s">
        <v>136</v>
      </c>
      <c r="E3220" s="43" t="s">
        <v>92</v>
      </c>
      <c r="F3220" s="42" t="s">
        <v>11469</v>
      </c>
      <c r="G3220" t="s">
        <v>13197</v>
      </c>
    </row>
    <row r="3221" spans="1:7" x14ac:dyDescent="0.3">
      <c r="A3221" s="42" t="s">
        <v>3259</v>
      </c>
      <c r="B3221" s="42" t="s">
        <v>3418</v>
      </c>
      <c r="C3221" s="42" t="s">
        <v>8959</v>
      </c>
      <c r="D3221" s="43" t="s">
        <v>136</v>
      </c>
      <c r="E3221" s="43" t="s">
        <v>92</v>
      </c>
      <c r="F3221" s="42" t="s">
        <v>11469</v>
      </c>
      <c r="G3221" t="s">
        <v>13197</v>
      </c>
    </row>
    <row r="3222" spans="1:7" x14ac:dyDescent="0.3">
      <c r="A3222" s="42" t="s">
        <v>3259</v>
      </c>
      <c r="B3222" s="42" t="s">
        <v>3419</v>
      </c>
      <c r="C3222" s="42" t="s">
        <v>8960</v>
      </c>
      <c r="D3222" s="43" t="s">
        <v>136</v>
      </c>
      <c r="E3222" s="43" t="s">
        <v>92</v>
      </c>
      <c r="F3222" s="42" t="s">
        <v>11469</v>
      </c>
      <c r="G3222" t="s">
        <v>13197</v>
      </c>
    </row>
    <row r="3223" spans="1:7" x14ac:dyDescent="0.3">
      <c r="A3223" s="42" t="s">
        <v>3259</v>
      </c>
      <c r="B3223" s="42" t="s">
        <v>3420</v>
      </c>
      <c r="C3223" s="42" t="s">
        <v>8961</v>
      </c>
      <c r="D3223" s="43" t="s">
        <v>136</v>
      </c>
      <c r="E3223" s="43" t="s">
        <v>92</v>
      </c>
      <c r="F3223" s="42" t="s">
        <v>11469</v>
      </c>
      <c r="G3223" t="s">
        <v>13197</v>
      </c>
    </row>
    <row r="3224" spans="1:7" x14ac:dyDescent="0.3">
      <c r="A3224" s="42" t="s">
        <v>3259</v>
      </c>
      <c r="B3224" s="42" t="s">
        <v>3421</v>
      </c>
      <c r="C3224" s="42" t="s">
        <v>8962</v>
      </c>
      <c r="D3224" s="43" t="s">
        <v>136</v>
      </c>
      <c r="E3224" s="43" t="s">
        <v>92</v>
      </c>
      <c r="F3224" s="42" t="s">
        <v>11469</v>
      </c>
      <c r="G3224" t="s">
        <v>13197</v>
      </c>
    </row>
    <row r="3225" spans="1:7" x14ac:dyDescent="0.3">
      <c r="A3225" s="42" t="s">
        <v>3259</v>
      </c>
      <c r="B3225" s="42" t="s">
        <v>3422</v>
      </c>
      <c r="C3225" s="42" t="s">
        <v>8963</v>
      </c>
      <c r="D3225" s="43" t="s">
        <v>136</v>
      </c>
      <c r="E3225" s="43" t="s">
        <v>92</v>
      </c>
      <c r="F3225" s="42" t="s">
        <v>11469</v>
      </c>
      <c r="G3225" t="s">
        <v>13197</v>
      </c>
    </row>
    <row r="3226" spans="1:7" x14ac:dyDescent="0.3">
      <c r="A3226" s="42" t="s">
        <v>3259</v>
      </c>
      <c r="B3226" s="42" t="s">
        <v>3423</v>
      </c>
      <c r="C3226" s="42" t="s">
        <v>8964</v>
      </c>
      <c r="D3226" s="43" t="s">
        <v>136</v>
      </c>
      <c r="E3226" s="43" t="s">
        <v>92</v>
      </c>
      <c r="F3226" s="42" t="s">
        <v>11469</v>
      </c>
      <c r="G3226" t="s">
        <v>13197</v>
      </c>
    </row>
    <row r="3227" spans="1:7" x14ac:dyDescent="0.3">
      <c r="A3227" s="42" t="s">
        <v>3259</v>
      </c>
      <c r="B3227" s="42" t="s">
        <v>3424</v>
      </c>
      <c r="C3227" s="42" t="s">
        <v>8965</v>
      </c>
      <c r="D3227" s="43" t="s">
        <v>136</v>
      </c>
      <c r="E3227" s="43" t="s">
        <v>92</v>
      </c>
      <c r="F3227" s="42" t="s">
        <v>11469</v>
      </c>
      <c r="G3227" t="s">
        <v>13197</v>
      </c>
    </row>
    <row r="3228" spans="1:7" x14ac:dyDescent="0.3">
      <c r="A3228" s="42" t="s">
        <v>3259</v>
      </c>
      <c r="B3228" s="42" t="s">
        <v>3425</v>
      </c>
      <c r="C3228" s="42" t="s">
        <v>8966</v>
      </c>
      <c r="D3228" s="43" t="s">
        <v>136</v>
      </c>
      <c r="E3228" s="43" t="s">
        <v>92</v>
      </c>
      <c r="F3228" s="42" t="s">
        <v>11469</v>
      </c>
      <c r="G3228" t="s">
        <v>13197</v>
      </c>
    </row>
    <row r="3229" spans="1:7" x14ac:dyDescent="0.3">
      <c r="A3229" s="42" t="s">
        <v>3259</v>
      </c>
      <c r="B3229" s="42" t="s">
        <v>3426</v>
      </c>
      <c r="C3229" s="42" t="s">
        <v>8967</v>
      </c>
      <c r="D3229" s="43" t="s">
        <v>136</v>
      </c>
      <c r="E3229" s="43" t="s">
        <v>92</v>
      </c>
      <c r="F3229" s="42" t="s">
        <v>11469</v>
      </c>
      <c r="G3229" t="s">
        <v>13200</v>
      </c>
    </row>
    <row r="3230" spans="1:7" x14ac:dyDescent="0.3">
      <c r="A3230" s="42" t="s">
        <v>3259</v>
      </c>
      <c r="B3230" s="42" t="s">
        <v>3427</v>
      </c>
      <c r="C3230" s="42" t="s">
        <v>8968</v>
      </c>
      <c r="D3230" s="43" t="s">
        <v>136</v>
      </c>
      <c r="E3230" s="43" t="s">
        <v>92</v>
      </c>
      <c r="F3230" s="42" t="s">
        <v>11469</v>
      </c>
      <c r="G3230" t="s">
        <v>13197</v>
      </c>
    </row>
    <row r="3231" spans="1:7" x14ac:dyDescent="0.3">
      <c r="A3231" s="42" t="s">
        <v>3259</v>
      </c>
      <c r="B3231" s="42" t="s">
        <v>3428</v>
      </c>
      <c r="C3231" s="42" t="s">
        <v>8969</v>
      </c>
      <c r="D3231" s="43" t="s">
        <v>136</v>
      </c>
      <c r="E3231" s="43" t="s">
        <v>92</v>
      </c>
      <c r="F3231" s="42" t="s">
        <v>11469</v>
      </c>
      <c r="G3231" t="s">
        <v>13197</v>
      </c>
    </row>
    <row r="3232" spans="1:7" x14ac:dyDescent="0.3">
      <c r="A3232" s="42" t="s">
        <v>3259</v>
      </c>
      <c r="B3232" s="42" t="s">
        <v>3429</v>
      </c>
      <c r="C3232" s="42" t="s">
        <v>8970</v>
      </c>
      <c r="D3232" s="43" t="s">
        <v>136</v>
      </c>
      <c r="E3232" s="43" t="s">
        <v>92</v>
      </c>
      <c r="F3232" s="42" t="s">
        <v>11469</v>
      </c>
      <c r="G3232" t="s">
        <v>13197</v>
      </c>
    </row>
    <row r="3233" spans="1:7" x14ac:dyDescent="0.3">
      <c r="A3233" s="42" t="s">
        <v>3259</v>
      </c>
      <c r="B3233" s="42" t="s">
        <v>3430</v>
      </c>
      <c r="C3233" s="42" t="s">
        <v>8971</v>
      </c>
      <c r="D3233" s="43" t="s">
        <v>136</v>
      </c>
      <c r="E3233" s="43" t="s">
        <v>92</v>
      </c>
      <c r="F3233" s="42" t="s">
        <v>11469</v>
      </c>
      <c r="G3233" t="s">
        <v>13197</v>
      </c>
    </row>
    <row r="3234" spans="1:7" x14ac:dyDescent="0.3">
      <c r="A3234" s="42" t="s">
        <v>3259</v>
      </c>
      <c r="B3234" s="42" t="s">
        <v>3431</v>
      </c>
      <c r="C3234" s="42" t="s">
        <v>8972</v>
      </c>
      <c r="D3234" s="43" t="s">
        <v>136</v>
      </c>
      <c r="E3234" s="43" t="s">
        <v>92</v>
      </c>
      <c r="F3234" s="42" t="s">
        <v>11469</v>
      </c>
      <c r="G3234" t="s">
        <v>13197</v>
      </c>
    </row>
    <row r="3235" spans="1:7" x14ac:dyDescent="0.3">
      <c r="A3235" s="42" t="s">
        <v>3259</v>
      </c>
      <c r="B3235" s="42" t="s">
        <v>3432</v>
      </c>
      <c r="C3235" s="42" t="s">
        <v>8973</v>
      </c>
      <c r="D3235" s="43" t="s">
        <v>136</v>
      </c>
      <c r="E3235" s="43" t="s">
        <v>92</v>
      </c>
      <c r="F3235" s="42" t="s">
        <v>11469</v>
      </c>
      <c r="G3235" t="s">
        <v>13197</v>
      </c>
    </row>
    <row r="3236" spans="1:7" x14ac:dyDescent="0.3">
      <c r="A3236" s="42" t="s">
        <v>3259</v>
      </c>
      <c r="B3236" s="42" t="s">
        <v>3433</v>
      </c>
      <c r="C3236" s="42" t="s">
        <v>8974</v>
      </c>
      <c r="D3236" s="43" t="s">
        <v>136</v>
      </c>
      <c r="E3236" s="43" t="s">
        <v>92</v>
      </c>
      <c r="F3236" s="42" t="s">
        <v>11469</v>
      </c>
      <c r="G3236" t="s">
        <v>13197</v>
      </c>
    </row>
    <row r="3237" spans="1:7" x14ac:dyDescent="0.3">
      <c r="A3237" s="42" t="s">
        <v>3259</v>
      </c>
      <c r="B3237" s="42" t="s">
        <v>3434</v>
      </c>
      <c r="C3237" s="42" t="s">
        <v>8975</v>
      </c>
      <c r="D3237" s="43" t="s">
        <v>136</v>
      </c>
      <c r="E3237" s="43" t="s">
        <v>92</v>
      </c>
      <c r="F3237" s="42" t="s">
        <v>11469</v>
      </c>
      <c r="G3237" t="s">
        <v>13197</v>
      </c>
    </row>
    <row r="3238" spans="1:7" x14ac:dyDescent="0.3">
      <c r="A3238" s="42" t="s">
        <v>3259</v>
      </c>
      <c r="B3238" s="42" t="s">
        <v>3435</v>
      </c>
      <c r="C3238" s="42" t="s">
        <v>8976</v>
      </c>
      <c r="D3238" s="43" t="s">
        <v>136</v>
      </c>
      <c r="E3238" s="43" t="s">
        <v>92</v>
      </c>
      <c r="F3238" s="42" t="s">
        <v>11469</v>
      </c>
      <c r="G3238" t="s">
        <v>13197</v>
      </c>
    </row>
    <row r="3239" spans="1:7" x14ac:dyDescent="0.3">
      <c r="A3239" s="42" t="s">
        <v>3259</v>
      </c>
      <c r="B3239" s="42" t="s">
        <v>3436</v>
      </c>
      <c r="C3239" s="42" t="s">
        <v>8977</v>
      </c>
      <c r="D3239" s="43" t="s">
        <v>136</v>
      </c>
      <c r="E3239" s="43" t="s">
        <v>92</v>
      </c>
      <c r="F3239" s="42" t="s">
        <v>11469</v>
      </c>
      <c r="G3239" t="s">
        <v>13197</v>
      </c>
    </row>
    <row r="3240" spans="1:7" x14ac:dyDescent="0.3">
      <c r="A3240" s="42" t="s">
        <v>3259</v>
      </c>
      <c r="B3240" s="42" t="s">
        <v>3437</v>
      </c>
      <c r="C3240" s="42" t="s">
        <v>8978</v>
      </c>
      <c r="D3240" s="43" t="s">
        <v>136</v>
      </c>
      <c r="E3240" s="43" t="s">
        <v>92</v>
      </c>
      <c r="F3240" s="42" t="s">
        <v>11469</v>
      </c>
      <c r="G3240" t="s">
        <v>13197</v>
      </c>
    </row>
    <row r="3241" spans="1:7" x14ac:dyDescent="0.3">
      <c r="A3241" s="42" t="s">
        <v>3259</v>
      </c>
      <c r="B3241" s="42" t="s">
        <v>3438</v>
      </c>
      <c r="C3241" s="42" t="s">
        <v>8979</v>
      </c>
      <c r="D3241" s="43" t="s">
        <v>136</v>
      </c>
      <c r="E3241" s="43" t="s">
        <v>92</v>
      </c>
      <c r="F3241" s="42" t="s">
        <v>11469</v>
      </c>
      <c r="G3241" t="s">
        <v>13197</v>
      </c>
    </row>
    <row r="3242" spans="1:7" x14ac:dyDescent="0.3">
      <c r="A3242" s="42" t="s">
        <v>3259</v>
      </c>
      <c r="B3242" s="42" t="s">
        <v>3439</v>
      </c>
      <c r="C3242" s="42" t="s">
        <v>8980</v>
      </c>
      <c r="D3242" s="43" t="s">
        <v>136</v>
      </c>
      <c r="E3242" s="43" t="s">
        <v>92</v>
      </c>
      <c r="F3242" s="42" t="s">
        <v>11469</v>
      </c>
      <c r="G3242" t="s">
        <v>13197</v>
      </c>
    </row>
    <row r="3243" spans="1:7" x14ac:dyDescent="0.3">
      <c r="A3243" s="42" t="s">
        <v>3259</v>
      </c>
      <c r="B3243" s="42" t="s">
        <v>3440</v>
      </c>
      <c r="C3243" s="42" t="s">
        <v>8981</v>
      </c>
      <c r="D3243" s="43" t="s">
        <v>136</v>
      </c>
      <c r="E3243" s="43" t="s">
        <v>92</v>
      </c>
      <c r="F3243" s="42" t="s">
        <v>11469</v>
      </c>
      <c r="G3243" t="s">
        <v>13197</v>
      </c>
    </row>
    <row r="3244" spans="1:7" x14ac:dyDescent="0.3">
      <c r="A3244" s="42" t="s">
        <v>3259</v>
      </c>
      <c r="B3244" s="42" t="s">
        <v>3441</v>
      </c>
      <c r="C3244" s="42" t="s">
        <v>8982</v>
      </c>
      <c r="D3244" s="43" t="s">
        <v>136</v>
      </c>
      <c r="E3244" s="43" t="s">
        <v>92</v>
      </c>
      <c r="F3244" s="42" t="s">
        <v>11469</v>
      </c>
      <c r="G3244" t="s">
        <v>13197</v>
      </c>
    </row>
    <row r="3245" spans="1:7" x14ac:dyDescent="0.3">
      <c r="A3245" s="42" t="s">
        <v>3259</v>
      </c>
      <c r="B3245" s="42" t="s">
        <v>3442</v>
      </c>
      <c r="C3245" s="42" t="s">
        <v>8983</v>
      </c>
      <c r="D3245" s="43" t="s">
        <v>136</v>
      </c>
      <c r="E3245" s="43" t="s">
        <v>92</v>
      </c>
      <c r="F3245" s="42" t="s">
        <v>11469</v>
      </c>
      <c r="G3245" t="s">
        <v>13197</v>
      </c>
    </row>
    <row r="3246" spans="1:7" x14ac:dyDescent="0.3">
      <c r="A3246" s="42" t="s">
        <v>3259</v>
      </c>
      <c r="B3246" s="42" t="s">
        <v>3443</v>
      </c>
      <c r="C3246" s="42" t="s">
        <v>8984</v>
      </c>
      <c r="D3246" s="43" t="s">
        <v>136</v>
      </c>
      <c r="E3246" s="43" t="s">
        <v>92</v>
      </c>
      <c r="F3246" s="42" t="s">
        <v>11469</v>
      </c>
      <c r="G3246" t="s">
        <v>13197</v>
      </c>
    </row>
    <row r="3247" spans="1:7" x14ac:dyDescent="0.3">
      <c r="A3247" s="42" t="s">
        <v>3259</v>
      </c>
      <c r="B3247" s="42" t="s">
        <v>1460</v>
      </c>
      <c r="C3247" s="42" t="s">
        <v>8985</v>
      </c>
      <c r="D3247" s="43" t="s">
        <v>136</v>
      </c>
      <c r="E3247" s="43" t="s">
        <v>92</v>
      </c>
      <c r="F3247" s="42" t="s">
        <v>11469</v>
      </c>
      <c r="G3247" t="s">
        <v>13197</v>
      </c>
    </row>
    <row r="3248" spans="1:7" x14ac:dyDescent="0.3">
      <c r="A3248" s="42" t="s">
        <v>3259</v>
      </c>
      <c r="B3248" s="42" t="s">
        <v>3444</v>
      </c>
      <c r="C3248" s="42" t="s">
        <v>8986</v>
      </c>
      <c r="D3248" s="43" t="s">
        <v>136</v>
      </c>
      <c r="E3248" s="43" t="s">
        <v>92</v>
      </c>
      <c r="F3248" s="42" t="s">
        <v>11469</v>
      </c>
      <c r="G3248" t="s">
        <v>13197</v>
      </c>
    </row>
    <row r="3249" spans="1:7" x14ac:dyDescent="0.3">
      <c r="A3249" s="42" t="s">
        <v>3259</v>
      </c>
      <c r="B3249" s="42" t="s">
        <v>3445</v>
      </c>
      <c r="C3249" s="42" t="s">
        <v>8987</v>
      </c>
      <c r="D3249" s="43" t="s">
        <v>136</v>
      </c>
      <c r="E3249" s="43" t="s">
        <v>92</v>
      </c>
      <c r="F3249" s="42" t="s">
        <v>11469</v>
      </c>
      <c r="G3249" t="s">
        <v>13197</v>
      </c>
    </row>
    <row r="3250" spans="1:7" x14ac:dyDescent="0.3">
      <c r="A3250" s="42" t="s">
        <v>3259</v>
      </c>
      <c r="B3250" s="42" t="s">
        <v>3446</v>
      </c>
      <c r="C3250" s="42" t="s">
        <v>8988</v>
      </c>
      <c r="D3250" s="43" t="s">
        <v>136</v>
      </c>
      <c r="E3250" s="43" t="s">
        <v>92</v>
      </c>
      <c r="F3250" s="42" t="s">
        <v>11469</v>
      </c>
      <c r="G3250" t="s">
        <v>13197</v>
      </c>
    </row>
    <row r="3251" spans="1:7" x14ac:dyDescent="0.3">
      <c r="A3251" s="42" t="s">
        <v>3259</v>
      </c>
      <c r="B3251" s="42" t="s">
        <v>3447</v>
      </c>
      <c r="C3251" s="42" t="s">
        <v>8989</v>
      </c>
      <c r="D3251" s="43" t="s">
        <v>136</v>
      </c>
      <c r="E3251" s="43" t="s">
        <v>92</v>
      </c>
      <c r="F3251" s="42" t="s">
        <v>11469</v>
      </c>
      <c r="G3251" t="s">
        <v>13197</v>
      </c>
    </row>
    <row r="3252" spans="1:7" x14ac:dyDescent="0.3">
      <c r="A3252" s="42" t="s">
        <v>3259</v>
      </c>
      <c r="B3252" s="42" t="s">
        <v>3448</v>
      </c>
      <c r="C3252" s="42" t="s">
        <v>8990</v>
      </c>
      <c r="D3252" s="43" t="s">
        <v>136</v>
      </c>
      <c r="E3252" s="43" t="s">
        <v>92</v>
      </c>
      <c r="F3252" s="42" t="s">
        <v>11469</v>
      </c>
      <c r="G3252" t="s">
        <v>13197</v>
      </c>
    </row>
    <row r="3253" spans="1:7" x14ac:dyDescent="0.3">
      <c r="A3253" s="42" t="s">
        <v>3259</v>
      </c>
      <c r="B3253" s="42" t="s">
        <v>3449</v>
      </c>
      <c r="C3253" s="42" t="s">
        <v>8991</v>
      </c>
      <c r="D3253" s="43" t="s">
        <v>136</v>
      </c>
      <c r="E3253" s="43" t="s">
        <v>92</v>
      </c>
      <c r="F3253" s="42" t="s">
        <v>11469</v>
      </c>
      <c r="G3253" t="s">
        <v>13197</v>
      </c>
    </row>
    <row r="3254" spans="1:7" x14ac:dyDescent="0.3">
      <c r="A3254" s="42" t="s">
        <v>3259</v>
      </c>
      <c r="B3254" s="42" t="s">
        <v>3450</v>
      </c>
      <c r="C3254" s="42" t="s">
        <v>8992</v>
      </c>
      <c r="D3254" s="43" t="s">
        <v>136</v>
      </c>
      <c r="E3254" s="43" t="s">
        <v>92</v>
      </c>
      <c r="F3254" s="42" t="s">
        <v>11469</v>
      </c>
      <c r="G3254" t="s">
        <v>13197</v>
      </c>
    </row>
    <row r="3255" spans="1:7" x14ac:dyDescent="0.3">
      <c r="A3255" s="42" t="s">
        <v>3259</v>
      </c>
      <c r="B3255" s="42" t="s">
        <v>3451</v>
      </c>
      <c r="C3255" s="42" t="s">
        <v>8993</v>
      </c>
      <c r="D3255" s="43" t="s">
        <v>136</v>
      </c>
      <c r="E3255" s="43" t="s">
        <v>92</v>
      </c>
      <c r="F3255" s="42" t="s">
        <v>192</v>
      </c>
      <c r="G3255" t="s">
        <v>13196</v>
      </c>
    </row>
    <row r="3256" spans="1:7" x14ac:dyDescent="0.3">
      <c r="A3256" s="42" t="s">
        <v>3259</v>
      </c>
      <c r="B3256" s="42" t="s">
        <v>3452</v>
      </c>
      <c r="C3256" s="42" t="s">
        <v>8994</v>
      </c>
      <c r="D3256" s="43" t="s">
        <v>136</v>
      </c>
      <c r="E3256" s="43" t="s">
        <v>92</v>
      </c>
      <c r="F3256" s="42" t="s">
        <v>11469</v>
      </c>
      <c r="G3256" t="s">
        <v>13197</v>
      </c>
    </row>
    <row r="3257" spans="1:7" x14ac:dyDescent="0.3">
      <c r="A3257" s="42" t="s">
        <v>3259</v>
      </c>
      <c r="B3257" s="42" t="s">
        <v>3453</v>
      </c>
      <c r="C3257" s="42" t="s">
        <v>8995</v>
      </c>
      <c r="D3257" s="43" t="s">
        <v>136</v>
      </c>
      <c r="E3257" s="43" t="s">
        <v>92</v>
      </c>
      <c r="F3257" s="42" t="s">
        <v>11469</v>
      </c>
      <c r="G3257" t="s">
        <v>13197</v>
      </c>
    </row>
    <row r="3258" spans="1:7" x14ac:dyDescent="0.3">
      <c r="A3258" s="42" t="s">
        <v>3259</v>
      </c>
      <c r="B3258" s="42" t="s">
        <v>3454</v>
      </c>
      <c r="C3258" s="42" t="s">
        <v>8996</v>
      </c>
      <c r="D3258" s="43" t="s">
        <v>136</v>
      </c>
      <c r="E3258" s="43" t="s">
        <v>92</v>
      </c>
      <c r="F3258" s="42" t="s">
        <v>11469</v>
      </c>
      <c r="G3258" t="s">
        <v>13197</v>
      </c>
    </row>
    <row r="3259" spans="1:7" x14ac:dyDescent="0.3">
      <c r="A3259" s="42" t="s">
        <v>3259</v>
      </c>
      <c r="B3259" s="42" t="s">
        <v>3455</v>
      </c>
      <c r="C3259" s="42" t="s">
        <v>8997</v>
      </c>
      <c r="D3259" s="43" t="s">
        <v>136</v>
      </c>
      <c r="E3259" s="43" t="s">
        <v>92</v>
      </c>
      <c r="F3259" s="42" t="s">
        <v>11469</v>
      </c>
      <c r="G3259" t="s">
        <v>13197</v>
      </c>
    </row>
    <row r="3260" spans="1:7" x14ac:dyDescent="0.3">
      <c r="A3260" s="42" t="s">
        <v>3259</v>
      </c>
      <c r="B3260" s="42" t="s">
        <v>3456</v>
      </c>
      <c r="C3260" s="42" t="s">
        <v>8998</v>
      </c>
      <c r="D3260" s="43" t="s">
        <v>136</v>
      </c>
      <c r="E3260" s="43" t="s">
        <v>92</v>
      </c>
      <c r="F3260" s="42" t="s">
        <v>11469</v>
      </c>
      <c r="G3260" t="s">
        <v>13197</v>
      </c>
    </row>
    <row r="3261" spans="1:7" x14ac:dyDescent="0.3">
      <c r="A3261" s="42" t="s">
        <v>3259</v>
      </c>
      <c r="B3261" s="42" t="s">
        <v>3457</v>
      </c>
      <c r="C3261" s="42" t="s">
        <v>8999</v>
      </c>
      <c r="D3261" s="43" t="s">
        <v>136</v>
      </c>
      <c r="E3261" s="43" t="s">
        <v>92</v>
      </c>
      <c r="F3261" s="42" t="s">
        <v>11469</v>
      </c>
      <c r="G3261" t="s">
        <v>13197</v>
      </c>
    </row>
    <row r="3262" spans="1:7" x14ac:dyDescent="0.3">
      <c r="A3262" s="42" t="s">
        <v>3259</v>
      </c>
      <c r="B3262" s="42" t="s">
        <v>3458</v>
      </c>
      <c r="C3262" s="42" t="s">
        <v>9000</v>
      </c>
      <c r="D3262" s="43" t="s">
        <v>136</v>
      </c>
      <c r="E3262" s="43" t="s">
        <v>92</v>
      </c>
      <c r="F3262" s="42" t="s">
        <v>11469</v>
      </c>
      <c r="G3262" t="s">
        <v>13197</v>
      </c>
    </row>
    <row r="3263" spans="1:7" x14ac:dyDescent="0.3">
      <c r="A3263" s="42" t="s">
        <v>3259</v>
      </c>
      <c r="B3263" s="42" t="s">
        <v>3459</v>
      </c>
      <c r="C3263" s="42" t="s">
        <v>9001</v>
      </c>
      <c r="D3263" s="43" t="s">
        <v>136</v>
      </c>
      <c r="E3263" s="43" t="s">
        <v>92</v>
      </c>
      <c r="F3263" s="42" t="s">
        <v>11469</v>
      </c>
      <c r="G3263" t="s">
        <v>13197</v>
      </c>
    </row>
    <row r="3264" spans="1:7" x14ac:dyDescent="0.3">
      <c r="A3264" s="42" t="s">
        <v>3259</v>
      </c>
      <c r="B3264" s="42" t="s">
        <v>3460</v>
      </c>
      <c r="C3264" s="42" t="s">
        <v>9002</v>
      </c>
      <c r="D3264" s="43" t="s">
        <v>136</v>
      </c>
      <c r="E3264" s="43" t="s">
        <v>92</v>
      </c>
      <c r="F3264" s="42" t="s">
        <v>11469</v>
      </c>
      <c r="G3264" t="s">
        <v>13197</v>
      </c>
    </row>
    <row r="3265" spans="1:7" x14ac:dyDescent="0.3">
      <c r="A3265" s="42" t="s">
        <v>3259</v>
      </c>
      <c r="B3265" s="42" t="s">
        <v>3461</v>
      </c>
      <c r="C3265" s="42" t="s">
        <v>9003</v>
      </c>
      <c r="D3265" s="43" t="s">
        <v>136</v>
      </c>
      <c r="E3265" s="43" t="s">
        <v>92</v>
      </c>
      <c r="F3265" s="42" t="s">
        <v>11469</v>
      </c>
      <c r="G3265" t="s">
        <v>13197</v>
      </c>
    </row>
    <row r="3266" spans="1:7" x14ac:dyDescent="0.3">
      <c r="A3266" s="42" t="s">
        <v>3259</v>
      </c>
      <c r="B3266" s="42" t="s">
        <v>3462</v>
      </c>
      <c r="C3266" s="42" t="s">
        <v>9004</v>
      </c>
      <c r="D3266" s="43" t="s">
        <v>136</v>
      </c>
      <c r="E3266" s="43" t="s">
        <v>92</v>
      </c>
      <c r="F3266" s="42" t="s">
        <v>11469</v>
      </c>
      <c r="G3266" t="s">
        <v>13197</v>
      </c>
    </row>
    <row r="3267" spans="1:7" x14ac:dyDescent="0.3">
      <c r="A3267" s="42" t="s">
        <v>3259</v>
      </c>
      <c r="B3267" s="42" t="s">
        <v>3463</v>
      </c>
      <c r="C3267" s="42" t="s">
        <v>9005</v>
      </c>
      <c r="D3267" s="43" t="s">
        <v>136</v>
      </c>
      <c r="E3267" s="43" t="s">
        <v>92</v>
      </c>
      <c r="F3267" s="42" t="s">
        <v>11469</v>
      </c>
      <c r="G3267" t="s">
        <v>13197</v>
      </c>
    </row>
    <row r="3268" spans="1:7" x14ac:dyDescent="0.3">
      <c r="A3268" s="42" t="s">
        <v>3259</v>
      </c>
      <c r="B3268" s="42" t="s">
        <v>2914</v>
      </c>
      <c r="C3268" s="42" t="s">
        <v>9006</v>
      </c>
      <c r="D3268" s="43" t="s">
        <v>136</v>
      </c>
      <c r="E3268" s="43" t="s">
        <v>92</v>
      </c>
      <c r="F3268" s="42" t="s">
        <v>11469</v>
      </c>
      <c r="G3268" t="s">
        <v>13197</v>
      </c>
    </row>
    <row r="3269" spans="1:7" x14ac:dyDescent="0.3">
      <c r="A3269" s="42" t="s">
        <v>3259</v>
      </c>
      <c r="B3269" s="42" t="s">
        <v>3464</v>
      </c>
      <c r="C3269" s="42" t="s">
        <v>9007</v>
      </c>
      <c r="D3269" s="43" t="s">
        <v>136</v>
      </c>
      <c r="E3269" s="43" t="s">
        <v>92</v>
      </c>
      <c r="F3269" s="42" t="s">
        <v>11469</v>
      </c>
      <c r="G3269" t="s">
        <v>13197</v>
      </c>
    </row>
    <row r="3270" spans="1:7" x14ac:dyDescent="0.3">
      <c r="A3270" s="42" t="s">
        <v>3259</v>
      </c>
      <c r="B3270" s="42" t="s">
        <v>3465</v>
      </c>
      <c r="C3270" s="42" t="s">
        <v>9008</v>
      </c>
      <c r="D3270" s="43" t="s">
        <v>136</v>
      </c>
      <c r="E3270" s="43" t="s">
        <v>92</v>
      </c>
      <c r="F3270" s="42" t="s">
        <v>192</v>
      </c>
      <c r="G3270" t="s">
        <v>13196</v>
      </c>
    </row>
    <row r="3271" spans="1:7" x14ac:dyDescent="0.3">
      <c r="A3271" s="42" t="s">
        <v>3259</v>
      </c>
      <c r="B3271" s="42" t="s">
        <v>3466</v>
      </c>
      <c r="C3271" s="42" t="s">
        <v>9009</v>
      </c>
      <c r="D3271" s="43" t="s">
        <v>136</v>
      </c>
      <c r="E3271" s="43" t="s">
        <v>92</v>
      </c>
      <c r="F3271" s="42" t="s">
        <v>11469</v>
      </c>
      <c r="G3271" t="s">
        <v>13197</v>
      </c>
    </row>
    <row r="3272" spans="1:7" x14ac:dyDescent="0.3">
      <c r="A3272" s="42" t="s">
        <v>3259</v>
      </c>
      <c r="B3272" s="42" t="s">
        <v>3467</v>
      </c>
      <c r="C3272" s="42" t="s">
        <v>9010</v>
      </c>
      <c r="D3272" s="43" t="s">
        <v>136</v>
      </c>
      <c r="E3272" s="43" t="s">
        <v>92</v>
      </c>
      <c r="F3272" s="42" t="s">
        <v>11469</v>
      </c>
      <c r="G3272" t="s">
        <v>13197</v>
      </c>
    </row>
    <row r="3273" spans="1:7" x14ac:dyDescent="0.3">
      <c r="A3273" s="42" t="s">
        <v>3259</v>
      </c>
      <c r="B3273" s="42" t="s">
        <v>3468</v>
      </c>
      <c r="C3273" s="42" t="s">
        <v>9011</v>
      </c>
      <c r="D3273" s="43" t="s">
        <v>136</v>
      </c>
      <c r="E3273" s="43" t="s">
        <v>92</v>
      </c>
      <c r="F3273" s="42" t="s">
        <v>11469</v>
      </c>
      <c r="G3273" t="s">
        <v>13197</v>
      </c>
    </row>
    <row r="3274" spans="1:7" x14ac:dyDescent="0.3">
      <c r="A3274" s="42" t="s">
        <v>3259</v>
      </c>
      <c r="B3274" s="42" t="s">
        <v>3469</v>
      </c>
      <c r="C3274" s="42" t="s">
        <v>9012</v>
      </c>
      <c r="D3274" s="43" t="s">
        <v>136</v>
      </c>
      <c r="E3274" s="43" t="s">
        <v>92</v>
      </c>
      <c r="F3274" s="42" t="s">
        <v>11469</v>
      </c>
      <c r="G3274" t="s">
        <v>13197</v>
      </c>
    </row>
    <row r="3275" spans="1:7" x14ac:dyDescent="0.3">
      <c r="A3275" s="42" t="s">
        <v>3259</v>
      </c>
      <c r="B3275" s="42" t="s">
        <v>3470</v>
      </c>
      <c r="C3275" s="42" t="s">
        <v>9013</v>
      </c>
      <c r="D3275" s="43" t="s">
        <v>136</v>
      </c>
      <c r="E3275" s="43" t="s">
        <v>92</v>
      </c>
      <c r="F3275" s="42" t="s">
        <v>11469</v>
      </c>
      <c r="G3275" t="s">
        <v>13197</v>
      </c>
    </row>
    <row r="3276" spans="1:7" x14ac:dyDescent="0.3">
      <c r="A3276" s="42" t="s">
        <v>3259</v>
      </c>
      <c r="B3276" s="42" t="s">
        <v>3471</v>
      </c>
      <c r="C3276" s="42" t="s">
        <v>9014</v>
      </c>
      <c r="D3276" s="43" t="s">
        <v>136</v>
      </c>
      <c r="E3276" s="43" t="s">
        <v>92</v>
      </c>
      <c r="F3276" s="42" t="s">
        <v>11469</v>
      </c>
      <c r="G3276" t="s">
        <v>13197</v>
      </c>
    </row>
    <row r="3277" spans="1:7" x14ac:dyDescent="0.3">
      <c r="A3277" s="42" t="s">
        <v>3259</v>
      </c>
      <c r="B3277" s="42" t="s">
        <v>3472</v>
      </c>
      <c r="C3277" s="42" t="s">
        <v>9015</v>
      </c>
      <c r="D3277" s="43" t="s">
        <v>136</v>
      </c>
      <c r="E3277" s="43" t="s">
        <v>92</v>
      </c>
      <c r="F3277" s="42" t="s">
        <v>11469</v>
      </c>
      <c r="G3277" t="s">
        <v>13197</v>
      </c>
    </row>
    <row r="3278" spans="1:7" x14ac:dyDescent="0.3">
      <c r="A3278" s="42" t="s">
        <v>3259</v>
      </c>
      <c r="B3278" s="42" t="s">
        <v>1214</v>
      </c>
      <c r="C3278" s="42" t="s">
        <v>9016</v>
      </c>
      <c r="D3278" s="43" t="s">
        <v>136</v>
      </c>
      <c r="E3278" s="43" t="s">
        <v>92</v>
      </c>
      <c r="F3278" s="42" t="s">
        <v>11469</v>
      </c>
      <c r="G3278" t="s">
        <v>13197</v>
      </c>
    </row>
    <row r="3279" spans="1:7" x14ac:dyDescent="0.3">
      <c r="A3279" s="42" t="s">
        <v>3259</v>
      </c>
      <c r="B3279" s="42" t="s">
        <v>3473</v>
      </c>
      <c r="C3279" s="42" t="s">
        <v>9017</v>
      </c>
      <c r="D3279" s="43" t="s">
        <v>136</v>
      </c>
      <c r="E3279" s="43" t="s">
        <v>92</v>
      </c>
      <c r="F3279" s="42" t="s">
        <v>11469</v>
      </c>
      <c r="G3279" t="s">
        <v>13197</v>
      </c>
    </row>
    <row r="3280" spans="1:7" x14ac:dyDescent="0.3">
      <c r="A3280" s="42" t="s">
        <v>3259</v>
      </c>
      <c r="B3280" s="42" t="s">
        <v>3474</v>
      </c>
      <c r="C3280" s="42" t="s">
        <v>9018</v>
      </c>
      <c r="D3280" s="43" t="s">
        <v>136</v>
      </c>
      <c r="E3280" s="43" t="s">
        <v>92</v>
      </c>
      <c r="F3280" s="42" t="s">
        <v>11469</v>
      </c>
      <c r="G3280" t="s">
        <v>13197</v>
      </c>
    </row>
    <row r="3281" spans="1:7" x14ac:dyDescent="0.3">
      <c r="A3281" s="42" t="s">
        <v>3259</v>
      </c>
      <c r="B3281" s="42" t="s">
        <v>3475</v>
      </c>
      <c r="C3281" s="42" t="s">
        <v>9019</v>
      </c>
      <c r="D3281" s="43" t="s">
        <v>136</v>
      </c>
      <c r="E3281" s="43" t="s">
        <v>92</v>
      </c>
      <c r="F3281" s="42" t="s">
        <v>11469</v>
      </c>
      <c r="G3281" t="s">
        <v>13197</v>
      </c>
    </row>
    <row r="3282" spans="1:7" x14ac:dyDescent="0.3">
      <c r="A3282" s="42" t="s">
        <v>3259</v>
      </c>
      <c r="B3282" s="42" t="s">
        <v>3476</v>
      </c>
      <c r="C3282" s="42" t="s">
        <v>9020</v>
      </c>
      <c r="D3282" s="43" t="s">
        <v>136</v>
      </c>
      <c r="E3282" s="43" t="s">
        <v>92</v>
      </c>
      <c r="F3282" s="42" t="s">
        <v>11469</v>
      </c>
      <c r="G3282" t="s">
        <v>13197</v>
      </c>
    </row>
    <row r="3283" spans="1:7" x14ac:dyDescent="0.3">
      <c r="A3283" s="42" t="s">
        <v>3259</v>
      </c>
      <c r="B3283" s="42" t="s">
        <v>3477</v>
      </c>
      <c r="C3283" s="42" t="s">
        <v>9021</v>
      </c>
      <c r="D3283" s="43" t="s">
        <v>136</v>
      </c>
      <c r="E3283" s="43" t="s">
        <v>92</v>
      </c>
      <c r="F3283" s="42" t="s">
        <v>11469</v>
      </c>
      <c r="G3283" t="s">
        <v>13197</v>
      </c>
    </row>
    <row r="3284" spans="1:7" x14ac:dyDescent="0.3">
      <c r="A3284" s="42" t="s">
        <v>3259</v>
      </c>
      <c r="B3284" s="42" t="s">
        <v>3478</v>
      </c>
      <c r="C3284" s="42" t="s">
        <v>9022</v>
      </c>
      <c r="D3284" s="43" t="s">
        <v>136</v>
      </c>
      <c r="E3284" s="43" t="s">
        <v>92</v>
      </c>
      <c r="F3284" s="42" t="s">
        <v>11469</v>
      </c>
      <c r="G3284" t="s">
        <v>13197</v>
      </c>
    </row>
    <row r="3285" spans="1:7" x14ac:dyDescent="0.3">
      <c r="A3285" s="42" t="s">
        <v>3259</v>
      </c>
      <c r="B3285" s="42" t="s">
        <v>3479</v>
      </c>
      <c r="C3285" s="42" t="s">
        <v>9023</v>
      </c>
      <c r="D3285" s="43" t="s">
        <v>136</v>
      </c>
      <c r="E3285" s="43" t="s">
        <v>92</v>
      </c>
      <c r="F3285" s="42" t="s">
        <v>11469</v>
      </c>
      <c r="G3285" t="s">
        <v>13197</v>
      </c>
    </row>
    <row r="3286" spans="1:7" x14ac:dyDescent="0.3">
      <c r="A3286" s="42" t="s">
        <v>3259</v>
      </c>
      <c r="B3286" s="42" t="s">
        <v>3480</v>
      </c>
      <c r="C3286" s="42" t="s">
        <v>9024</v>
      </c>
      <c r="D3286" s="43" t="s">
        <v>136</v>
      </c>
      <c r="E3286" s="43" t="s">
        <v>92</v>
      </c>
      <c r="F3286" s="42" t="s">
        <v>11469</v>
      </c>
      <c r="G3286" t="s">
        <v>13197</v>
      </c>
    </row>
    <row r="3287" spans="1:7" x14ac:dyDescent="0.3">
      <c r="A3287" s="42" t="s">
        <v>3259</v>
      </c>
      <c r="B3287" s="42" t="s">
        <v>3481</v>
      </c>
      <c r="C3287" s="42" t="s">
        <v>9025</v>
      </c>
      <c r="D3287" s="43" t="s">
        <v>136</v>
      </c>
      <c r="E3287" s="43" t="s">
        <v>92</v>
      </c>
      <c r="F3287" s="42" t="s">
        <v>11469</v>
      </c>
      <c r="G3287" t="s">
        <v>13197</v>
      </c>
    </row>
    <row r="3288" spans="1:7" x14ac:dyDescent="0.3">
      <c r="A3288" s="42" t="s">
        <v>3259</v>
      </c>
      <c r="B3288" s="42" t="s">
        <v>3482</v>
      </c>
      <c r="C3288" s="42" t="s">
        <v>9026</v>
      </c>
      <c r="D3288" s="43" t="s">
        <v>136</v>
      </c>
      <c r="E3288" s="43" t="s">
        <v>92</v>
      </c>
      <c r="F3288" s="42" t="s">
        <v>11469</v>
      </c>
      <c r="G3288" t="s">
        <v>13197</v>
      </c>
    </row>
    <row r="3289" spans="1:7" x14ac:dyDescent="0.3">
      <c r="A3289" s="42" t="s">
        <v>3259</v>
      </c>
      <c r="B3289" s="42" t="s">
        <v>3483</v>
      </c>
      <c r="C3289" s="42" t="s">
        <v>9027</v>
      </c>
      <c r="D3289" s="43" t="s">
        <v>136</v>
      </c>
      <c r="E3289" s="43" t="s">
        <v>92</v>
      </c>
      <c r="F3289" s="42" t="s">
        <v>11469</v>
      </c>
      <c r="G3289" t="s">
        <v>13197</v>
      </c>
    </row>
    <row r="3290" spans="1:7" x14ac:dyDescent="0.3">
      <c r="A3290" s="42" t="s">
        <v>3259</v>
      </c>
      <c r="B3290" s="42" t="s">
        <v>3484</v>
      </c>
      <c r="C3290" s="42" t="s">
        <v>9028</v>
      </c>
      <c r="D3290" s="43" t="s">
        <v>136</v>
      </c>
      <c r="E3290" s="43" t="s">
        <v>92</v>
      </c>
      <c r="F3290" s="42" t="s">
        <v>11469</v>
      </c>
      <c r="G3290" t="s">
        <v>13197</v>
      </c>
    </row>
    <row r="3291" spans="1:7" x14ac:dyDescent="0.3">
      <c r="A3291" s="42" t="s">
        <v>3259</v>
      </c>
      <c r="B3291" s="42" t="s">
        <v>3485</v>
      </c>
      <c r="C3291" s="42" t="s">
        <v>9029</v>
      </c>
      <c r="D3291" s="43" t="s">
        <v>136</v>
      </c>
      <c r="E3291" s="43" t="s">
        <v>92</v>
      </c>
      <c r="F3291" s="42" t="s">
        <v>11469</v>
      </c>
      <c r="G3291" t="s">
        <v>13197</v>
      </c>
    </row>
    <row r="3292" spans="1:7" x14ac:dyDescent="0.3">
      <c r="A3292" s="42" t="s">
        <v>3259</v>
      </c>
      <c r="B3292" s="42" t="s">
        <v>3486</v>
      </c>
      <c r="C3292" s="42" t="s">
        <v>9030</v>
      </c>
      <c r="D3292" s="43" t="s">
        <v>136</v>
      </c>
      <c r="E3292" s="43" t="s">
        <v>92</v>
      </c>
      <c r="F3292" s="42" t="s">
        <v>11469</v>
      </c>
      <c r="G3292" t="s">
        <v>13197</v>
      </c>
    </row>
    <row r="3293" spans="1:7" x14ac:dyDescent="0.3">
      <c r="A3293" s="42" t="s">
        <v>3259</v>
      </c>
      <c r="B3293" s="42" t="s">
        <v>3487</v>
      </c>
      <c r="C3293" s="42" t="s">
        <v>9031</v>
      </c>
      <c r="D3293" s="43" t="s">
        <v>136</v>
      </c>
      <c r="E3293" s="43" t="s">
        <v>92</v>
      </c>
      <c r="F3293" s="42" t="s">
        <v>11469</v>
      </c>
      <c r="G3293" t="s">
        <v>13197</v>
      </c>
    </row>
    <row r="3294" spans="1:7" x14ac:dyDescent="0.3">
      <c r="A3294" s="42" t="s">
        <v>3259</v>
      </c>
      <c r="B3294" s="42" t="s">
        <v>3488</v>
      </c>
      <c r="C3294" s="42" t="s">
        <v>9032</v>
      </c>
      <c r="D3294" s="43" t="s">
        <v>136</v>
      </c>
      <c r="E3294" s="43" t="s">
        <v>92</v>
      </c>
      <c r="F3294" s="42" t="s">
        <v>11469</v>
      </c>
      <c r="G3294" t="s">
        <v>13197</v>
      </c>
    </row>
    <row r="3295" spans="1:7" x14ac:dyDescent="0.3">
      <c r="A3295" s="42" t="s">
        <v>3259</v>
      </c>
      <c r="B3295" s="42" t="s">
        <v>3489</v>
      </c>
      <c r="C3295" s="42" t="s">
        <v>9033</v>
      </c>
      <c r="D3295" s="43" t="s">
        <v>136</v>
      </c>
      <c r="E3295" s="43" t="s">
        <v>92</v>
      </c>
      <c r="F3295" s="42" t="s">
        <v>11469</v>
      </c>
      <c r="G3295" t="s">
        <v>13197</v>
      </c>
    </row>
    <row r="3296" spans="1:7" x14ac:dyDescent="0.3">
      <c r="A3296" s="42" t="s">
        <v>3259</v>
      </c>
      <c r="B3296" s="42" t="s">
        <v>3490</v>
      </c>
      <c r="C3296" s="42" t="s">
        <v>9034</v>
      </c>
      <c r="D3296" s="43" t="s">
        <v>136</v>
      </c>
      <c r="E3296" s="43" t="s">
        <v>92</v>
      </c>
      <c r="F3296" s="42" t="s">
        <v>11469</v>
      </c>
      <c r="G3296" t="s">
        <v>13197</v>
      </c>
    </row>
    <row r="3297" spans="1:7" x14ac:dyDescent="0.3">
      <c r="A3297" s="42" t="s">
        <v>3259</v>
      </c>
      <c r="B3297" s="42" t="s">
        <v>3491</v>
      </c>
      <c r="C3297" s="42" t="s">
        <v>9035</v>
      </c>
      <c r="D3297" s="43" t="s">
        <v>136</v>
      </c>
      <c r="E3297" s="43" t="s">
        <v>92</v>
      </c>
      <c r="F3297" s="42" t="s">
        <v>11469</v>
      </c>
      <c r="G3297" t="s">
        <v>13197</v>
      </c>
    </row>
    <row r="3298" spans="1:7" x14ac:dyDescent="0.3">
      <c r="A3298" s="42" t="s">
        <v>3259</v>
      </c>
      <c r="B3298" s="42" t="s">
        <v>3492</v>
      </c>
      <c r="C3298" s="42" t="s">
        <v>9036</v>
      </c>
      <c r="D3298" s="43" t="s">
        <v>136</v>
      </c>
      <c r="E3298" s="43" t="s">
        <v>92</v>
      </c>
      <c r="F3298" s="42" t="s">
        <v>11469</v>
      </c>
      <c r="G3298" t="s">
        <v>13197</v>
      </c>
    </row>
    <row r="3299" spans="1:7" x14ac:dyDescent="0.3">
      <c r="A3299" s="42" t="s">
        <v>3259</v>
      </c>
      <c r="B3299" s="42" t="s">
        <v>3493</v>
      </c>
      <c r="C3299" s="42" t="s">
        <v>9037</v>
      </c>
      <c r="D3299" s="43" t="s">
        <v>136</v>
      </c>
      <c r="E3299" s="43" t="s">
        <v>92</v>
      </c>
      <c r="F3299" s="42" t="s">
        <v>11469</v>
      </c>
      <c r="G3299" t="s">
        <v>13197</v>
      </c>
    </row>
    <row r="3300" spans="1:7" x14ac:dyDescent="0.3">
      <c r="A3300" s="42" t="s">
        <v>3259</v>
      </c>
      <c r="B3300" s="42" t="s">
        <v>3494</v>
      </c>
      <c r="C3300" s="42" t="s">
        <v>9038</v>
      </c>
      <c r="D3300" s="43" t="s">
        <v>136</v>
      </c>
      <c r="E3300" s="43" t="s">
        <v>92</v>
      </c>
      <c r="F3300" s="42" t="s">
        <v>11469</v>
      </c>
      <c r="G3300" t="s">
        <v>13197</v>
      </c>
    </row>
    <row r="3301" spans="1:7" x14ac:dyDescent="0.3">
      <c r="A3301" s="42" t="s">
        <v>3259</v>
      </c>
      <c r="B3301" s="42" t="s">
        <v>3495</v>
      </c>
      <c r="C3301" s="42" t="s">
        <v>9039</v>
      </c>
      <c r="D3301" s="43" t="s">
        <v>136</v>
      </c>
      <c r="E3301" s="43" t="s">
        <v>92</v>
      </c>
      <c r="F3301" s="42" t="s">
        <v>11469</v>
      </c>
      <c r="G3301" t="s">
        <v>13197</v>
      </c>
    </row>
    <row r="3302" spans="1:7" x14ac:dyDescent="0.3">
      <c r="A3302" s="42" t="s">
        <v>3259</v>
      </c>
      <c r="B3302" s="42" t="s">
        <v>3496</v>
      </c>
      <c r="C3302" s="42" t="s">
        <v>9040</v>
      </c>
      <c r="D3302" s="43" t="s">
        <v>136</v>
      </c>
      <c r="E3302" s="43" t="s">
        <v>92</v>
      </c>
      <c r="F3302" s="42" t="s">
        <v>11469</v>
      </c>
      <c r="G3302" t="s">
        <v>13197</v>
      </c>
    </row>
    <row r="3303" spans="1:7" x14ac:dyDescent="0.3">
      <c r="A3303" s="42" t="s">
        <v>3259</v>
      </c>
      <c r="B3303" s="42" t="s">
        <v>3497</v>
      </c>
      <c r="C3303" s="42" t="s">
        <v>9041</v>
      </c>
      <c r="D3303" s="43" t="s">
        <v>136</v>
      </c>
      <c r="E3303" s="43" t="s">
        <v>92</v>
      </c>
      <c r="F3303" s="42" t="s">
        <v>11469</v>
      </c>
      <c r="G3303" t="s">
        <v>13197</v>
      </c>
    </row>
    <row r="3304" spans="1:7" x14ac:dyDescent="0.3">
      <c r="A3304" s="42" t="s">
        <v>3259</v>
      </c>
      <c r="B3304" s="42" t="s">
        <v>3498</v>
      </c>
      <c r="C3304" s="42" t="s">
        <v>9042</v>
      </c>
      <c r="D3304" s="43" t="s">
        <v>136</v>
      </c>
      <c r="E3304" s="43" t="s">
        <v>92</v>
      </c>
      <c r="F3304" s="42" t="s">
        <v>11469</v>
      </c>
      <c r="G3304" t="s">
        <v>13197</v>
      </c>
    </row>
    <row r="3305" spans="1:7" x14ac:dyDescent="0.3">
      <c r="A3305" s="42" t="s">
        <v>3259</v>
      </c>
      <c r="B3305" s="42" t="s">
        <v>3499</v>
      </c>
      <c r="C3305" s="42" t="s">
        <v>9043</v>
      </c>
      <c r="D3305" s="43" t="s">
        <v>136</v>
      </c>
      <c r="E3305" s="43" t="s">
        <v>92</v>
      </c>
      <c r="F3305" s="42" t="s">
        <v>11469</v>
      </c>
      <c r="G3305" t="s">
        <v>13197</v>
      </c>
    </row>
    <row r="3306" spans="1:7" x14ac:dyDescent="0.3">
      <c r="A3306" s="42" t="s">
        <v>3259</v>
      </c>
      <c r="B3306" s="42" t="s">
        <v>3500</v>
      </c>
      <c r="C3306" s="42" t="s">
        <v>9044</v>
      </c>
      <c r="D3306" s="43" t="s">
        <v>136</v>
      </c>
      <c r="E3306" s="43" t="s">
        <v>92</v>
      </c>
      <c r="F3306" s="42" t="s">
        <v>11469</v>
      </c>
      <c r="G3306" t="s">
        <v>13197</v>
      </c>
    </row>
    <row r="3307" spans="1:7" x14ac:dyDescent="0.3">
      <c r="A3307" s="42" t="s">
        <v>3259</v>
      </c>
      <c r="B3307" s="42" t="s">
        <v>3501</v>
      </c>
      <c r="C3307" s="42" t="s">
        <v>9045</v>
      </c>
      <c r="D3307" s="43" t="s">
        <v>136</v>
      </c>
      <c r="E3307" s="43" t="s">
        <v>92</v>
      </c>
      <c r="F3307" s="42" t="s">
        <v>11469</v>
      </c>
      <c r="G3307" t="s">
        <v>13197</v>
      </c>
    </row>
    <row r="3308" spans="1:7" x14ac:dyDescent="0.3">
      <c r="A3308" s="42" t="s">
        <v>3259</v>
      </c>
      <c r="B3308" s="42" t="s">
        <v>3502</v>
      </c>
      <c r="C3308" s="42" t="s">
        <v>9046</v>
      </c>
      <c r="D3308" s="43" t="s">
        <v>136</v>
      </c>
      <c r="E3308" s="43" t="s">
        <v>92</v>
      </c>
      <c r="F3308" s="42" t="s">
        <v>11469</v>
      </c>
      <c r="G3308" t="s">
        <v>13197</v>
      </c>
    </row>
    <row r="3309" spans="1:7" x14ac:dyDescent="0.3">
      <c r="A3309" s="42" t="s">
        <v>3259</v>
      </c>
      <c r="B3309" s="42" t="s">
        <v>3503</v>
      </c>
      <c r="C3309" s="42" t="s">
        <v>9047</v>
      </c>
      <c r="D3309" s="43" t="s">
        <v>136</v>
      </c>
      <c r="E3309" s="43" t="s">
        <v>92</v>
      </c>
      <c r="F3309" s="42" t="s">
        <v>11469</v>
      </c>
      <c r="G3309" t="s">
        <v>13197</v>
      </c>
    </row>
    <row r="3310" spans="1:7" x14ac:dyDescent="0.3">
      <c r="A3310" s="42" t="s">
        <v>3259</v>
      </c>
      <c r="B3310" s="42" t="s">
        <v>3504</v>
      </c>
      <c r="C3310" s="42" t="s">
        <v>9048</v>
      </c>
      <c r="D3310" s="43" t="s">
        <v>136</v>
      </c>
      <c r="E3310" s="43" t="s">
        <v>92</v>
      </c>
      <c r="F3310" s="42" t="s">
        <v>11469</v>
      </c>
      <c r="G3310" t="s">
        <v>13197</v>
      </c>
    </row>
    <row r="3311" spans="1:7" x14ac:dyDescent="0.3">
      <c r="A3311" s="42" t="s">
        <v>3259</v>
      </c>
      <c r="B3311" s="42" t="s">
        <v>3505</v>
      </c>
      <c r="C3311" s="42" t="s">
        <v>9049</v>
      </c>
      <c r="D3311" s="43" t="s">
        <v>136</v>
      </c>
      <c r="E3311" s="43" t="s">
        <v>92</v>
      </c>
      <c r="F3311" s="42" t="s">
        <v>11469</v>
      </c>
      <c r="G3311" t="s">
        <v>13197</v>
      </c>
    </row>
    <row r="3312" spans="1:7" x14ac:dyDescent="0.3">
      <c r="A3312" s="42" t="s">
        <v>3259</v>
      </c>
      <c r="B3312" s="42" t="s">
        <v>3506</v>
      </c>
      <c r="C3312" s="42" t="s">
        <v>9050</v>
      </c>
      <c r="D3312" s="43" t="s">
        <v>136</v>
      </c>
      <c r="E3312" s="43" t="s">
        <v>92</v>
      </c>
      <c r="F3312" s="42" t="s">
        <v>11469</v>
      </c>
      <c r="G3312" t="s">
        <v>13197</v>
      </c>
    </row>
    <row r="3313" spans="1:7" x14ac:dyDescent="0.3">
      <c r="A3313" s="42" t="s">
        <v>3259</v>
      </c>
      <c r="B3313" s="42" t="s">
        <v>3507</v>
      </c>
      <c r="C3313" s="42" t="s">
        <v>9051</v>
      </c>
      <c r="D3313" s="43" t="s">
        <v>136</v>
      </c>
      <c r="E3313" s="43" t="s">
        <v>92</v>
      </c>
      <c r="F3313" s="42" t="s">
        <v>192</v>
      </c>
      <c r="G3313" t="s">
        <v>13196</v>
      </c>
    </row>
    <row r="3314" spans="1:7" x14ac:dyDescent="0.3">
      <c r="A3314" s="42" t="s">
        <v>3259</v>
      </c>
      <c r="B3314" s="42" t="s">
        <v>3508</v>
      </c>
      <c r="C3314" s="42" t="s">
        <v>9052</v>
      </c>
      <c r="D3314" s="43" t="s">
        <v>136</v>
      </c>
      <c r="E3314" s="43" t="s">
        <v>92</v>
      </c>
      <c r="F3314" s="42" t="s">
        <v>11469</v>
      </c>
      <c r="G3314" t="s">
        <v>13197</v>
      </c>
    </row>
    <row r="3315" spans="1:7" x14ac:dyDescent="0.3">
      <c r="A3315" s="42" t="s">
        <v>3259</v>
      </c>
      <c r="B3315" s="42" t="s">
        <v>3509</v>
      </c>
      <c r="C3315" s="42" t="s">
        <v>9053</v>
      </c>
      <c r="D3315" s="43" t="s">
        <v>136</v>
      </c>
      <c r="E3315" s="43" t="s">
        <v>92</v>
      </c>
      <c r="F3315" s="42" t="s">
        <v>11469</v>
      </c>
      <c r="G3315" t="s">
        <v>13197</v>
      </c>
    </row>
    <row r="3316" spans="1:7" x14ac:dyDescent="0.3">
      <c r="A3316" s="42" t="s">
        <v>3259</v>
      </c>
      <c r="B3316" s="42" t="s">
        <v>3510</v>
      </c>
      <c r="C3316" s="42" t="s">
        <v>9054</v>
      </c>
      <c r="D3316" s="43" t="s">
        <v>136</v>
      </c>
      <c r="E3316" s="43" t="s">
        <v>92</v>
      </c>
      <c r="F3316" s="42" t="s">
        <v>11469</v>
      </c>
      <c r="G3316" t="s">
        <v>13197</v>
      </c>
    </row>
    <row r="3317" spans="1:7" x14ac:dyDescent="0.3">
      <c r="A3317" s="42" t="s">
        <v>3259</v>
      </c>
      <c r="B3317" s="42" t="s">
        <v>3511</v>
      </c>
      <c r="C3317" s="42" t="s">
        <v>9055</v>
      </c>
      <c r="D3317" s="43" t="s">
        <v>136</v>
      </c>
      <c r="E3317" s="43" t="s">
        <v>92</v>
      </c>
      <c r="F3317" s="42" t="s">
        <v>11469</v>
      </c>
      <c r="G3317" t="s">
        <v>13197</v>
      </c>
    </row>
    <row r="3318" spans="1:7" x14ac:dyDescent="0.3">
      <c r="A3318" s="42" t="s">
        <v>3259</v>
      </c>
      <c r="B3318" s="42" t="s">
        <v>3512</v>
      </c>
      <c r="C3318" s="42" t="s">
        <v>9056</v>
      </c>
      <c r="D3318" s="43" t="s">
        <v>136</v>
      </c>
      <c r="E3318" s="43" t="s">
        <v>92</v>
      </c>
      <c r="F3318" s="42" t="s">
        <v>11469</v>
      </c>
      <c r="G3318" t="s">
        <v>13197</v>
      </c>
    </row>
    <row r="3319" spans="1:7" x14ac:dyDescent="0.3">
      <c r="A3319" s="42" t="s">
        <v>3259</v>
      </c>
      <c r="B3319" s="42" t="s">
        <v>3513</v>
      </c>
      <c r="C3319" s="42" t="s">
        <v>9057</v>
      </c>
      <c r="D3319" s="43" t="s">
        <v>136</v>
      </c>
      <c r="E3319" s="43" t="s">
        <v>92</v>
      </c>
      <c r="F3319" s="42" t="s">
        <v>11469</v>
      </c>
      <c r="G3319" t="s">
        <v>13197</v>
      </c>
    </row>
    <row r="3320" spans="1:7" x14ac:dyDescent="0.3">
      <c r="A3320" s="42" t="s">
        <v>3259</v>
      </c>
      <c r="B3320" s="42" t="s">
        <v>3514</v>
      </c>
      <c r="C3320" s="42" t="s">
        <v>9058</v>
      </c>
      <c r="D3320" s="43" t="s">
        <v>136</v>
      </c>
      <c r="E3320" s="43" t="s">
        <v>92</v>
      </c>
      <c r="F3320" s="42" t="s">
        <v>11469</v>
      </c>
      <c r="G3320" t="s">
        <v>13197</v>
      </c>
    </row>
    <row r="3321" spans="1:7" x14ac:dyDescent="0.3">
      <c r="A3321" s="42" t="s">
        <v>3259</v>
      </c>
      <c r="B3321" s="42" t="s">
        <v>3515</v>
      </c>
      <c r="C3321" s="42" t="s">
        <v>9059</v>
      </c>
      <c r="D3321" s="43" t="s">
        <v>136</v>
      </c>
      <c r="E3321" s="43" t="s">
        <v>92</v>
      </c>
      <c r="F3321" s="42" t="s">
        <v>11469</v>
      </c>
      <c r="G3321" t="s">
        <v>13197</v>
      </c>
    </row>
    <row r="3322" spans="1:7" x14ac:dyDescent="0.3">
      <c r="A3322" s="42" t="s">
        <v>3259</v>
      </c>
      <c r="B3322" s="42" t="s">
        <v>3516</v>
      </c>
      <c r="C3322" s="42" t="s">
        <v>9060</v>
      </c>
      <c r="D3322" s="43" t="s">
        <v>136</v>
      </c>
      <c r="E3322" s="43" t="s">
        <v>92</v>
      </c>
      <c r="F3322" s="42" t="s">
        <v>11469</v>
      </c>
      <c r="G3322" t="s">
        <v>13197</v>
      </c>
    </row>
    <row r="3323" spans="1:7" x14ac:dyDescent="0.3">
      <c r="A3323" s="42" t="s">
        <v>3259</v>
      </c>
      <c r="B3323" s="42" t="s">
        <v>3517</v>
      </c>
      <c r="C3323" s="42" t="s">
        <v>9061</v>
      </c>
      <c r="D3323" s="43" t="s">
        <v>136</v>
      </c>
      <c r="E3323" s="43" t="s">
        <v>92</v>
      </c>
      <c r="F3323" s="42" t="s">
        <v>11469</v>
      </c>
      <c r="G3323" t="s">
        <v>13197</v>
      </c>
    </row>
    <row r="3324" spans="1:7" x14ac:dyDescent="0.3">
      <c r="A3324" s="42" t="s">
        <v>3259</v>
      </c>
      <c r="B3324" s="42" t="s">
        <v>3518</v>
      </c>
      <c r="C3324" s="42" t="s">
        <v>9062</v>
      </c>
      <c r="D3324" s="43" t="s">
        <v>136</v>
      </c>
      <c r="E3324" s="43" t="s">
        <v>92</v>
      </c>
      <c r="F3324" s="42" t="s">
        <v>11469</v>
      </c>
      <c r="G3324" t="s">
        <v>13197</v>
      </c>
    </row>
    <row r="3325" spans="1:7" x14ac:dyDescent="0.3">
      <c r="A3325" s="42" t="s">
        <v>3259</v>
      </c>
      <c r="B3325" s="42" t="s">
        <v>3519</v>
      </c>
      <c r="C3325" s="42" t="s">
        <v>9063</v>
      </c>
      <c r="D3325" s="43" t="s">
        <v>136</v>
      </c>
      <c r="E3325" s="43" t="s">
        <v>92</v>
      </c>
      <c r="F3325" s="42" t="s">
        <v>11469</v>
      </c>
      <c r="G3325" t="s">
        <v>13197</v>
      </c>
    </row>
    <row r="3326" spans="1:7" x14ac:dyDescent="0.3">
      <c r="A3326" s="42" t="s">
        <v>3259</v>
      </c>
      <c r="B3326" s="42" t="s">
        <v>3520</v>
      </c>
      <c r="C3326" s="42" t="s">
        <v>9064</v>
      </c>
      <c r="D3326" s="43" t="s">
        <v>136</v>
      </c>
      <c r="E3326" s="43" t="s">
        <v>92</v>
      </c>
      <c r="F3326" s="42" t="s">
        <v>11469</v>
      </c>
      <c r="G3326" t="s">
        <v>13197</v>
      </c>
    </row>
    <row r="3327" spans="1:7" x14ac:dyDescent="0.3">
      <c r="A3327" s="42" t="s">
        <v>3259</v>
      </c>
      <c r="B3327" s="42" t="s">
        <v>3521</v>
      </c>
      <c r="C3327" s="42" t="s">
        <v>9065</v>
      </c>
      <c r="D3327" s="43" t="s">
        <v>136</v>
      </c>
      <c r="E3327" s="43" t="s">
        <v>92</v>
      </c>
      <c r="F3327" s="42" t="s">
        <v>11469</v>
      </c>
      <c r="G3327" t="s">
        <v>13197</v>
      </c>
    </row>
    <row r="3328" spans="1:7" x14ac:dyDescent="0.3">
      <c r="A3328" s="42" t="s">
        <v>3259</v>
      </c>
      <c r="B3328" s="42" t="s">
        <v>3522</v>
      </c>
      <c r="C3328" s="42" t="s">
        <v>9066</v>
      </c>
      <c r="D3328" s="43" t="s">
        <v>136</v>
      </c>
      <c r="E3328" s="43" t="s">
        <v>92</v>
      </c>
      <c r="F3328" s="42" t="s">
        <v>11469</v>
      </c>
      <c r="G3328" t="s">
        <v>13197</v>
      </c>
    </row>
    <row r="3329" spans="1:7" x14ac:dyDescent="0.3">
      <c r="A3329" s="42" t="s">
        <v>3259</v>
      </c>
      <c r="B3329" s="42" t="s">
        <v>3523</v>
      </c>
      <c r="C3329" s="42" t="s">
        <v>9067</v>
      </c>
      <c r="D3329" s="43" t="s">
        <v>136</v>
      </c>
      <c r="E3329" s="43" t="s">
        <v>92</v>
      </c>
      <c r="F3329" s="42" t="s">
        <v>192</v>
      </c>
      <c r="G3329" t="s">
        <v>13196</v>
      </c>
    </row>
    <row r="3330" spans="1:7" x14ac:dyDescent="0.3">
      <c r="A3330" s="42" t="s">
        <v>3259</v>
      </c>
      <c r="B3330" s="42" t="s">
        <v>3524</v>
      </c>
      <c r="C3330" s="42" t="s">
        <v>9068</v>
      </c>
      <c r="D3330" s="43" t="s">
        <v>136</v>
      </c>
      <c r="E3330" s="43" t="s">
        <v>92</v>
      </c>
      <c r="F3330" s="42" t="s">
        <v>11469</v>
      </c>
      <c r="G3330" t="s">
        <v>13197</v>
      </c>
    </row>
    <row r="3331" spans="1:7" x14ac:dyDescent="0.3">
      <c r="A3331" s="42" t="s">
        <v>3259</v>
      </c>
      <c r="B3331" s="42" t="s">
        <v>3525</v>
      </c>
      <c r="C3331" s="42" t="s">
        <v>9069</v>
      </c>
      <c r="D3331" s="43" t="s">
        <v>136</v>
      </c>
      <c r="E3331" s="43" t="s">
        <v>92</v>
      </c>
      <c r="F3331" s="42" t="s">
        <v>11469</v>
      </c>
      <c r="G3331" t="s">
        <v>13197</v>
      </c>
    </row>
    <row r="3332" spans="1:7" x14ac:dyDescent="0.3">
      <c r="A3332" s="42" t="s">
        <v>3259</v>
      </c>
      <c r="B3332" s="42" t="s">
        <v>3526</v>
      </c>
      <c r="C3332" s="42" t="s">
        <v>9070</v>
      </c>
      <c r="D3332" s="43" t="s">
        <v>136</v>
      </c>
      <c r="E3332" s="43" t="s">
        <v>92</v>
      </c>
      <c r="F3332" s="42" t="s">
        <v>11469</v>
      </c>
      <c r="G3332" t="s">
        <v>13197</v>
      </c>
    </row>
    <row r="3333" spans="1:7" x14ac:dyDescent="0.3">
      <c r="A3333" s="42" t="s">
        <v>3259</v>
      </c>
      <c r="B3333" s="42" t="s">
        <v>3527</v>
      </c>
      <c r="C3333" s="42" t="s">
        <v>9071</v>
      </c>
      <c r="D3333" s="43" t="s">
        <v>136</v>
      </c>
      <c r="E3333" s="43" t="s">
        <v>92</v>
      </c>
      <c r="F3333" s="42" t="s">
        <v>11469</v>
      </c>
      <c r="G3333" t="s">
        <v>13197</v>
      </c>
    </row>
    <row r="3334" spans="1:7" x14ac:dyDescent="0.3">
      <c r="A3334" s="42" t="s">
        <v>3259</v>
      </c>
      <c r="B3334" s="42" t="s">
        <v>3528</v>
      </c>
      <c r="C3334" s="42" t="s">
        <v>9072</v>
      </c>
      <c r="D3334" s="43" t="s">
        <v>136</v>
      </c>
      <c r="E3334" s="43" t="s">
        <v>92</v>
      </c>
      <c r="F3334" s="42" t="s">
        <v>11469</v>
      </c>
      <c r="G3334" t="s">
        <v>13197</v>
      </c>
    </row>
    <row r="3335" spans="1:7" x14ac:dyDescent="0.3">
      <c r="A3335" s="42" t="s">
        <v>3259</v>
      </c>
      <c r="B3335" s="42" t="s">
        <v>3529</v>
      </c>
      <c r="C3335" s="42" t="s">
        <v>9073</v>
      </c>
      <c r="D3335" s="43" t="s">
        <v>136</v>
      </c>
      <c r="E3335" s="43" t="s">
        <v>92</v>
      </c>
      <c r="F3335" s="42" t="s">
        <v>11469</v>
      </c>
      <c r="G3335" t="s">
        <v>13197</v>
      </c>
    </row>
    <row r="3336" spans="1:7" x14ac:dyDescent="0.3">
      <c r="A3336" s="42" t="s">
        <v>3259</v>
      </c>
      <c r="B3336" s="42" t="s">
        <v>3530</v>
      </c>
      <c r="C3336" s="42" t="s">
        <v>9074</v>
      </c>
      <c r="D3336" s="43" t="s">
        <v>136</v>
      </c>
      <c r="E3336" s="43" t="s">
        <v>92</v>
      </c>
      <c r="F3336" s="42" t="s">
        <v>11469</v>
      </c>
      <c r="G3336" t="s">
        <v>13197</v>
      </c>
    </row>
    <row r="3337" spans="1:7" x14ac:dyDescent="0.3">
      <c r="A3337" s="42" t="s">
        <v>3259</v>
      </c>
      <c r="B3337" s="42" t="s">
        <v>3531</v>
      </c>
      <c r="C3337" s="42" t="s">
        <v>9075</v>
      </c>
      <c r="D3337" s="43" t="s">
        <v>136</v>
      </c>
      <c r="E3337" s="43" t="s">
        <v>92</v>
      </c>
      <c r="F3337" s="42" t="s">
        <v>11469</v>
      </c>
      <c r="G3337" t="s">
        <v>13197</v>
      </c>
    </row>
    <row r="3338" spans="1:7" x14ac:dyDescent="0.3">
      <c r="A3338" s="42" t="s">
        <v>3259</v>
      </c>
      <c r="B3338" s="42" t="s">
        <v>3532</v>
      </c>
      <c r="C3338" s="42" t="s">
        <v>9076</v>
      </c>
      <c r="D3338" s="43" t="s">
        <v>136</v>
      </c>
      <c r="E3338" s="43" t="s">
        <v>92</v>
      </c>
      <c r="F3338" s="42" t="s">
        <v>11469</v>
      </c>
      <c r="G3338" t="s">
        <v>13197</v>
      </c>
    </row>
    <row r="3339" spans="1:7" x14ac:dyDescent="0.3">
      <c r="A3339" s="42" t="s">
        <v>3259</v>
      </c>
      <c r="B3339" s="42" t="s">
        <v>3533</v>
      </c>
      <c r="C3339" s="42" t="s">
        <v>9077</v>
      </c>
      <c r="D3339" s="43" t="s">
        <v>136</v>
      </c>
      <c r="E3339" s="43" t="s">
        <v>92</v>
      </c>
      <c r="F3339" s="42" t="s">
        <v>11469</v>
      </c>
      <c r="G3339" t="s">
        <v>13197</v>
      </c>
    </row>
    <row r="3340" spans="1:7" x14ac:dyDescent="0.3">
      <c r="A3340" s="42" t="s">
        <v>3259</v>
      </c>
      <c r="B3340" s="42" t="s">
        <v>3534</v>
      </c>
      <c r="C3340" s="42" t="s">
        <v>9078</v>
      </c>
      <c r="D3340" s="43" t="s">
        <v>136</v>
      </c>
      <c r="E3340" s="43" t="s">
        <v>92</v>
      </c>
      <c r="F3340" s="42" t="s">
        <v>11469</v>
      </c>
      <c r="G3340" t="s">
        <v>13197</v>
      </c>
    </row>
    <row r="3341" spans="1:7" x14ac:dyDescent="0.3">
      <c r="A3341" s="42" t="s">
        <v>3259</v>
      </c>
      <c r="B3341" s="42" t="s">
        <v>3535</v>
      </c>
      <c r="C3341" s="42" t="s">
        <v>9079</v>
      </c>
      <c r="D3341" s="43" t="s">
        <v>136</v>
      </c>
      <c r="E3341" s="43" t="s">
        <v>92</v>
      </c>
      <c r="F3341" s="42" t="s">
        <v>11469</v>
      </c>
      <c r="G3341" t="s">
        <v>13197</v>
      </c>
    </row>
    <row r="3342" spans="1:7" x14ac:dyDescent="0.3">
      <c r="A3342" s="42" t="s">
        <v>3259</v>
      </c>
      <c r="B3342" s="42" t="s">
        <v>3536</v>
      </c>
      <c r="C3342" s="42" t="s">
        <v>9080</v>
      </c>
      <c r="D3342" s="43" t="s">
        <v>136</v>
      </c>
      <c r="E3342" s="43" t="s">
        <v>92</v>
      </c>
      <c r="F3342" s="42" t="s">
        <v>11469</v>
      </c>
      <c r="G3342" t="s">
        <v>13197</v>
      </c>
    </row>
    <row r="3343" spans="1:7" x14ac:dyDescent="0.3">
      <c r="A3343" s="42" t="s">
        <v>3259</v>
      </c>
      <c r="B3343" s="42" t="s">
        <v>3537</v>
      </c>
      <c r="C3343" s="42" t="s">
        <v>9081</v>
      </c>
      <c r="D3343" s="43" t="s">
        <v>136</v>
      </c>
      <c r="E3343" s="43" t="s">
        <v>92</v>
      </c>
      <c r="F3343" s="42" t="s">
        <v>11469</v>
      </c>
      <c r="G3343" t="s">
        <v>13197</v>
      </c>
    </row>
    <row r="3344" spans="1:7" x14ac:dyDescent="0.3">
      <c r="A3344" s="42" t="s">
        <v>3259</v>
      </c>
      <c r="B3344" s="42" t="s">
        <v>3538</v>
      </c>
      <c r="C3344" s="42" t="s">
        <v>9082</v>
      </c>
      <c r="D3344" s="43" t="s">
        <v>136</v>
      </c>
      <c r="E3344" s="43" t="s">
        <v>92</v>
      </c>
      <c r="F3344" s="42" t="s">
        <v>11469</v>
      </c>
      <c r="G3344" t="s">
        <v>13197</v>
      </c>
    </row>
    <row r="3345" spans="1:7" x14ac:dyDescent="0.3">
      <c r="A3345" s="42" t="s">
        <v>3259</v>
      </c>
      <c r="B3345" s="42" t="s">
        <v>3539</v>
      </c>
      <c r="C3345" s="42" t="s">
        <v>9083</v>
      </c>
      <c r="D3345" s="43" t="s">
        <v>136</v>
      </c>
      <c r="E3345" s="43" t="s">
        <v>92</v>
      </c>
      <c r="F3345" s="42" t="s">
        <v>11469</v>
      </c>
      <c r="G3345" t="s">
        <v>13197</v>
      </c>
    </row>
    <row r="3346" spans="1:7" x14ac:dyDescent="0.3">
      <c r="A3346" s="42" t="s">
        <v>3259</v>
      </c>
      <c r="B3346" s="42" t="s">
        <v>3540</v>
      </c>
      <c r="C3346" s="42" t="s">
        <v>9084</v>
      </c>
      <c r="D3346" s="43" t="s">
        <v>136</v>
      </c>
      <c r="E3346" s="43" t="s">
        <v>92</v>
      </c>
      <c r="F3346" s="42" t="s">
        <v>11469</v>
      </c>
      <c r="G3346" t="s">
        <v>13197</v>
      </c>
    </row>
    <row r="3347" spans="1:7" x14ac:dyDescent="0.3">
      <c r="A3347" s="42" t="s">
        <v>3259</v>
      </c>
      <c r="B3347" s="42" t="s">
        <v>3541</v>
      </c>
      <c r="C3347" s="42" t="s">
        <v>9085</v>
      </c>
      <c r="D3347" s="43" t="s">
        <v>136</v>
      </c>
      <c r="E3347" s="43" t="s">
        <v>92</v>
      </c>
      <c r="F3347" s="42" t="s">
        <v>11469</v>
      </c>
      <c r="G3347" t="s">
        <v>13197</v>
      </c>
    </row>
    <row r="3348" spans="1:7" x14ac:dyDescent="0.3">
      <c r="A3348" s="42" t="s">
        <v>3259</v>
      </c>
      <c r="B3348" s="42" t="s">
        <v>3542</v>
      </c>
      <c r="C3348" s="42" t="s">
        <v>9086</v>
      </c>
      <c r="D3348" s="43" t="s">
        <v>136</v>
      </c>
      <c r="E3348" s="43" t="s">
        <v>92</v>
      </c>
      <c r="F3348" s="42" t="s">
        <v>11469</v>
      </c>
      <c r="G3348" t="s">
        <v>13198</v>
      </c>
    </row>
    <row r="3349" spans="1:7" x14ac:dyDescent="0.3">
      <c r="A3349" s="42" t="s">
        <v>3259</v>
      </c>
      <c r="B3349" s="42" t="s">
        <v>3543</v>
      </c>
      <c r="C3349" s="42" t="s">
        <v>9087</v>
      </c>
      <c r="D3349" s="43" t="s">
        <v>136</v>
      </c>
      <c r="E3349" s="43" t="s">
        <v>92</v>
      </c>
      <c r="F3349" s="42" t="s">
        <v>11469</v>
      </c>
      <c r="G3349" t="s">
        <v>13197</v>
      </c>
    </row>
    <row r="3350" spans="1:7" x14ac:dyDescent="0.3">
      <c r="A3350" s="42" t="s">
        <v>3259</v>
      </c>
      <c r="B3350" s="42" t="s">
        <v>3544</v>
      </c>
      <c r="C3350" s="42" t="s">
        <v>9088</v>
      </c>
      <c r="D3350" s="43" t="s">
        <v>136</v>
      </c>
      <c r="E3350" s="43" t="s">
        <v>92</v>
      </c>
      <c r="F3350" s="42" t="s">
        <v>11469</v>
      </c>
      <c r="G3350" t="s">
        <v>13197</v>
      </c>
    </row>
    <row r="3351" spans="1:7" x14ac:dyDescent="0.3">
      <c r="A3351" s="42" t="s">
        <v>3259</v>
      </c>
      <c r="B3351" s="42" t="s">
        <v>3545</v>
      </c>
      <c r="C3351" s="42" t="s">
        <v>9089</v>
      </c>
      <c r="D3351" s="43" t="s">
        <v>136</v>
      </c>
      <c r="E3351" s="43" t="s">
        <v>92</v>
      </c>
      <c r="F3351" s="42" t="s">
        <v>11469</v>
      </c>
      <c r="G3351" t="s">
        <v>13197</v>
      </c>
    </row>
    <row r="3352" spans="1:7" x14ac:dyDescent="0.3">
      <c r="A3352" s="42" t="s">
        <v>3259</v>
      </c>
      <c r="B3352" s="42" t="s">
        <v>3546</v>
      </c>
      <c r="C3352" s="42" t="s">
        <v>9090</v>
      </c>
      <c r="D3352" s="43" t="s">
        <v>136</v>
      </c>
      <c r="E3352" s="43" t="s">
        <v>92</v>
      </c>
      <c r="F3352" s="42" t="s">
        <v>11469</v>
      </c>
      <c r="G3352" t="s">
        <v>13197</v>
      </c>
    </row>
    <row r="3353" spans="1:7" x14ac:dyDescent="0.3">
      <c r="A3353" s="42" t="s">
        <v>3259</v>
      </c>
      <c r="B3353" s="42" t="s">
        <v>3547</v>
      </c>
      <c r="C3353" s="42" t="s">
        <v>9091</v>
      </c>
      <c r="D3353" s="43" t="s">
        <v>136</v>
      </c>
      <c r="E3353" s="43" t="s">
        <v>92</v>
      </c>
      <c r="F3353" s="42" t="s">
        <v>192</v>
      </c>
      <c r="G3353" t="s">
        <v>13196</v>
      </c>
    </row>
    <row r="3354" spans="1:7" x14ac:dyDescent="0.3">
      <c r="A3354" s="42" t="s">
        <v>3259</v>
      </c>
      <c r="B3354" s="42" t="s">
        <v>3548</v>
      </c>
      <c r="C3354" s="42" t="s">
        <v>9092</v>
      </c>
      <c r="D3354" s="43" t="s">
        <v>136</v>
      </c>
      <c r="E3354" s="43" t="s">
        <v>92</v>
      </c>
      <c r="F3354" s="42" t="s">
        <v>11469</v>
      </c>
      <c r="G3354" t="s">
        <v>13197</v>
      </c>
    </row>
    <row r="3355" spans="1:7" x14ac:dyDescent="0.3">
      <c r="A3355" s="42" t="s">
        <v>3259</v>
      </c>
      <c r="B3355" s="42" t="s">
        <v>3549</v>
      </c>
      <c r="C3355" s="42" t="s">
        <v>9093</v>
      </c>
      <c r="D3355" s="43" t="s">
        <v>136</v>
      </c>
      <c r="E3355" s="43" t="s">
        <v>92</v>
      </c>
      <c r="F3355" s="42" t="s">
        <v>192</v>
      </c>
      <c r="G3355" t="s">
        <v>13196</v>
      </c>
    </row>
    <row r="3356" spans="1:7" x14ac:dyDescent="0.3">
      <c r="A3356" s="42" t="s">
        <v>3259</v>
      </c>
      <c r="B3356" s="42" t="s">
        <v>3550</v>
      </c>
      <c r="C3356" s="42" t="s">
        <v>9094</v>
      </c>
      <c r="D3356" s="43" t="s">
        <v>136</v>
      </c>
      <c r="E3356" s="43" t="s">
        <v>92</v>
      </c>
      <c r="F3356" s="42" t="s">
        <v>192</v>
      </c>
      <c r="G3356" t="s">
        <v>13196</v>
      </c>
    </row>
    <row r="3357" spans="1:7" x14ac:dyDescent="0.3">
      <c r="A3357" s="42" t="s">
        <v>3259</v>
      </c>
      <c r="B3357" s="42" t="s">
        <v>3551</v>
      </c>
      <c r="C3357" s="42" t="s">
        <v>9095</v>
      </c>
      <c r="D3357" s="43" t="s">
        <v>136</v>
      </c>
      <c r="E3357" s="43" t="s">
        <v>92</v>
      </c>
      <c r="F3357" s="42" t="s">
        <v>11469</v>
      </c>
      <c r="G3357" t="s">
        <v>13197</v>
      </c>
    </row>
    <row r="3358" spans="1:7" x14ac:dyDescent="0.3">
      <c r="A3358" s="42" t="s">
        <v>3259</v>
      </c>
      <c r="B3358" s="42" t="s">
        <v>3552</v>
      </c>
      <c r="C3358" s="42" t="s">
        <v>9096</v>
      </c>
      <c r="D3358" s="43" t="s">
        <v>136</v>
      </c>
      <c r="E3358" s="43" t="s">
        <v>92</v>
      </c>
      <c r="F3358" s="42" t="s">
        <v>11469</v>
      </c>
      <c r="G3358" t="s">
        <v>13197</v>
      </c>
    </row>
    <row r="3359" spans="1:7" x14ac:dyDescent="0.3">
      <c r="A3359" s="42" t="s">
        <v>3259</v>
      </c>
      <c r="B3359" s="42" t="s">
        <v>1262</v>
      </c>
      <c r="C3359" s="42" t="s">
        <v>9097</v>
      </c>
      <c r="D3359" s="43" t="s">
        <v>136</v>
      </c>
      <c r="E3359" s="43" t="s">
        <v>92</v>
      </c>
      <c r="F3359" s="42" t="s">
        <v>11469</v>
      </c>
      <c r="G3359" t="s">
        <v>13197</v>
      </c>
    </row>
    <row r="3360" spans="1:7" x14ac:dyDescent="0.3">
      <c r="A3360" s="42" t="s">
        <v>3259</v>
      </c>
      <c r="B3360" s="42" t="s">
        <v>3553</v>
      </c>
      <c r="C3360" s="42" t="s">
        <v>9098</v>
      </c>
      <c r="D3360" s="43" t="s">
        <v>136</v>
      </c>
      <c r="E3360" s="43" t="s">
        <v>92</v>
      </c>
      <c r="F3360" s="42" t="s">
        <v>11469</v>
      </c>
      <c r="G3360" t="s">
        <v>13197</v>
      </c>
    </row>
    <row r="3361" spans="1:7" x14ac:dyDescent="0.3">
      <c r="A3361" s="42" t="s">
        <v>3259</v>
      </c>
      <c r="B3361" s="42" t="s">
        <v>3554</v>
      </c>
      <c r="C3361" s="42" t="s">
        <v>9099</v>
      </c>
      <c r="D3361" s="43" t="s">
        <v>136</v>
      </c>
      <c r="E3361" s="43" t="s">
        <v>92</v>
      </c>
      <c r="F3361" s="42" t="s">
        <v>11469</v>
      </c>
      <c r="G3361" t="s">
        <v>13197</v>
      </c>
    </row>
    <row r="3362" spans="1:7" x14ac:dyDescent="0.3">
      <c r="A3362" s="42" t="s">
        <v>3259</v>
      </c>
      <c r="B3362" s="42" t="s">
        <v>3555</v>
      </c>
      <c r="C3362" s="42" t="s">
        <v>9100</v>
      </c>
      <c r="D3362" s="43" t="s">
        <v>136</v>
      </c>
      <c r="E3362" s="43" t="s">
        <v>92</v>
      </c>
      <c r="F3362" s="42" t="s">
        <v>11469</v>
      </c>
      <c r="G3362" t="s">
        <v>13197</v>
      </c>
    </row>
    <row r="3363" spans="1:7" x14ac:dyDescent="0.3">
      <c r="A3363" s="42" t="s">
        <v>3259</v>
      </c>
      <c r="B3363" s="42" t="s">
        <v>3556</v>
      </c>
      <c r="C3363" s="42" t="s">
        <v>9101</v>
      </c>
      <c r="D3363" s="43" t="s">
        <v>136</v>
      </c>
      <c r="E3363" s="43" t="s">
        <v>92</v>
      </c>
      <c r="F3363" s="42" t="s">
        <v>11469</v>
      </c>
      <c r="G3363" t="s">
        <v>13197</v>
      </c>
    </row>
    <row r="3364" spans="1:7" x14ac:dyDescent="0.3">
      <c r="A3364" s="42" t="s">
        <v>3259</v>
      </c>
      <c r="B3364" s="42" t="s">
        <v>3557</v>
      </c>
      <c r="C3364" s="42" t="s">
        <v>9102</v>
      </c>
      <c r="D3364" s="43" t="s">
        <v>136</v>
      </c>
      <c r="E3364" s="43" t="s">
        <v>92</v>
      </c>
      <c r="F3364" s="42" t="s">
        <v>11469</v>
      </c>
      <c r="G3364" t="s">
        <v>13197</v>
      </c>
    </row>
    <row r="3365" spans="1:7" x14ac:dyDescent="0.3">
      <c r="A3365" s="42" t="s">
        <v>3259</v>
      </c>
      <c r="B3365" s="42" t="s">
        <v>3558</v>
      </c>
      <c r="C3365" s="42" t="s">
        <v>9103</v>
      </c>
      <c r="D3365" s="43" t="s">
        <v>136</v>
      </c>
      <c r="E3365" s="43" t="s">
        <v>92</v>
      </c>
      <c r="F3365" s="42" t="s">
        <v>11469</v>
      </c>
      <c r="G3365" t="s">
        <v>13197</v>
      </c>
    </row>
    <row r="3366" spans="1:7" x14ac:dyDescent="0.3">
      <c r="A3366" s="42" t="s">
        <v>3259</v>
      </c>
      <c r="B3366" s="42" t="s">
        <v>3559</v>
      </c>
      <c r="C3366" s="42" t="s">
        <v>9104</v>
      </c>
      <c r="D3366" s="43" t="s">
        <v>136</v>
      </c>
      <c r="E3366" s="43" t="s">
        <v>92</v>
      </c>
      <c r="F3366" s="42" t="s">
        <v>11469</v>
      </c>
      <c r="G3366" t="s">
        <v>13197</v>
      </c>
    </row>
    <row r="3367" spans="1:7" x14ac:dyDescent="0.3">
      <c r="A3367" s="42" t="s">
        <v>3259</v>
      </c>
      <c r="B3367" s="42" t="s">
        <v>3560</v>
      </c>
      <c r="C3367" s="42" t="s">
        <v>9105</v>
      </c>
      <c r="D3367" s="43" t="s">
        <v>136</v>
      </c>
      <c r="E3367" s="43" t="s">
        <v>92</v>
      </c>
      <c r="F3367" s="42" t="s">
        <v>11469</v>
      </c>
      <c r="G3367" t="s">
        <v>13197</v>
      </c>
    </row>
    <row r="3368" spans="1:7" x14ac:dyDescent="0.3">
      <c r="A3368" s="42" t="s">
        <v>3259</v>
      </c>
      <c r="B3368" s="42" t="s">
        <v>3561</v>
      </c>
      <c r="C3368" s="42" t="s">
        <v>9106</v>
      </c>
      <c r="D3368" s="43" t="s">
        <v>136</v>
      </c>
      <c r="E3368" s="43" t="s">
        <v>92</v>
      </c>
      <c r="F3368" s="42" t="s">
        <v>137</v>
      </c>
      <c r="G3368" t="s">
        <v>13197</v>
      </c>
    </row>
    <row r="3369" spans="1:7" x14ac:dyDescent="0.3">
      <c r="A3369" s="42" t="s">
        <v>3259</v>
      </c>
      <c r="B3369" s="42" t="s">
        <v>3562</v>
      </c>
      <c r="C3369" s="42" t="s">
        <v>9107</v>
      </c>
      <c r="D3369" s="43" t="s">
        <v>136</v>
      </c>
      <c r="E3369" s="43" t="s">
        <v>92</v>
      </c>
      <c r="F3369" s="42" t="s">
        <v>11469</v>
      </c>
      <c r="G3369" t="s">
        <v>13197</v>
      </c>
    </row>
    <row r="3370" spans="1:7" x14ac:dyDescent="0.3">
      <c r="A3370" s="42" t="s">
        <v>3259</v>
      </c>
      <c r="B3370" s="42" t="s">
        <v>3563</v>
      </c>
      <c r="C3370" s="42" t="s">
        <v>9108</v>
      </c>
      <c r="D3370" s="43" t="s">
        <v>136</v>
      </c>
      <c r="E3370" s="43" t="s">
        <v>92</v>
      </c>
      <c r="F3370" s="42" t="s">
        <v>11469</v>
      </c>
      <c r="G3370" t="s">
        <v>13197</v>
      </c>
    </row>
    <row r="3371" spans="1:7" x14ac:dyDescent="0.3">
      <c r="A3371" s="42" t="s">
        <v>3259</v>
      </c>
      <c r="B3371" s="42" t="s">
        <v>3564</v>
      </c>
      <c r="C3371" s="42" t="s">
        <v>9109</v>
      </c>
      <c r="D3371" s="43" t="s">
        <v>136</v>
      </c>
      <c r="E3371" s="43" t="s">
        <v>92</v>
      </c>
      <c r="F3371" s="42" t="s">
        <v>11469</v>
      </c>
      <c r="G3371" t="s">
        <v>13197</v>
      </c>
    </row>
    <row r="3372" spans="1:7" x14ac:dyDescent="0.3">
      <c r="A3372" s="42" t="s">
        <v>3259</v>
      </c>
      <c r="B3372" s="42" t="s">
        <v>3565</v>
      </c>
      <c r="C3372" s="42" t="s">
        <v>9110</v>
      </c>
      <c r="D3372" s="43" t="s">
        <v>136</v>
      </c>
      <c r="E3372" s="43" t="s">
        <v>92</v>
      </c>
      <c r="F3372" s="42" t="s">
        <v>11469</v>
      </c>
      <c r="G3372" t="s">
        <v>13197</v>
      </c>
    </row>
    <row r="3373" spans="1:7" x14ac:dyDescent="0.3">
      <c r="A3373" s="42" t="s">
        <v>3259</v>
      </c>
      <c r="B3373" s="42" t="s">
        <v>3566</v>
      </c>
      <c r="C3373" s="42" t="s">
        <v>9111</v>
      </c>
      <c r="D3373" s="43" t="s">
        <v>136</v>
      </c>
      <c r="E3373" s="43" t="s">
        <v>92</v>
      </c>
      <c r="F3373" s="42" t="s">
        <v>11469</v>
      </c>
      <c r="G3373" t="s">
        <v>13197</v>
      </c>
    </row>
    <row r="3374" spans="1:7" x14ac:dyDescent="0.3">
      <c r="A3374" s="42" t="s">
        <v>3259</v>
      </c>
      <c r="B3374" s="42" t="s">
        <v>3567</v>
      </c>
      <c r="C3374" s="42" t="s">
        <v>9112</v>
      </c>
      <c r="D3374" s="43" t="s">
        <v>136</v>
      </c>
      <c r="E3374" s="43" t="s">
        <v>92</v>
      </c>
      <c r="F3374" s="42" t="s">
        <v>11469</v>
      </c>
      <c r="G3374" t="s">
        <v>13197</v>
      </c>
    </row>
    <row r="3375" spans="1:7" x14ac:dyDescent="0.3">
      <c r="A3375" s="42" t="s">
        <v>3259</v>
      </c>
      <c r="B3375" s="42" t="s">
        <v>3568</v>
      </c>
      <c r="C3375" s="42" t="s">
        <v>9113</v>
      </c>
      <c r="D3375" s="43" t="s">
        <v>136</v>
      </c>
      <c r="E3375" s="43" t="s">
        <v>92</v>
      </c>
      <c r="F3375" s="42" t="s">
        <v>11469</v>
      </c>
      <c r="G3375" t="s">
        <v>13197</v>
      </c>
    </row>
    <row r="3376" spans="1:7" x14ac:dyDescent="0.3">
      <c r="A3376" s="42" t="s">
        <v>3259</v>
      </c>
      <c r="B3376" s="42" t="s">
        <v>3569</v>
      </c>
      <c r="C3376" s="42" t="s">
        <v>9114</v>
      </c>
      <c r="D3376" s="43" t="s">
        <v>136</v>
      </c>
      <c r="E3376" s="43" t="s">
        <v>92</v>
      </c>
      <c r="F3376" s="42" t="s">
        <v>11469</v>
      </c>
      <c r="G3376" t="s">
        <v>13197</v>
      </c>
    </row>
    <row r="3377" spans="1:7" x14ac:dyDescent="0.3">
      <c r="A3377" s="42" t="s">
        <v>3259</v>
      </c>
      <c r="B3377" s="42" t="s">
        <v>3570</v>
      </c>
      <c r="C3377" s="42" t="s">
        <v>9115</v>
      </c>
      <c r="D3377" s="43" t="s">
        <v>136</v>
      </c>
      <c r="E3377" s="43" t="s">
        <v>92</v>
      </c>
      <c r="F3377" s="42" t="s">
        <v>11469</v>
      </c>
      <c r="G3377" t="s">
        <v>13197</v>
      </c>
    </row>
    <row r="3378" spans="1:7" x14ac:dyDescent="0.3">
      <c r="A3378" s="42" t="s">
        <v>3259</v>
      </c>
      <c r="B3378" s="42" t="s">
        <v>3571</v>
      </c>
      <c r="C3378" s="42" t="s">
        <v>9116</v>
      </c>
      <c r="D3378" s="43" t="s">
        <v>136</v>
      </c>
      <c r="E3378" s="43" t="s">
        <v>92</v>
      </c>
      <c r="F3378" s="42" t="s">
        <v>11469</v>
      </c>
      <c r="G3378" t="s">
        <v>13197</v>
      </c>
    </row>
    <row r="3379" spans="1:7" x14ac:dyDescent="0.3">
      <c r="A3379" s="42" t="s">
        <v>3259</v>
      </c>
      <c r="B3379" s="42" t="s">
        <v>3572</v>
      </c>
      <c r="C3379" s="42" t="s">
        <v>9117</v>
      </c>
      <c r="D3379" s="43" t="s">
        <v>136</v>
      </c>
      <c r="E3379" s="43" t="s">
        <v>92</v>
      </c>
      <c r="F3379" s="42" t="s">
        <v>11469</v>
      </c>
      <c r="G3379" t="s">
        <v>13197</v>
      </c>
    </row>
    <row r="3380" spans="1:7" x14ac:dyDescent="0.3">
      <c r="A3380" s="42" t="s">
        <v>3259</v>
      </c>
      <c r="B3380" s="42" t="s">
        <v>3573</v>
      </c>
      <c r="C3380" s="42" t="s">
        <v>9118</v>
      </c>
      <c r="D3380" s="43" t="s">
        <v>136</v>
      </c>
      <c r="E3380" s="43" t="s">
        <v>92</v>
      </c>
      <c r="F3380" s="42" t="s">
        <v>11469</v>
      </c>
      <c r="G3380" t="s">
        <v>13197</v>
      </c>
    </row>
    <row r="3381" spans="1:7" x14ac:dyDescent="0.3">
      <c r="A3381" s="42" t="s">
        <v>3259</v>
      </c>
      <c r="B3381" s="42" t="s">
        <v>3574</v>
      </c>
      <c r="C3381" s="42" t="s">
        <v>9119</v>
      </c>
      <c r="D3381" s="43" t="s">
        <v>136</v>
      </c>
      <c r="E3381" s="43" t="s">
        <v>92</v>
      </c>
      <c r="F3381" s="42" t="s">
        <v>11469</v>
      </c>
      <c r="G3381" t="s">
        <v>13197</v>
      </c>
    </row>
    <row r="3382" spans="1:7" x14ac:dyDescent="0.3">
      <c r="A3382" s="42" t="s">
        <v>3259</v>
      </c>
      <c r="B3382" s="42" t="s">
        <v>3575</v>
      </c>
      <c r="C3382" s="42" t="s">
        <v>9120</v>
      </c>
      <c r="D3382" s="43" t="s">
        <v>136</v>
      </c>
      <c r="E3382" s="43" t="s">
        <v>92</v>
      </c>
      <c r="F3382" s="42" t="s">
        <v>11469</v>
      </c>
      <c r="G3382" t="s">
        <v>13197</v>
      </c>
    </row>
    <row r="3383" spans="1:7" x14ac:dyDescent="0.3">
      <c r="A3383" s="42" t="s">
        <v>3259</v>
      </c>
      <c r="B3383" s="42" t="s">
        <v>3576</v>
      </c>
      <c r="C3383" s="42" t="s">
        <v>9121</v>
      </c>
      <c r="D3383" s="43" t="s">
        <v>136</v>
      </c>
      <c r="E3383" s="43" t="s">
        <v>92</v>
      </c>
      <c r="F3383" s="42" t="s">
        <v>11469</v>
      </c>
      <c r="G3383" t="s">
        <v>13197</v>
      </c>
    </row>
    <row r="3384" spans="1:7" x14ac:dyDescent="0.3">
      <c r="A3384" s="42" t="s">
        <v>3259</v>
      </c>
      <c r="B3384" s="42" t="s">
        <v>3577</v>
      </c>
      <c r="C3384" s="42" t="s">
        <v>9122</v>
      </c>
      <c r="D3384" s="43" t="s">
        <v>136</v>
      </c>
      <c r="E3384" s="43" t="s">
        <v>92</v>
      </c>
      <c r="F3384" s="42" t="s">
        <v>11469</v>
      </c>
      <c r="G3384" t="s">
        <v>13197</v>
      </c>
    </row>
    <row r="3385" spans="1:7" x14ac:dyDescent="0.3">
      <c r="A3385" s="42" t="s">
        <v>3259</v>
      </c>
      <c r="B3385" s="42" t="s">
        <v>3578</v>
      </c>
      <c r="C3385" s="42" t="s">
        <v>9123</v>
      </c>
      <c r="D3385" s="43" t="s">
        <v>136</v>
      </c>
      <c r="E3385" s="43" t="s">
        <v>92</v>
      </c>
      <c r="F3385" s="42" t="s">
        <v>192</v>
      </c>
      <c r="G3385" t="s">
        <v>13196</v>
      </c>
    </row>
    <row r="3386" spans="1:7" x14ac:dyDescent="0.3">
      <c r="A3386" s="42" t="s">
        <v>3259</v>
      </c>
      <c r="B3386" s="42" t="s">
        <v>3579</v>
      </c>
      <c r="C3386" s="42" t="s">
        <v>9124</v>
      </c>
      <c r="D3386" s="43" t="s">
        <v>136</v>
      </c>
      <c r="E3386" s="43" t="s">
        <v>92</v>
      </c>
      <c r="F3386" s="42" t="s">
        <v>11469</v>
      </c>
      <c r="G3386" t="s">
        <v>13197</v>
      </c>
    </row>
    <row r="3387" spans="1:7" x14ac:dyDescent="0.3">
      <c r="A3387" s="42" t="s">
        <v>3259</v>
      </c>
      <c r="B3387" s="42" t="s">
        <v>3580</v>
      </c>
      <c r="C3387" s="42" t="s">
        <v>9125</v>
      </c>
      <c r="D3387" s="43" t="s">
        <v>136</v>
      </c>
      <c r="E3387" s="43" t="s">
        <v>92</v>
      </c>
      <c r="F3387" s="42" t="s">
        <v>11469</v>
      </c>
      <c r="G3387" t="s">
        <v>13197</v>
      </c>
    </row>
    <row r="3388" spans="1:7" x14ac:dyDescent="0.3">
      <c r="A3388" s="42" t="s">
        <v>3259</v>
      </c>
      <c r="B3388" s="42" t="s">
        <v>3581</v>
      </c>
      <c r="C3388" s="42" t="s">
        <v>9126</v>
      </c>
      <c r="D3388" s="43" t="s">
        <v>136</v>
      </c>
      <c r="E3388" s="43" t="s">
        <v>92</v>
      </c>
      <c r="F3388" s="42" t="s">
        <v>11469</v>
      </c>
      <c r="G3388" t="s">
        <v>13197</v>
      </c>
    </row>
    <row r="3389" spans="1:7" x14ac:dyDescent="0.3">
      <c r="A3389" s="42" t="s">
        <v>3259</v>
      </c>
      <c r="B3389" s="42" t="s">
        <v>3582</v>
      </c>
      <c r="C3389" s="42" t="s">
        <v>9127</v>
      </c>
      <c r="D3389" s="43" t="s">
        <v>136</v>
      </c>
      <c r="E3389" s="43" t="s">
        <v>92</v>
      </c>
      <c r="F3389" s="42" t="s">
        <v>11469</v>
      </c>
      <c r="G3389" t="s">
        <v>13197</v>
      </c>
    </row>
    <row r="3390" spans="1:7" x14ac:dyDescent="0.3">
      <c r="A3390" s="42" t="s">
        <v>3259</v>
      </c>
      <c r="B3390" s="42" t="s">
        <v>3583</v>
      </c>
      <c r="C3390" s="42" t="s">
        <v>9128</v>
      </c>
      <c r="D3390" s="43" t="s">
        <v>136</v>
      </c>
      <c r="E3390" s="43" t="s">
        <v>92</v>
      </c>
      <c r="F3390" s="42" t="s">
        <v>11469</v>
      </c>
      <c r="G3390" t="s">
        <v>13197</v>
      </c>
    </row>
    <row r="3391" spans="1:7" x14ac:dyDescent="0.3">
      <c r="A3391" s="42" t="s">
        <v>3259</v>
      </c>
      <c r="B3391" s="42" t="s">
        <v>3584</v>
      </c>
      <c r="C3391" s="42" t="s">
        <v>9129</v>
      </c>
      <c r="D3391" s="43" t="s">
        <v>136</v>
      </c>
      <c r="E3391" s="43" t="s">
        <v>92</v>
      </c>
      <c r="F3391" s="42" t="s">
        <v>11469</v>
      </c>
      <c r="G3391" t="s">
        <v>13197</v>
      </c>
    </row>
    <row r="3392" spans="1:7" x14ac:dyDescent="0.3">
      <c r="A3392" s="42" t="s">
        <v>3259</v>
      </c>
      <c r="B3392" s="42" t="s">
        <v>3585</v>
      </c>
      <c r="C3392" s="42" t="s">
        <v>9130</v>
      </c>
      <c r="D3392" s="43" t="s">
        <v>136</v>
      </c>
      <c r="E3392" s="43" t="s">
        <v>92</v>
      </c>
      <c r="F3392" s="42" t="s">
        <v>11469</v>
      </c>
      <c r="G3392" t="s">
        <v>13197</v>
      </c>
    </row>
    <row r="3393" spans="1:7" x14ac:dyDescent="0.3">
      <c r="A3393" s="42" t="s">
        <v>3259</v>
      </c>
      <c r="B3393" s="42" t="s">
        <v>3586</v>
      </c>
      <c r="C3393" s="42" t="s">
        <v>9131</v>
      </c>
      <c r="D3393" s="43" t="s">
        <v>136</v>
      </c>
      <c r="E3393" s="43" t="s">
        <v>92</v>
      </c>
      <c r="F3393" s="42" t="s">
        <v>11469</v>
      </c>
      <c r="G3393" t="s">
        <v>13197</v>
      </c>
    </row>
    <row r="3394" spans="1:7" x14ac:dyDescent="0.3">
      <c r="A3394" s="42" t="s">
        <v>3259</v>
      </c>
      <c r="B3394" s="42" t="s">
        <v>3587</v>
      </c>
      <c r="C3394" s="42" t="s">
        <v>9132</v>
      </c>
      <c r="D3394" s="43" t="s">
        <v>136</v>
      </c>
      <c r="E3394" s="43" t="s">
        <v>92</v>
      </c>
      <c r="F3394" s="42" t="s">
        <v>11469</v>
      </c>
      <c r="G3394" t="s">
        <v>13197</v>
      </c>
    </row>
    <row r="3395" spans="1:7" x14ac:dyDescent="0.3">
      <c r="A3395" s="42" t="s">
        <v>3259</v>
      </c>
      <c r="B3395" s="42" t="s">
        <v>3588</v>
      </c>
      <c r="C3395" s="42" t="s">
        <v>9133</v>
      </c>
      <c r="D3395" s="43" t="s">
        <v>136</v>
      </c>
      <c r="E3395" s="43" t="s">
        <v>92</v>
      </c>
      <c r="F3395" s="42" t="s">
        <v>11469</v>
      </c>
      <c r="G3395" t="s">
        <v>13197</v>
      </c>
    </row>
    <row r="3396" spans="1:7" x14ac:dyDescent="0.3">
      <c r="A3396" s="42" t="s">
        <v>3259</v>
      </c>
      <c r="B3396" s="42" t="s">
        <v>3589</v>
      </c>
      <c r="C3396" s="42" t="s">
        <v>9134</v>
      </c>
      <c r="D3396" s="43" t="s">
        <v>136</v>
      </c>
      <c r="E3396" s="43" t="s">
        <v>92</v>
      </c>
      <c r="F3396" s="42" t="s">
        <v>11469</v>
      </c>
      <c r="G3396" t="s">
        <v>13197</v>
      </c>
    </row>
    <row r="3397" spans="1:7" x14ac:dyDescent="0.3">
      <c r="A3397" s="42" t="s">
        <v>3259</v>
      </c>
      <c r="B3397" s="42" t="s">
        <v>3590</v>
      </c>
      <c r="C3397" s="42" t="s">
        <v>9135</v>
      </c>
      <c r="D3397" s="43" t="s">
        <v>136</v>
      </c>
      <c r="E3397" s="43" t="s">
        <v>92</v>
      </c>
      <c r="F3397" s="42" t="s">
        <v>11469</v>
      </c>
      <c r="G3397" t="s">
        <v>13197</v>
      </c>
    </row>
    <row r="3398" spans="1:7" x14ac:dyDescent="0.3">
      <c r="A3398" s="42" t="s">
        <v>3259</v>
      </c>
      <c r="B3398" s="42" t="s">
        <v>3591</v>
      </c>
      <c r="C3398" s="42" t="s">
        <v>9136</v>
      </c>
      <c r="D3398" s="43" t="s">
        <v>136</v>
      </c>
      <c r="E3398" s="43" t="s">
        <v>92</v>
      </c>
      <c r="F3398" s="42" t="s">
        <v>11469</v>
      </c>
      <c r="G3398" t="s">
        <v>13197</v>
      </c>
    </row>
    <row r="3399" spans="1:7" x14ac:dyDescent="0.3">
      <c r="A3399" s="42" t="s">
        <v>3259</v>
      </c>
      <c r="B3399" s="42" t="s">
        <v>3592</v>
      </c>
      <c r="C3399" s="42" t="s">
        <v>9137</v>
      </c>
      <c r="D3399" s="43" t="s">
        <v>136</v>
      </c>
      <c r="E3399" s="43" t="s">
        <v>92</v>
      </c>
      <c r="F3399" s="42" t="s">
        <v>11469</v>
      </c>
      <c r="G3399" t="s">
        <v>13197</v>
      </c>
    </row>
    <row r="3400" spans="1:7" x14ac:dyDescent="0.3">
      <c r="A3400" s="42" t="s">
        <v>3259</v>
      </c>
      <c r="B3400" s="42" t="s">
        <v>3593</v>
      </c>
      <c r="C3400" s="42" t="s">
        <v>9138</v>
      </c>
      <c r="D3400" s="43" t="s">
        <v>136</v>
      </c>
      <c r="E3400" s="43" t="s">
        <v>92</v>
      </c>
      <c r="F3400" s="42" t="s">
        <v>11469</v>
      </c>
      <c r="G3400" t="s">
        <v>13197</v>
      </c>
    </row>
    <row r="3401" spans="1:7" x14ac:dyDescent="0.3">
      <c r="A3401" s="42" t="s">
        <v>3259</v>
      </c>
      <c r="B3401" s="42" t="s">
        <v>3594</v>
      </c>
      <c r="C3401" s="42" t="s">
        <v>9139</v>
      </c>
      <c r="D3401" s="43" t="s">
        <v>136</v>
      </c>
      <c r="E3401" s="43" t="s">
        <v>92</v>
      </c>
      <c r="F3401" s="42" t="s">
        <v>11469</v>
      </c>
      <c r="G3401" t="s">
        <v>13197</v>
      </c>
    </row>
    <row r="3402" spans="1:7" x14ac:dyDescent="0.3">
      <c r="A3402" s="42" t="s">
        <v>3259</v>
      </c>
      <c r="B3402" s="42" t="s">
        <v>3595</v>
      </c>
      <c r="C3402" s="42" t="s">
        <v>9140</v>
      </c>
      <c r="D3402" s="43" t="s">
        <v>136</v>
      </c>
      <c r="E3402" s="43" t="s">
        <v>92</v>
      </c>
      <c r="F3402" s="42" t="s">
        <v>11469</v>
      </c>
      <c r="G3402" t="s">
        <v>13197</v>
      </c>
    </row>
    <row r="3403" spans="1:7" x14ac:dyDescent="0.3">
      <c r="A3403" s="42" t="s">
        <v>3259</v>
      </c>
      <c r="B3403" s="42" t="s">
        <v>3596</v>
      </c>
      <c r="C3403" s="42" t="s">
        <v>9141</v>
      </c>
      <c r="D3403" s="43" t="s">
        <v>136</v>
      </c>
      <c r="E3403" s="43" t="s">
        <v>92</v>
      </c>
      <c r="F3403" s="42" t="s">
        <v>11469</v>
      </c>
      <c r="G3403" t="s">
        <v>13197</v>
      </c>
    </row>
    <row r="3404" spans="1:7" x14ac:dyDescent="0.3">
      <c r="A3404" s="42" t="s">
        <v>3259</v>
      </c>
      <c r="B3404" s="42" t="s">
        <v>3597</v>
      </c>
      <c r="C3404" s="42" t="s">
        <v>9142</v>
      </c>
      <c r="D3404" s="43" t="s">
        <v>136</v>
      </c>
      <c r="E3404" s="43" t="s">
        <v>92</v>
      </c>
      <c r="F3404" s="42" t="s">
        <v>11469</v>
      </c>
      <c r="G3404" t="s">
        <v>13197</v>
      </c>
    </row>
    <row r="3405" spans="1:7" x14ac:dyDescent="0.3">
      <c r="A3405" s="42" t="s">
        <v>3259</v>
      </c>
      <c r="B3405" s="42" t="s">
        <v>3598</v>
      </c>
      <c r="C3405" s="42" t="s">
        <v>9143</v>
      </c>
      <c r="D3405" s="43" t="s">
        <v>136</v>
      </c>
      <c r="E3405" s="43" t="s">
        <v>92</v>
      </c>
      <c r="F3405" s="42" t="s">
        <v>11469</v>
      </c>
      <c r="G3405" t="s">
        <v>13197</v>
      </c>
    </row>
    <row r="3406" spans="1:7" x14ac:dyDescent="0.3">
      <c r="A3406" s="42" t="s">
        <v>3259</v>
      </c>
      <c r="B3406" s="42" t="s">
        <v>3599</v>
      </c>
      <c r="C3406" s="42" t="s">
        <v>9144</v>
      </c>
      <c r="D3406" s="43" t="s">
        <v>136</v>
      </c>
      <c r="E3406" s="43" t="s">
        <v>92</v>
      </c>
      <c r="F3406" s="42" t="s">
        <v>11469</v>
      </c>
      <c r="G3406" t="s">
        <v>13197</v>
      </c>
    </row>
    <row r="3407" spans="1:7" x14ac:dyDescent="0.3">
      <c r="A3407" s="42" t="s">
        <v>3259</v>
      </c>
      <c r="B3407" s="42" t="s">
        <v>1281</v>
      </c>
      <c r="C3407" s="42" t="s">
        <v>9145</v>
      </c>
      <c r="D3407" s="43" t="s">
        <v>136</v>
      </c>
      <c r="E3407" s="43" t="s">
        <v>92</v>
      </c>
      <c r="F3407" s="42" t="s">
        <v>11469</v>
      </c>
      <c r="G3407" t="s">
        <v>13197</v>
      </c>
    </row>
    <row r="3408" spans="1:7" x14ac:dyDescent="0.3">
      <c r="A3408" s="42" t="s">
        <v>3259</v>
      </c>
      <c r="B3408" s="42" t="s">
        <v>3600</v>
      </c>
      <c r="C3408" s="42" t="s">
        <v>9146</v>
      </c>
      <c r="D3408" s="43" t="s">
        <v>136</v>
      </c>
      <c r="E3408" s="43" t="s">
        <v>92</v>
      </c>
      <c r="F3408" s="42" t="s">
        <v>11469</v>
      </c>
      <c r="G3408" t="s">
        <v>13197</v>
      </c>
    </row>
    <row r="3409" spans="1:7" x14ac:dyDescent="0.3">
      <c r="A3409" s="42" t="s">
        <v>3259</v>
      </c>
      <c r="B3409" s="42" t="s">
        <v>3601</v>
      </c>
      <c r="C3409" s="42" t="s">
        <v>9147</v>
      </c>
      <c r="D3409" s="43" t="s">
        <v>136</v>
      </c>
      <c r="E3409" s="43" t="s">
        <v>92</v>
      </c>
      <c r="F3409" s="42" t="s">
        <v>11469</v>
      </c>
      <c r="G3409" t="s">
        <v>13197</v>
      </c>
    </row>
    <row r="3410" spans="1:7" x14ac:dyDescent="0.3">
      <c r="A3410" s="42" t="s">
        <v>3259</v>
      </c>
      <c r="B3410" s="42" t="s">
        <v>3602</v>
      </c>
      <c r="C3410" s="42" t="s">
        <v>9148</v>
      </c>
      <c r="D3410" s="43" t="s">
        <v>136</v>
      </c>
      <c r="E3410" s="43" t="s">
        <v>92</v>
      </c>
      <c r="F3410" s="42" t="s">
        <v>11469</v>
      </c>
      <c r="G3410" t="s">
        <v>13197</v>
      </c>
    </row>
    <row r="3411" spans="1:7" x14ac:dyDescent="0.3">
      <c r="A3411" s="42" t="s">
        <v>3259</v>
      </c>
      <c r="B3411" s="42" t="s">
        <v>3603</v>
      </c>
      <c r="C3411" s="42" t="s">
        <v>9149</v>
      </c>
      <c r="D3411" s="43" t="s">
        <v>136</v>
      </c>
      <c r="E3411" s="43" t="s">
        <v>92</v>
      </c>
      <c r="F3411" s="42" t="s">
        <v>11469</v>
      </c>
      <c r="G3411" t="s">
        <v>13197</v>
      </c>
    </row>
    <row r="3412" spans="1:7" x14ac:dyDescent="0.3">
      <c r="A3412" s="42" t="s">
        <v>3259</v>
      </c>
      <c r="B3412" s="42" t="s">
        <v>3604</v>
      </c>
      <c r="C3412" s="42" t="s">
        <v>9150</v>
      </c>
      <c r="D3412" s="43" t="s">
        <v>136</v>
      </c>
      <c r="E3412" s="43" t="s">
        <v>92</v>
      </c>
      <c r="F3412" s="42" t="s">
        <v>11469</v>
      </c>
      <c r="G3412" t="s">
        <v>13197</v>
      </c>
    </row>
    <row r="3413" spans="1:7" x14ac:dyDescent="0.3">
      <c r="A3413" s="42" t="s">
        <v>3259</v>
      </c>
      <c r="B3413" s="42" t="s">
        <v>3605</v>
      </c>
      <c r="C3413" s="42" t="s">
        <v>9151</v>
      </c>
      <c r="D3413" s="43" t="s">
        <v>136</v>
      </c>
      <c r="E3413" s="43" t="s">
        <v>92</v>
      </c>
      <c r="F3413" s="42" t="s">
        <v>11469</v>
      </c>
      <c r="G3413" t="s">
        <v>13197</v>
      </c>
    </row>
    <row r="3414" spans="1:7" x14ac:dyDescent="0.3">
      <c r="A3414" s="42" t="s">
        <v>3259</v>
      </c>
      <c r="B3414" s="42" t="s">
        <v>3606</v>
      </c>
      <c r="C3414" s="42" t="s">
        <v>9152</v>
      </c>
      <c r="D3414" s="43" t="s">
        <v>136</v>
      </c>
      <c r="E3414" s="43" t="s">
        <v>92</v>
      </c>
      <c r="F3414" s="42" t="s">
        <v>11469</v>
      </c>
      <c r="G3414" t="s">
        <v>13197</v>
      </c>
    </row>
    <row r="3415" spans="1:7" x14ac:dyDescent="0.3">
      <c r="A3415" s="42" t="s">
        <v>3259</v>
      </c>
      <c r="B3415" s="42" t="s">
        <v>3607</v>
      </c>
      <c r="C3415" s="42" t="s">
        <v>9153</v>
      </c>
      <c r="D3415" s="43" t="s">
        <v>136</v>
      </c>
      <c r="E3415" s="43" t="s">
        <v>92</v>
      </c>
      <c r="F3415" s="42" t="s">
        <v>11469</v>
      </c>
      <c r="G3415" t="s">
        <v>13197</v>
      </c>
    </row>
    <row r="3416" spans="1:7" x14ac:dyDescent="0.3">
      <c r="A3416" s="42" t="s">
        <v>3259</v>
      </c>
      <c r="B3416" s="42" t="s">
        <v>3608</v>
      </c>
      <c r="C3416" s="42" t="s">
        <v>9154</v>
      </c>
      <c r="D3416" s="43" t="s">
        <v>136</v>
      </c>
      <c r="E3416" s="43" t="s">
        <v>92</v>
      </c>
      <c r="F3416" s="42" t="s">
        <v>11469</v>
      </c>
      <c r="G3416" t="s">
        <v>13197</v>
      </c>
    </row>
    <row r="3417" spans="1:7" x14ac:dyDescent="0.3">
      <c r="A3417" s="42" t="s">
        <v>3259</v>
      </c>
      <c r="B3417" s="42" t="s">
        <v>3609</v>
      </c>
      <c r="C3417" s="42" t="s">
        <v>9155</v>
      </c>
      <c r="D3417" s="43" t="s">
        <v>136</v>
      </c>
      <c r="E3417" s="43" t="s">
        <v>92</v>
      </c>
      <c r="F3417" s="42" t="s">
        <v>11469</v>
      </c>
      <c r="G3417" t="s">
        <v>13197</v>
      </c>
    </row>
    <row r="3418" spans="1:7" x14ac:dyDescent="0.3">
      <c r="A3418" s="42" t="s">
        <v>3259</v>
      </c>
      <c r="B3418" s="42" t="s">
        <v>3610</v>
      </c>
      <c r="C3418" s="42" t="s">
        <v>9156</v>
      </c>
      <c r="D3418" s="43" t="s">
        <v>136</v>
      </c>
      <c r="E3418" s="43" t="s">
        <v>92</v>
      </c>
      <c r="F3418" s="42" t="s">
        <v>11469</v>
      </c>
      <c r="G3418" t="s">
        <v>13197</v>
      </c>
    </row>
    <row r="3419" spans="1:7" x14ac:dyDescent="0.3">
      <c r="A3419" s="42" t="s">
        <v>3259</v>
      </c>
      <c r="B3419" s="42" t="s">
        <v>3611</v>
      </c>
      <c r="C3419" s="42" t="s">
        <v>9157</v>
      </c>
      <c r="D3419" s="43" t="s">
        <v>136</v>
      </c>
      <c r="E3419" s="43" t="s">
        <v>92</v>
      </c>
      <c r="F3419" s="42" t="s">
        <v>11469</v>
      </c>
      <c r="G3419" t="s">
        <v>13197</v>
      </c>
    </row>
    <row r="3420" spans="1:7" x14ac:dyDescent="0.3">
      <c r="A3420" s="42" t="s">
        <v>3259</v>
      </c>
      <c r="B3420" s="42" t="s">
        <v>3612</v>
      </c>
      <c r="C3420" s="42" t="s">
        <v>9158</v>
      </c>
      <c r="D3420" s="43" t="s">
        <v>136</v>
      </c>
      <c r="E3420" s="43" t="s">
        <v>92</v>
      </c>
      <c r="F3420" s="42" t="s">
        <v>11469</v>
      </c>
      <c r="G3420" t="s">
        <v>13197</v>
      </c>
    </row>
    <row r="3421" spans="1:7" x14ac:dyDescent="0.3">
      <c r="A3421" s="42" t="s">
        <v>3259</v>
      </c>
      <c r="B3421" s="42" t="s">
        <v>3613</v>
      </c>
      <c r="C3421" s="42" t="s">
        <v>9159</v>
      </c>
      <c r="D3421" s="43" t="s">
        <v>136</v>
      </c>
      <c r="E3421" s="43" t="s">
        <v>92</v>
      </c>
      <c r="F3421" s="42" t="s">
        <v>11469</v>
      </c>
      <c r="G3421" t="s">
        <v>13197</v>
      </c>
    </row>
    <row r="3422" spans="1:7" x14ac:dyDescent="0.3">
      <c r="A3422" s="42" t="s">
        <v>3259</v>
      </c>
      <c r="B3422" s="42" t="s">
        <v>3614</v>
      </c>
      <c r="C3422" s="42" t="s">
        <v>9160</v>
      </c>
      <c r="D3422" s="43" t="s">
        <v>136</v>
      </c>
      <c r="E3422" s="43" t="s">
        <v>92</v>
      </c>
      <c r="F3422" s="42" t="s">
        <v>11469</v>
      </c>
      <c r="G3422" t="s">
        <v>13197</v>
      </c>
    </row>
    <row r="3423" spans="1:7" x14ac:dyDescent="0.3">
      <c r="A3423" s="42" t="s">
        <v>3259</v>
      </c>
      <c r="B3423" s="42" t="s">
        <v>3615</v>
      </c>
      <c r="C3423" s="42" t="s">
        <v>9161</v>
      </c>
      <c r="D3423" s="43" t="s">
        <v>136</v>
      </c>
      <c r="E3423" s="43" t="s">
        <v>92</v>
      </c>
      <c r="F3423" s="42" t="s">
        <v>11469</v>
      </c>
      <c r="G3423" t="s">
        <v>13197</v>
      </c>
    </row>
    <row r="3424" spans="1:7" x14ac:dyDescent="0.3">
      <c r="A3424" s="42" t="s">
        <v>3259</v>
      </c>
      <c r="B3424" s="42" t="s">
        <v>3616</v>
      </c>
      <c r="C3424" s="42" t="s">
        <v>9162</v>
      </c>
      <c r="D3424" s="43" t="s">
        <v>136</v>
      </c>
      <c r="E3424" s="43" t="s">
        <v>92</v>
      </c>
      <c r="F3424" s="42" t="s">
        <v>11469</v>
      </c>
      <c r="G3424" t="s">
        <v>13197</v>
      </c>
    </row>
    <row r="3425" spans="1:7" x14ac:dyDescent="0.3">
      <c r="A3425" s="42" t="s">
        <v>3259</v>
      </c>
      <c r="B3425" s="42" t="s">
        <v>3617</v>
      </c>
      <c r="C3425" s="42" t="s">
        <v>9163</v>
      </c>
      <c r="D3425" s="43" t="s">
        <v>136</v>
      </c>
      <c r="E3425" s="43" t="s">
        <v>92</v>
      </c>
      <c r="F3425" s="42" t="s">
        <v>11469</v>
      </c>
      <c r="G3425" t="s">
        <v>13197</v>
      </c>
    </row>
    <row r="3426" spans="1:7" x14ac:dyDescent="0.3">
      <c r="A3426" s="42" t="s">
        <v>3259</v>
      </c>
      <c r="B3426" s="42" t="s">
        <v>3618</v>
      </c>
      <c r="C3426" s="42" t="s">
        <v>9164</v>
      </c>
      <c r="D3426" s="43" t="s">
        <v>136</v>
      </c>
      <c r="E3426" s="43" t="s">
        <v>92</v>
      </c>
      <c r="F3426" s="42" t="s">
        <v>11469</v>
      </c>
      <c r="G3426" t="s">
        <v>13197</v>
      </c>
    </row>
    <row r="3427" spans="1:7" x14ac:dyDescent="0.3">
      <c r="A3427" s="42" t="s">
        <v>3259</v>
      </c>
      <c r="B3427" s="42" t="s">
        <v>3619</v>
      </c>
      <c r="C3427" s="42" t="s">
        <v>9165</v>
      </c>
      <c r="D3427" s="43" t="s">
        <v>136</v>
      </c>
      <c r="E3427" s="43" t="s">
        <v>92</v>
      </c>
      <c r="F3427" s="42" t="s">
        <v>11469</v>
      </c>
      <c r="G3427" t="s">
        <v>13197</v>
      </c>
    </row>
    <row r="3428" spans="1:7" x14ac:dyDescent="0.3">
      <c r="A3428" s="42" t="s">
        <v>3259</v>
      </c>
      <c r="B3428" s="42" t="s">
        <v>3620</v>
      </c>
      <c r="C3428" s="42" t="s">
        <v>9166</v>
      </c>
      <c r="D3428" s="43" t="s">
        <v>136</v>
      </c>
      <c r="E3428" s="43" t="s">
        <v>92</v>
      </c>
      <c r="F3428" s="42" t="s">
        <v>11469</v>
      </c>
      <c r="G3428" t="s">
        <v>13197</v>
      </c>
    </row>
    <row r="3429" spans="1:7" x14ac:dyDescent="0.3">
      <c r="A3429" s="42" t="s">
        <v>3259</v>
      </c>
      <c r="B3429" s="42" t="s">
        <v>3621</v>
      </c>
      <c r="C3429" s="42" t="s">
        <v>9167</v>
      </c>
      <c r="D3429" s="43" t="s">
        <v>136</v>
      </c>
      <c r="E3429" s="43" t="s">
        <v>92</v>
      </c>
      <c r="F3429" s="42" t="s">
        <v>11469</v>
      </c>
      <c r="G3429" t="s">
        <v>13197</v>
      </c>
    </row>
    <row r="3430" spans="1:7" x14ac:dyDescent="0.3">
      <c r="A3430" s="42" t="s">
        <v>3259</v>
      </c>
      <c r="B3430" s="42" t="s">
        <v>3622</v>
      </c>
      <c r="C3430" s="42" t="s">
        <v>9168</v>
      </c>
      <c r="D3430" s="43" t="s">
        <v>136</v>
      </c>
      <c r="E3430" s="43" t="s">
        <v>92</v>
      </c>
      <c r="F3430" s="42" t="s">
        <v>11469</v>
      </c>
      <c r="G3430" t="s">
        <v>13197</v>
      </c>
    </row>
    <row r="3431" spans="1:7" x14ac:dyDescent="0.3">
      <c r="A3431" s="42" t="s">
        <v>3259</v>
      </c>
      <c r="B3431" s="42" t="s">
        <v>3623</v>
      </c>
      <c r="C3431" s="42" t="s">
        <v>9169</v>
      </c>
      <c r="D3431" s="43" t="s">
        <v>136</v>
      </c>
      <c r="E3431" s="43" t="s">
        <v>92</v>
      </c>
      <c r="F3431" s="42" t="s">
        <v>11469</v>
      </c>
      <c r="G3431" t="s">
        <v>13197</v>
      </c>
    </row>
    <row r="3432" spans="1:7" x14ac:dyDescent="0.3">
      <c r="A3432" s="42" t="s">
        <v>3259</v>
      </c>
      <c r="B3432" s="42" t="s">
        <v>3624</v>
      </c>
      <c r="C3432" s="42" t="s">
        <v>9170</v>
      </c>
      <c r="D3432" s="43" t="s">
        <v>136</v>
      </c>
      <c r="E3432" s="43" t="s">
        <v>92</v>
      </c>
      <c r="F3432" s="42" t="s">
        <v>11469</v>
      </c>
      <c r="G3432" t="s">
        <v>13197</v>
      </c>
    </row>
    <row r="3433" spans="1:7" x14ac:dyDescent="0.3">
      <c r="A3433" s="42" t="s">
        <v>3259</v>
      </c>
      <c r="B3433" s="42" t="s">
        <v>3625</v>
      </c>
      <c r="C3433" s="42" t="s">
        <v>9171</v>
      </c>
      <c r="D3433" s="43" t="s">
        <v>136</v>
      </c>
      <c r="E3433" s="43" t="s">
        <v>92</v>
      </c>
      <c r="F3433" s="42" t="s">
        <v>11469</v>
      </c>
      <c r="G3433" t="s">
        <v>13197</v>
      </c>
    </row>
    <row r="3434" spans="1:7" x14ac:dyDescent="0.3">
      <c r="A3434" s="42" t="s">
        <v>3259</v>
      </c>
      <c r="B3434" s="42" t="s">
        <v>3626</v>
      </c>
      <c r="C3434" s="42" t="s">
        <v>9172</v>
      </c>
      <c r="D3434" s="43" t="s">
        <v>136</v>
      </c>
      <c r="E3434" s="43" t="s">
        <v>92</v>
      </c>
      <c r="F3434" s="42" t="s">
        <v>11469</v>
      </c>
      <c r="G3434" t="s">
        <v>13197</v>
      </c>
    </row>
    <row r="3435" spans="1:7" x14ac:dyDescent="0.3">
      <c r="A3435" s="42" t="s">
        <v>3259</v>
      </c>
      <c r="B3435" s="42" t="s">
        <v>3627</v>
      </c>
      <c r="C3435" s="42" t="s">
        <v>9173</v>
      </c>
      <c r="D3435" s="43" t="s">
        <v>136</v>
      </c>
      <c r="E3435" s="43" t="s">
        <v>92</v>
      </c>
      <c r="F3435" s="42" t="s">
        <v>11469</v>
      </c>
      <c r="G3435" t="s">
        <v>13197</v>
      </c>
    </row>
    <row r="3436" spans="1:7" x14ac:dyDescent="0.3">
      <c r="A3436" s="42" t="s">
        <v>3259</v>
      </c>
      <c r="B3436" s="42" t="s">
        <v>3628</v>
      </c>
      <c r="C3436" s="42" t="s">
        <v>9174</v>
      </c>
      <c r="D3436" s="43" t="s">
        <v>136</v>
      </c>
      <c r="E3436" s="43" t="s">
        <v>92</v>
      </c>
      <c r="F3436" s="42" t="s">
        <v>11469</v>
      </c>
      <c r="G3436" t="s">
        <v>13197</v>
      </c>
    </row>
    <row r="3437" spans="1:7" x14ac:dyDescent="0.3">
      <c r="A3437" s="42" t="s">
        <v>3259</v>
      </c>
      <c r="B3437" s="42" t="s">
        <v>3629</v>
      </c>
      <c r="C3437" s="42" t="s">
        <v>9175</v>
      </c>
      <c r="D3437" s="43" t="s">
        <v>136</v>
      </c>
      <c r="E3437" s="43" t="s">
        <v>92</v>
      </c>
      <c r="F3437" s="42" t="s">
        <v>11469</v>
      </c>
      <c r="G3437" t="s">
        <v>13197</v>
      </c>
    </row>
    <row r="3438" spans="1:7" x14ac:dyDescent="0.3">
      <c r="A3438" s="42" t="s">
        <v>3259</v>
      </c>
      <c r="B3438" s="42" t="s">
        <v>3630</v>
      </c>
      <c r="C3438" s="42" t="s">
        <v>9176</v>
      </c>
      <c r="D3438" s="43" t="s">
        <v>136</v>
      </c>
      <c r="E3438" s="43" t="s">
        <v>92</v>
      </c>
      <c r="F3438" s="42" t="s">
        <v>11469</v>
      </c>
      <c r="G3438" t="s">
        <v>13197</v>
      </c>
    </row>
    <row r="3439" spans="1:7" x14ac:dyDescent="0.3">
      <c r="A3439" s="42" t="s">
        <v>3259</v>
      </c>
      <c r="B3439" s="42" t="s">
        <v>3631</v>
      </c>
      <c r="C3439" s="42" t="s">
        <v>9177</v>
      </c>
      <c r="D3439" s="43" t="s">
        <v>136</v>
      </c>
      <c r="E3439" s="43" t="s">
        <v>92</v>
      </c>
      <c r="F3439" s="42" t="s">
        <v>11469</v>
      </c>
      <c r="G3439" t="s">
        <v>13197</v>
      </c>
    </row>
    <row r="3440" spans="1:7" x14ac:dyDescent="0.3">
      <c r="A3440" s="42" t="s">
        <v>3259</v>
      </c>
      <c r="B3440" s="42" t="s">
        <v>3632</v>
      </c>
      <c r="C3440" s="42" t="s">
        <v>9178</v>
      </c>
      <c r="D3440" s="43" t="s">
        <v>136</v>
      </c>
      <c r="E3440" s="43" t="s">
        <v>92</v>
      </c>
      <c r="F3440" s="42" t="s">
        <v>11469</v>
      </c>
      <c r="G3440" t="s">
        <v>13197</v>
      </c>
    </row>
    <row r="3441" spans="1:7" x14ac:dyDescent="0.3">
      <c r="A3441" s="42" t="s">
        <v>3259</v>
      </c>
      <c r="B3441" s="42" t="s">
        <v>3633</v>
      </c>
      <c r="C3441" s="42" t="s">
        <v>9179</v>
      </c>
      <c r="D3441" s="43" t="s">
        <v>136</v>
      </c>
      <c r="E3441" s="43" t="s">
        <v>92</v>
      </c>
      <c r="F3441" s="42" t="s">
        <v>11469</v>
      </c>
      <c r="G3441" t="s">
        <v>13197</v>
      </c>
    </row>
    <row r="3442" spans="1:7" x14ac:dyDescent="0.3">
      <c r="A3442" s="42" t="s">
        <v>3259</v>
      </c>
      <c r="B3442" s="42" t="s">
        <v>3634</v>
      </c>
      <c r="C3442" s="42" t="s">
        <v>9180</v>
      </c>
      <c r="D3442" s="43" t="s">
        <v>136</v>
      </c>
      <c r="E3442" s="43" t="s">
        <v>92</v>
      </c>
      <c r="F3442" s="42" t="s">
        <v>11469</v>
      </c>
      <c r="G3442" t="s">
        <v>13197</v>
      </c>
    </row>
    <row r="3443" spans="1:7" x14ac:dyDescent="0.3">
      <c r="A3443" s="42" t="s">
        <v>3259</v>
      </c>
      <c r="B3443" s="42" t="s">
        <v>3635</v>
      </c>
      <c r="C3443" s="42" t="s">
        <v>9181</v>
      </c>
      <c r="D3443" s="43" t="s">
        <v>136</v>
      </c>
      <c r="E3443" s="43" t="s">
        <v>92</v>
      </c>
      <c r="F3443" s="42" t="s">
        <v>11469</v>
      </c>
      <c r="G3443" t="s">
        <v>13197</v>
      </c>
    </row>
    <row r="3444" spans="1:7" x14ac:dyDescent="0.3">
      <c r="A3444" s="42" t="s">
        <v>3259</v>
      </c>
      <c r="B3444" s="42" t="s">
        <v>3636</v>
      </c>
      <c r="C3444" s="42" t="s">
        <v>9182</v>
      </c>
      <c r="D3444" s="43" t="s">
        <v>136</v>
      </c>
      <c r="E3444" s="43" t="s">
        <v>92</v>
      </c>
      <c r="F3444" s="42" t="s">
        <v>11469</v>
      </c>
      <c r="G3444" t="s">
        <v>13197</v>
      </c>
    </row>
    <row r="3445" spans="1:7" x14ac:dyDescent="0.3">
      <c r="A3445" s="42" t="s">
        <v>3259</v>
      </c>
      <c r="B3445" s="42" t="s">
        <v>3637</v>
      </c>
      <c r="C3445" s="42" t="s">
        <v>9183</v>
      </c>
      <c r="D3445" s="43" t="s">
        <v>136</v>
      </c>
      <c r="E3445" s="43" t="s">
        <v>92</v>
      </c>
      <c r="F3445" s="42" t="s">
        <v>192</v>
      </c>
      <c r="G3445" t="s">
        <v>13196</v>
      </c>
    </row>
    <row r="3446" spans="1:7" x14ac:dyDescent="0.3">
      <c r="A3446" s="42" t="s">
        <v>3259</v>
      </c>
      <c r="B3446" s="42" t="s">
        <v>3638</v>
      </c>
      <c r="C3446" s="42" t="s">
        <v>9184</v>
      </c>
      <c r="D3446" s="43" t="s">
        <v>136</v>
      </c>
      <c r="E3446" s="43" t="s">
        <v>92</v>
      </c>
      <c r="F3446" s="42" t="s">
        <v>11469</v>
      </c>
      <c r="G3446" t="s">
        <v>13197</v>
      </c>
    </row>
    <row r="3447" spans="1:7" x14ac:dyDescent="0.3">
      <c r="A3447" s="42" t="s">
        <v>3259</v>
      </c>
      <c r="B3447" s="42" t="s">
        <v>3639</v>
      </c>
      <c r="C3447" s="42" t="s">
        <v>9185</v>
      </c>
      <c r="D3447" s="43" t="s">
        <v>136</v>
      </c>
      <c r="E3447" s="43" t="s">
        <v>92</v>
      </c>
      <c r="F3447" s="42" t="s">
        <v>11469</v>
      </c>
      <c r="G3447" t="s">
        <v>13197</v>
      </c>
    </row>
    <row r="3448" spans="1:7" x14ac:dyDescent="0.3">
      <c r="A3448" s="42" t="s">
        <v>3259</v>
      </c>
      <c r="B3448" s="42" t="s">
        <v>3640</v>
      </c>
      <c r="C3448" s="42" t="s">
        <v>9186</v>
      </c>
      <c r="D3448" s="43" t="s">
        <v>136</v>
      </c>
      <c r="E3448" s="43" t="s">
        <v>92</v>
      </c>
      <c r="F3448" s="42" t="s">
        <v>11469</v>
      </c>
      <c r="G3448" t="s">
        <v>13197</v>
      </c>
    </row>
    <row r="3449" spans="1:7" x14ac:dyDescent="0.3">
      <c r="A3449" s="42" t="s">
        <v>3259</v>
      </c>
      <c r="B3449" s="42" t="s">
        <v>3641</v>
      </c>
      <c r="C3449" s="42" t="s">
        <v>9187</v>
      </c>
      <c r="D3449" s="43" t="s">
        <v>136</v>
      </c>
      <c r="E3449" s="43" t="s">
        <v>92</v>
      </c>
      <c r="F3449" s="42" t="s">
        <v>11469</v>
      </c>
      <c r="G3449" t="s">
        <v>13197</v>
      </c>
    </row>
    <row r="3450" spans="1:7" x14ac:dyDescent="0.3">
      <c r="A3450" s="42" t="s">
        <v>3259</v>
      </c>
      <c r="B3450" s="42" t="s">
        <v>3642</v>
      </c>
      <c r="C3450" s="42" t="s">
        <v>9188</v>
      </c>
      <c r="D3450" s="43" t="s">
        <v>136</v>
      </c>
      <c r="E3450" s="43" t="s">
        <v>92</v>
      </c>
      <c r="F3450" s="42" t="s">
        <v>11469</v>
      </c>
      <c r="G3450" t="s">
        <v>13197</v>
      </c>
    </row>
    <row r="3451" spans="1:7" x14ac:dyDescent="0.3">
      <c r="A3451" s="42" t="s">
        <v>3259</v>
      </c>
      <c r="B3451" s="42" t="s">
        <v>3643</v>
      </c>
      <c r="C3451" s="42" t="s">
        <v>9189</v>
      </c>
      <c r="D3451" s="43" t="s">
        <v>136</v>
      </c>
      <c r="E3451" s="43" t="s">
        <v>92</v>
      </c>
      <c r="F3451" s="42" t="s">
        <v>11469</v>
      </c>
      <c r="G3451" t="s">
        <v>13197</v>
      </c>
    </row>
    <row r="3452" spans="1:7" x14ac:dyDescent="0.3">
      <c r="A3452" s="42" t="s">
        <v>3259</v>
      </c>
      <c r="B3452" s="42" t="s">
        <v>3644</v>
      </c>
      <c r="C3452" s="42" t="s">
        <v>9190</v>
      </c>
      <c r="D3452" s="43" t="s">
        <v>136</v>
      </c>
      <c r="E3452" s="43" t="s">
        <v>92</v>
      </c>
      <c r="F3452" s="42" t="s">
        <v>11469</v>
      </c>
      <c r="G3452" t="s">
        <v>13197</v>
      </c>
    </row>
    <row r="3453" spans="1:7" x14ac:dyDescent="0.3">
      <c r="A3453" s="42" t="s">
        <v>3259</v>
      </c>
      <c r="B3453" s="42" t="s">
        <v>3645</v>
      </c>
      <c r="C3453" s="42" t="s">
        <v>9191</v>
      </c>
      <c r="D3453" s="43" t="s">
        <v>136</v>
      </c>
      <c r="E3453" s="43" t="s">
        <v>92</v>
      </c>
      <c r="F3453" s="42" t="s">
        <v>11469</v>
      </c>
      <c r="G3453" t="s">
        <v>13197</v>
      </c>
    </row>
    <row r="3454" spans="1:7" x14ac:dyDescent="0.3">
      <c r="A3454" s="42" t="s">
        <v>3259</v>
      </c>
      <c r="B3454" s="42" t="s">
        <v>3646</v>
      </c>
      <c r="C3454" s="42" t="s">
        <v>9192</v>
      </c>
      <c r="D3454" s="43" t="s">
        <v>136</v>
      </c>
      <c r="E3454" s="43" t="s">
        <v>92</v>
      </c>
      <c r="F3454" s="42" t="s">
        <v>11469</v>
      </c>
      <c r="G3454" t="s">
        <v>13197</v>
      </c>
    </row>
    <row r="3455" spans="1:7" x14ac:dyDescent="0.3">
      <c r="A3455" s="42" t="s">
        <v>3259</v>
      </c>
      <c r="B3455" s="42" t="s">
        <v>3647</v>
      </c>
      <c r="C3455" s="42" t="s">
        <v>9193</v>
      </c>
      <c r="D3455" s="43" t="s">
        <v>136</v>
      </c>
      <c r="E3455" s="43" t="s">
        <v>92</v>
      </c>
      <c r="F3455" s="42" t="s">
        <v>11469</v>
      </c>
      <c r="G3455" t="s">
        <v>13197</v>
      </c>
    </row>
    <row r="3456" spans="1:7" x14ac:dyDescent="0.3">
      <c r="A3456" s="42" t="s">
        <v>3259</v>
      </c>
      <c r="B3456" s="42" t="s">
        <v>3648</v>
      </c>
      <c r="C3456" s="42" t="s">
        <v>9194</v>
      </c>
      <c r="D3456" s="43" t="s">
        <v>136</v>
      </c>
      <c r="E3456" s="43" t="s">
        <v>92</v>
      </c>
      <c r="F3456" s="42" t="s">
        <v>11469</v>
      </c>
      <c r="G3456" t="s">
        <v>13197</v>
      </c>
    </row>
    <row r="3457" spans="1:7" x14ac:dyDescent="0.3">
      <c r="A3457" s="42" t="s">
        <v>3259</v>
      </c>
      <c r="B3457" s="42" t="s">
        <v>3649</v>
      </c>
      <c r="C3457" s="42" t="s">
        <v>9195</v>
      </c>
      <c r="D3457" s="43" t="s">
        <v>136</v>
      </c>
      <c r="E3457" s="43" t="s">
        <v>92</v>
      </c>
      <c r="F3457" s="42" t="s">
        <v>11469</v>
      </c>
      <c r="G3457" t="s">
        <v>13197</v>
      </c>
    </row>
    <row r="3458" spans="1:7" x14ac:dyDescent="0.3">
      <c r="A3458" s="42" t="s">
        <v>3259</v>
      </c>
      <c r="B3458" s="42" t="s">
        <v>3650</v>
      </c>
      <c r="C3458" s="42" t="s">
        <v>9196</v>
      </c>
      <c r="D3458" s="43" t="s">
        <v>136</v>
      </c>
      <c r="E3458" s="43" t="s">
        <v>92</v>
      </c>
      <c r="F3458" s="42" t="s">
        <v>11469</v>
      </c>
      <c r="G3458" t="s">
        <v>13197</v>
      </c>
    </row>
    <row r="3459" spans="1:7" x14ac:dyDescent="0.3">
      <c r="A3459" s="42" t="s">
        <v>3259</v>
      </c>
      <c r="B3459" s="42" t="s">
        <v>3651</v>
      </c>
      <c r="C3459" s="42" t="s">
        <v>9197</v>
      </c>
      <c r="D3459" s="43" t="s">
        <v>136</v>
      </c>
      <c r="E3459" s="43" t="s">
        <v>92</v>
      </c>
      <c r="F3459" s="42" t="s">
        <v>11469</v>
      </c>
      <c r="G3459" t="s">
        <v>13197</v>
      </c>
    </row>
    <row r="3460" spans="1:7" x14ac:dyDescent="0.3">
      <c r="A3460" s="42" t="s">
        <v>3259</v>
      </c>
      <c r="B3460" s="42" t="s">
        <v>3652</v>
      </c>
      <c r="C3460" s="42" t="s">
        <v>9198</v>
      </c>
      <c r="D3460" s="43" t="s">
        <v>136</v>
      </c>
      <c r="E3460" s="43" t="s">
        <v>92</v>
      </c>
      <c r="F3460" s="42" t="s">
        <v>11469</v>
      </c>
      <c r="G3460" t="s">
        <v>13197</v>
      </c>
    </row>
    <row r="3461" spans="1:7" x14ac:dyDescent="0.3">
      <c r="A3461" s="42" t="s">
        <v>3259</v>
      </c>
      <c r="B3461" s="42" t="s">
        <v>3653</v>
      </c>
      <c r="C3461" s="42" t="s">
        <v>9199</v>
      </c>
      <c r="D3461" s="43" t="s">
        <v>136</v>
      </c>
      <c r="E3461" s="43" t="s">
        <v>92</v>
      </c>
      <c r="F3461" s="42" t="s">
        <v>11469</v>
      </c>
      <c r="G3461" t="s">
        <v>13197</v>
      </c>
    </row>
    <row r="3462" spans="1:7" x14ac:dyDescent="0.3">
      <c r="A3462" s="42" t="s">
        <v>3259</v>
      </c>
      <c r="B3462" s="42" t="s">
        <v>3654</v>
      </c>
      <c r="C3462" s="42" t="s">
        <v>9200</v>
      </c>
      <c r="D3462" s="43" t="s">
        <v>136</v>
      </c>
      <c r="E3462" s="43" t="s">
        <v>92</v>
      </c>
      <c r="F3462" s="42" t="s">
        <v>11469</v>
      </c>
      <c r="G3462" t="s">
        <v>13197</v>
      </c>
    </row>
    <row r="3463" spans="1:7" x14ac:dyDescent="0.3">
      <c r="A3463" s="42" t="s">
        <v>3259</v>
      </c>
      <c r="B3463" s="42" t="s">
        <v>3655</v>
      </c>
      <c r="C3463" s="42" t="s">
        <v>9201</v>
      </c>
      <c r="D3463" s="43" t="s">
        <v>136</v>
      </c>
      <c r="E3463" s="43" t="s">
        <v>92</v>
      </c>
      <c r="F3463" s="42" t="s">
        <v>11469</v>
      </c>
      <c r="G3463" t="s">
        <v>13197</v>
      </c>
    </row>
    <row r="3464" spans="1:7" x14ac:dyDescent="0.3">
      <c r="A3464" s="42" t="s">
        <v>3259</v>
      </c>
      <c r="B3464" s="42" t="s">
        <v>3656</v>
      </c>
      <c r="C3464" s="42" t="s">
        <v>9202</v>
      </c>
      <c r="D3464" s="43" t="s">
        <v>136</v>
      </c>
      <c r="E3464" s="43" t="s">
        <v>92</v>
      </c>
      <c r="F3464" s="42" t="s">
        <v>11469</v>
      </c>
      <c r="G3464" t="s">
        <v>13197</v>
      </c>
    </row>
    <row r="3465" spans="1:7" x14ac:dyDescent="0.3">
      <c r="A3465" s="42" t="s">
        <v>3259</v>
      </c>
      <c r="B3465" s="42" t="s">
        <v>3657</v>
      </c>
      <c r="C3465" s="42" t="s">
        <v>9203</v>
      </c>
      <c r="D3465" s="43" t="s">
        <v>136</v>
      </c>
      <c r="E3465" s="43" t="s">
        <v>92</v>
      </c>
      <c r="F3465" s="42" t="s">
        <v>11469</v>
      </c>
      <c r="G3465" t="s">
        <v>13197</v>
      </c>
    </row>
    <row r="3466" spans="1:7" x14ac:dyDescent="0.3">
      <c r="A3466" s="42" t="s">
        <v>3259</v>
      </c>
      <c r="B3466" s="42" t="s">
        <v>3658</v>
      </c>
      <c r="C3466" s="42" t="s">
        <v>9204</v>
      </c>
      <c r="D3466" s="43" t="s">
        <v>136</v>
      </c>
      <c r="E3466" s="43" t="s">
        <v>92</v>
      </c>
      <c r="F3466" s="42" t="s">
        <v>11469</v>
      </c>
      <c r="G3466" t="s">
        <v>13197</v>
      </c>
    </row>
    <row r="3467" spans="1:7" x14ac:dyDescent="0.3">
      <c r="A3467" s="42" t="s">
        <v>3259</v>
      </c>
      <c r="B3467" s="42" t="s">
        <v>3659</v>
      </c>
      <c r="C3467" s="42" t="s">
        <v>9205</v>
      </c>
      <c r="D3467" s="43" t="s">
        <v>136</v>
      </c>
      <c r="E3467" s="43" t="s">
        <v>92</v>
      </c>
      <c r="F3467" s="42" t="s">
        <v>11469</v>
      </c>
      <c r="G3467" t="s">
        <v>13197</v>
      </c>
    </row>
    <row r="3468" spans="1:7" x14ac:dyDescent="0.3">
      <c r="A3468" s="42" t="s">
        <v>3259</v>
      </c>
      <c r="B3468" s="42" t="s">
        <v>3660</v>
      </c>
      <c r="C3468" s="42" t="s">
        <v>9206</v>
      </c>
      <c r="D3468" s="43" t="s">
        <v>136</v>
      </c>
      <c r="E3468" s="43" t="s">
        <v>92</v>
      </c>
      <c r="F3468" s="42" t="s">
        <v>11469</v>
      </c>
      <c r="G3468" t="s">
        <v>13197</v>
      </c>
    </row>
    <row r="3469" spans="1:7" x14ac:dyDescent="0.3">
      <c r="A3469" s="42" t="s">
        <v>3259</v>
      </c>
      <c r="B3469" s="42" t="s">
        <v>3661</v>
      </c>
      <c r="C3469" s="42" t="s">
        <v>9207</v>
      </c>
      <c r="D3469" s="43" t="s">
        <v>136</v>
      </c>
      <c r="E3469" s="43" t="s">
        <v>92</v>
      </c>
      <c r="F3469" s="42" t="s">
        <v>11469</v>
      </c>
      <c r="G3469" t="s">
        <v>13197</v>
      </c>
    </row>
    <row r="3470" spans="1:7" x14ac:dyDescent="0.3">
      <c r="A3470" s="42" t="s">
        <v>3259</v>
      </c>
      <c r="B3470" s="42" t="s">
        <v>3662</v>
      </c>
      <c r="C3470" s="42" t="s">
        <v>9208</v>
      </c>
      <c r="D3470" s="43" t="s">
        <v>136</v>
      </c>
      <c r="E3470" s="43" t="s">
        <v>92</v>
      </c>
      <c r="F3470" s="42" t="s">
        <v>11469</v>
      </c>
      <c r="G3470" t="s">
        <v>13197</v>
      </c>
    </row>
    <row r="3471" spans="1:7" x14ac:dyDescent="0.3">
      <c r="A3471" s="42" t="s">
        <v>3259</v>
      </c>
      <c r="B3471" s="42" t="s">
        <v>3663</v>
      </c>
      <c r="C3471" s="42" t="s">
        <v>9209</v>
      </c>
      <c r="D3471" s="43" t="s">
        <v>136</v>
      </c>
      <c r="E3471" s="43" t="s">
        <v>92</v>
      </c>
      <c r="F3471" s="42" t="s">
        <v>11469</v>
      </c>
      <c r="G3471" t="s">
        <v>13197</v>
      </c>
    </row>
    <row r="3472" spans="1:7" x14ac:dyDescent="0.3">
      <c r="A3472" s="42" t="s">
        <v>3259</v>
      </c>
      <c r="B3472" s="42" t="s">
        <v>3664</v>
      </c>
      <c r="C3472" s="42" t="s">
        <v>9210</v>
      </c>
      <c r="D3472" s="43" t="s">
        <v>136</v>
      </c>
      <c r="E3472" s="43" t="s">
        <v>92</v>
      </c>
      <c r="F3472" s="42" t="s">
        <v>11469</v>
      </c>
      <c r="G3472" t="s">
        <v>13197</v>
      </c>
    </row>
    <row r="3473" spans="1:7" x14ac:dyDescent="0.3">
      <c r="A3473" s="42" t="s">
        <v>3259</v>
      </c>
      <c r="B3473" s="42" t="s">
        <v>3665</v>
      </c>
      <c r="C3473" s="42" t="s">
        <v>9211</v>
      </c>
      <c r="D3473" s="43" t="s">
        <v>136</v>
      </c>
      <c r="E3473" s="43" t="s">
        <v>92</v>
      </c>
      <c r="F3473" s="42" t="s">
        <v>11469</v>
      </c>
      <c r="G3473" t="s">
        <v>13197</v>
      </c>
    </row>
    <row r="3474" spans="1:7" x14ac:dyDescent="0.3">
      <c r="A3474" s="42" t="s">
        <v>3259</v>
      </c>
      <c r="B3474" s="42" t="s">
        <v>3666</v>
      </c>
      <c r="C3474" s="42" t="s">
        <v>9212</v>
      </c>
      <c r="D3474" s="43" t="s">
        <v>136</v>
      </c>
      <c r="E3474" s="43" t="s">
        <v>92</v>
      </c>
      <c r="F3474" s="42" t="s">
        <v>11469</v>
      </c>
      <c r="G3474" t="s">
        <v>13197</v>
      </c>
    </row>
    <row r="3475" spans="1:7" x14ac:dyDescent="0.3">
      <c r="A3475" s="42" t="s">
        <v>3259</v>
      </c>
      <c r="B3475" s="42" t="s">
        <v>3667</v>
      </c>
      <c r="C3475" s="42" t="s">
        <v>9213</v>
      </c>
      <c r="D3475" s="43" t="s">
        <v>136</v>
      </c>
      <c r="E3475" s="43" t="s">
        <v>92</v>
      </c>
      <c r="F3475" s="42" t="s">
        <v>11469</v>
      </c>
      <c r="G3475" t="s">
        <v>13197</v>
      </c>
    </row>
    <row r="3476" spans="1:7" x14ac:dyDescent="0.3">
      <c r="A3476" s="42" t="s">
        <v>3259</v>
      </c>
      <c r="B3476" s="42" t="s">
        <v>3668</v>
      </c>
      <c r="C3476" s="42" t="s">
        <v>9214</v>
      </c>
      <c r="D3476" s="43" t="s">
        <v>136</v>
      </c>
      <c r="E3476" s="43" t="s">
        <v>92</v>
      </c>
      <c r="F3476" s="42" t="s">
        <v>11469</v>
      </c>
      <c r="G3476" t="s">
        <v>13197</v>
      </c>
    </row>
    <row r="3477" spans="1:7" x14ac:dyDescent="0.3">
      <c r="A3477" s="42" t="s">
        <v>3259</v>
      </c>
      <c r="B3477" s="42" t="s">
        <v>3669</v>
      </c>
      <c r="C3477" s="42" t="s">
        <v>9215</v>
      </c>
      <c r="D3477" s="43" t="s">
        <v>136</v>
      </c>
      <c r="E3477" s="43" t="s">
        <v>92</v>
      </c>
      <c r="F3477" s="42" t="s">
        <v>11469</v>
      </c>
      <c r="G3477" t="s">
        <v>13197</v>
      </c>
    </row>
    <row r="3478" spans="1:7" x14ac:dyDescent="0.3">
      <c r="A3478" s="42" t="s">
        <v>3259</v>
      </c>
      <c r="B3478" s="42" t="s">
        <v>3670</v>
      </c>
      <c r="C3478" s="42" t="s">
        <v>9216</v>
      </c>
      <c r="D3478" s="43" t="s">
        <v>136</v>
      </c>
      <c r="E3478" s="43" t="s">
        <v>92</v>
      </c>
      <c r="F3478" s="42" t="s">
        <v>11469</v>
      </c>
      <c r="G3478" t="s">
        <v>13197</v>
      </c>
    </row>
    <row r="3479" spans="1:7" x14ac:dyDescent="0.3">
      <c r="A3479" s="42" t="s">
        <v>3259</v>
      </c>
      <c r="B3479" s="42" t="s">
        <v>3671</v>
      </c>
      <c r="C3479" s="42" t="s">
        <v>9217</v>
      </c>
      <c r="D3479" s="43" t="s">
        <v>136</v>
      </c>
      <c r="E3479" s="43" t="s">
        <v>92</v>
      </c>
      <c r="F3479" s="42" t="s">
        <v>11469</v>
      </c>
      <c r="G3479" t="s">
        <v>13197</v>
      </c>
    </row>
    <row r="3480" spans="1:7" x14ac:dyDescent="0.3">
      <c r="A3480" s="42" t="s">
        <v>3259</v>
      </c>
      <c r="B3480" s="42" t="s">
        <v>3672</v>
      </c>
      <c r="C3480" s="42" t="s">
        <v>9218</v>
      </c>
      <c r="D3480" s="43" t="s">
        <v>136</v>
      </c>
      <c r="E3480" s="43" t="s">
        <v>92</v>
      </c>
      <c r="F3480" s="42" t="s">
        <v>11469</v>
      </c>
      <c r="G3480" t="s">
        <v>13197</v>
      </c>
    </row>
    <row r="3481" spans="1:7" x14ac:dyDescent="0.3">
      <c r="A3481" s="42" t="s">
        <v>3259</v>
      </c>
      <c r="B3481" s="42" t="s">
        <v>3673</v>
      </c>
      <c r="C3481" s="42" t="s">
        <v>9219</v>
      </c>
      <c r="D3481" s="43" t="s">
        <v>136</v>
      </c>
      <c r="E3481" s="43" t="s">
        <v>92</v>
      </c>
      <c r="F3481" s="42" t="s">
        <v>137</v>
      </c>
      <c r="G3481" t="s">
        <v>13197</v>
      </c>
    </row>
    <row r="3482" spans="1:7" x14ac:dyDescent="0.3">
      <c r="A3482" s="42" t="s">
        <v>3259</v>
      </c>
      <c r="B3482" s="42" t="s">
        <v>3674</v>
      </c>
      <c r="C3482" s="42" t="s">
        <v>9220</v>
      </c>
      <c r="D3482" s="43" t="s">
        <v>136</v>
      </c>
      <c r="E3482" s="43" t="s">
        <v>92</v>
      </c>
      <c r="F3482" s="42" t="s">
        <v>11469</v>
      </c>
      <c r="G3482" t="s">
        <v>13197</v>
      </c>
    </row>
    <row r="3483" spans="1:7" x14ac:dyDescent="0.3">
      <c r="A3483" s="42" t="s">
        <v>3259</v>
      </c>
      <c r="B3483" s="42" t="s">
        <v>3675</v>
      </c>
      <c r="C3483" s="42" t="s">
        <v>9221</v>
      </c>
      <c r="D3483" s="43" t="s">
        <v>136</v>
      </c>
      <c r="E3483" s="43" t="s">
        <v>92</v>
      </c>
      <c r="F3483" s="42" t="s">
        <v>11469</v>
      </c>
      <c r="G3483" t="s">
        <v>13197</v>
      </c>
    </row>
    <row r="3484" spans="1:7" x14ac:dyDescent="0.3">
      <c r="A3484" s="42" t="s">
        <v>3259</v>
      </c>
      <c r="B3484" s="42" t="s">
        <v>3676</v>
      </c>
      <c r="C3484" s="42" t="s">
        <v>9222</v>
      </c>
      <c r="D3484" s="43" t="s">
        <v>136</v>
      </c>
      <c r="E3484" s="43" t="s">
        <v>92</v>
      </c>
      <c r="F3484" s="42" t="s">
        <v>11469</v>
      </c>
      <c r="G3484" t="s">
        <v>13197</v>
      </c>
    </row>
    <row r="3485" spans="1:7" x14ac:dyDescent="0.3">
      <c r="A3485" s="42" t="s">
        <v>3259</v>
      </c>
      <c r="B3485" s="42" t="s">
        <v>3677</v>
      </c>
      <c r="C3485" s="42" t="s">
        <v>9223</v>
      </c>
      <c r="D3485" s="43" t="s">
        <v>136</v>
      </c>
      <c r="E3485" s="43" t="s">
        <v>92</v>
      </c>
      <c r="F3485" s="42" t="s">
        <v>192</v>
      </c>
      <c r="G3485" t="s">
        <v>13196</v>
      </c>
    </row>
    <row r="3486" spans="1:7" x14ac:dyDescent="0.3">
      <c r="A3486" s="42" t="s">
        <v>3259</v>
      </c>
      <c r="B3486" s="42" t="s">
        <v>3678</v>
      </c>
      <c r="C3486" s="42" t="s">
        <v>9224</v>
      </c>
      <c r="D3486" s="43" t="s">
        <v>136</v>
      </c>
      <c r="E3486" s="43" t="s">
        <v>92</v>
      </c>
      <c r="F3486" s="42" t="s">
        <v>11469</v>
      </c>
      <c r="G3486" t="s">
        <v>13197</v>
      </c>
    </row>
    <row r="3487" spans="1:7" x14ac:dyDescent="0.3">
      <c r="A3487" s="42" t="s">
        <v>3259</v>
      </c>
      <c r="B3487" s="42" t="s">
        <v>3679</v>
      </c>
      <c r="C3487" s="42" t="s">
        <v>9225</v>
      </c>
      <c r="D3487" s="43" t="s">
        <v>136</v>
      </c>
      <c r="E3487" s="43" t="s">
        <v>92</v>
      </c>
      <c r="F3487" s="42" t="s">
        <v>11469</v>
      </c>
      <c r="G3487" t="s">
        <v>13197</v>
      </c>
    </row>
    <row r="3488" spans="1:7" x14ac:dyDescent="0.3">
      <c r="A3488" s="42" t="s">
        <v>3259</v>
      </c>
      <c r="B3488" s="42" t="s">
        <v>3680</v>
      </c>
      <c r="C3488" s="42" t="s">
        <v>9226</v>
      </c>
      <c r="D3488" s="43" t="s">
        <v>136</v>
      </c>
      <c r="E3488" s="43" t="s">
        <v>92</v>
      </c>
      <c r="F3488" s="42" t="s">
        <v>11469</v>
      </c>
      <c r="G3488" t="s">
        <v>13197</v>
      </c>
    </row>
    <row r="3489" spans="1:7" x14ac:dyDescent="0.3">
      <c r="A3489" s="42" t="s">
        <v>3259</v>
      </c>
      <c r="B3489" s="42" t="s">
        <v>3681</v>
      </c>
      <c r="C3489" s="42" t="s">
        <v>9227</v>
      </c>
      <c r="D3489" s="43" t="s">
        <v>136</v>
      </c>
      <c r="E3489" s="43" t="s">
        <v>92</v>
      </c>
      <c r="F3489" s="42" t="s">
        <v>11469</v>
      </c>
      <c r="G3489" t="s">
        <v>13197</v>
      </c>
    </row>
    <row r="3490" spans="1:7" x14ac:dyDescent="0.3">
      <c r="A3490" s="42" t="s">
        <v>3259</v>
      </c>
      <c r="B3490" s="42" t="s">
        <v>3682</v>
      </c>
      <c r="C3490" s="42" t="s">
        <v>9228</v>
      </c>
      <c r="D3490" s="43" t="s">
        <v>136</v>
      </c>
      <c r="E3490" s="43" t="s">
        <v>92</v>
      </c>
      <c r="F3490" s="42" t="s">
        <v>11469</v>
      </c>
      <c r="G3490" t="s">
        <v>13197</v>
      </c>
    </row>
    <row r="3491" spans="1:7" x14ac:dyDescent="0.3">
      <c r="A3491" s="42" t="s">
        <v>3259</v>
      </c>
      <c r="B3491" s="42" t="s">
        <v>3683</v>
      </c>
      <c r="C3491" s="42" t="s">
        <v>9229</v>
      </c>
      <c r="D3491" s="43" t="s">
        <v>136</v>
      </c>
      <c r="E3491" s="43" t="s">
        <v>92</v>
      </c>
      <c r="F3491" s="42" t="s">
        <v>11469</v>
      </c>
      <c r="G3491" t="s">
        <v>13197</v>
      </c>
    </row>
    <row r="3492" spans="1:7" x14ac:dyDescent="0.3">
      <c r="A3492" s="42" t="s">
        <v>3259</v>
      </c>
      <c r="B3492" s="42" t="s">
        <v>3684</v>
      </c>
      <c r="C3492" s="42" t="s">
        <v>9230</v>
      </c>
      <c r="D3492" s="43" t="s">
        <v>136</v>
      </c>
      <c r="E3492" s="43" t="s">
        <v>92</v>
      </c>
      <c r="F3492" s="42" t="s">
        <v>11469</v>
      </c>
      <c r="G3492" t="s">
        <v>13197</v>
      </c>
    </row>
    <row r="3493" spans="1:7" x14ac:dyDescent="0.3">
      <c r="A3493" s="42" t="s">
        <v>3259</v>
      </c>
      <c r="B3493" s="42" t="s">
        <v>3685</v>
      </c>
      <c r="C3493" s="42" t="s">
        <v>9231</v>
      </c>
      <c r="D3493" s="43" t="s">
        <v>136</v>
      </c>
      <c r="E3493" s="43" t="s">
        <v>92</v>
      </c>
      <c r="F3493" s="42" t="s">
        <v>11469</v>
      </c>
      <c r="G3493" t="s">
        <v>13197</v>
      </c>
    </row>
    <row r="3494" spans="1:7" x14ac:dyDescent="0.3">
      <c r="A3494" s="42" t="s">
        <v>3259</v>
      </c>
      <c r="B3494" s="42" t="s">
        <v>3686</v>
      </c>
      <c r="C3494" s="42" t="s">
        <v>9232</v>
      </c>
      <c r="D3494" s="43" t="s">
        <v>136</v>
      </c>
      <c r="E3494" s="43" t="s">
        <v>92</v>
      </c>
      <c r="F3494" s="42" t="s">
        <v>11469</v>
      </c>
      <c r="G3494" t="s">
        <v>13197</v>
      </c>
    </row>
    <row r="3495" spans="1:7" x14ac:dyDescent="0.3">
      <c r="A3495" s="42" t="s">
        <v>3259</v>
      </c>
      <c r="B3495" s="42" t="s">
        <v>2764</v>
      </c>
      <c r="C3495" s="42" t="s">
        <v>9233</v>
      </c>
      <c r="D3495" s="43" t="s">
        <v>136</v>
      </c>
      <c r="E3495" s="43" t="s">
        <v>92</v>
      </c>
      <c r="F3495" s="42" t="s">
        <v>11469</v>
      </c>
      <c r="G3495" t="s">
        <v>13197</v>
      </c>
    </row>
    <row r="3496" spans="1:7" x14ac:dyDescent="0.3">
      <c r="A3496" s="42" t="s">
        <v>3259</v>
      </c>
      <c r="B3496" s="42" t="s">
        <v>3687</v>
      </c>
      <c r="C3496" s="42" t="s">
        <v>9234</v>
      </c>
      <c r="D3496" s="43" t="s">
        <v>136</v>
      </c>
      <c r="E3496" s="43" t="s">
        <v>92</v>
      </c>
      <c r="F3496" s="42" t="s">
        <v>11469</v>
      </c>
      <c r="G3496" t="s">
        <v>13197</v>
      </c>
    </row>
    <row r="3497" spans="1:7" x14ac:dyDescent="0.3">
      <c r="A3497" s="42" t="s">
        <v>3259</v>
      </c>
      <c r="B3497" s="42" t="s">
        <v>3688</v>
      </c>
      <c r="C3497" s="42" t="s">
        <v>9235</v>
      </c>
      <c r="D3497" s="43" t="s">
        <v>136</v>
      </c>
      <c r="E3497" s="43" t="s">
        <v>92</v>
      </c>
      <c r="F3497" s="42" t="s">
        <v>11469</v>
      </c>
      <c r="G3497" t="s">
        <v>13197</v>
      </c>
    </row>
    <row r="3498" spans="1:7" x14ac:dyDescent="0.3">
      <c r="A3498" s="42" t="s">
        <v>3259</v>
      </c>
      <c r="B3498" s="42" t="s">
        <v>3689</v>
      </c>
      <c r="C3498" s="42" t="s">
        <v>9236</v>
      </c>
      <c r="D3498" s="43" t="s">
        <v>136</v>
      </c>
      <c r="E3498" s="43" t="s">
        <v>92</v>
      </c>
      <c r="F3498" s="42" t="s">
        <v>11469</v>
      </c>
      <c r="G3498" t="s">
        <v>13197</v>
      </c>
    </row>
    <row r="3499" spans="1:7" x14ac:dyDescent="0.3">
      <c r="A3499" s="42" t="s">
        <v>3259</v>
      </c>
      <c r="B3499" s="42" t="s">
        <v>1357</v>
      </c>
      <c r="C3499" s="42" t="s">
        <v>9237</v>
      </c>
      <c r="D3499" s="43" t="s">
        <v>136</v>
      </c>
      <c r="E3499" s="43" t="s">
        <v>92</v>
      </c>
      <c r="F3499" s="42" t="s">
        <v>11469</v>
      </c>
      <c r="G3499" t="s">
        <v>13197</v>
      </c>
    </row>
    <row r="3500" spans="1:7" x14ac:dyDescent="0.3">
      <c r="A3500" s="42" t="s">
        <v>3259</v>
      </c>
      <c r="B3500" s="42" t="s">
        <v>1062</v>
      </c>
      <c r="C3500" s="42" t="s">
        <v>9238</v>
      </c>
      <c r="D3500" s="43" t="s">
        <v>136</v>
      </c>
      <c r="E3500" s="43" t="s">
        <v>92</v>
      </c>
      <c r="F3500" s="42" t="s">
        <v>192</v>
      </c>
      <c r="G3500" t="s">
        <v>13196</v>
      </c>
    </row>
    <row r="3501" spans="1:7" x14ac:dyDescent="0.3">
      <c r="A3501" s="42" t="s">
        <v>3259</v>
      </c>
      <c r="B3501" s="42" t="s">
        <v>2767</v>
      </c>
      <c r="C3501" s="42" t="s">
        <v>9239</v>
      </c>
      <c r="D3501" s="43" t="s">
        <v>136</v>
      </c>
      <c r="E3501" s="43" t="s">
        <v>92</v>
      </c>
      <c r="F3501" s="42" t="s">
        <v>11469</v>
      </c>
      <c r="G3501" t="s">
        <v>13197</v>
      </c>
    </row>
    <row r="3502" spans="1:7" x14ac:dyDescent="0.3">
      <c r="A3502" s="42" t="s">
        <v>3259</v>
      </c>
      <c r="B3502" s="42" t="s">
        <v>3690</v>
      </c>
      <c r="C3502" s="42" t="s">
        <v>9240</v>
      </c>
      <c r="D3502" s="43" t="s">
        <v>136</v>
      </c>
      <c r="E3502" s="43" t="s">
        <v>92</v>
      </c>
      <c r="F3502" s="42" t="s">
        <v>11469</v>
      </c>
      <c r="G3502" t="s">
        <v>13197</v>
      </c>
    </row>
    <row r="3503" spans="1:7" x14ac:dyDescent="0.3">
      <c r="A3503" s="42" t="s">
        <v>3259</v>
      </c>
      <c r="B3503" s="42" t="s">
        <v>3691</v>
      </c>
      <c r="C3503" s="42" t="s">
        <v>9241</v>
      </c>
      <c r="D3503" s="43" t="s">
        <v>136</v>
      </c>
      <c r="E3503" s="43" t="s">
        <v>92</v>
      </c>
      <c r="F3503" s="42" t="s">
        <v>11469</v>
      </c>
      <c r="G3503" t="s">
        <v>13197</v>
      </c>
    </row>
    <row r="3504" spans="1:7" x14ac:dyDescent="0.3">
      <c r="A3504" s="42" t="s">
        <v>3259</v>
      </c>
      <c r="B3504" s="42" t="s">
        <v>3692</v>
      </c>
      <c r="C3504" s="42" t="s">
        <v>9242</v>
      </c>
      <c r="D3504" s="43" t="s">
        <v>136</v>
      </c>
      <c r="E3504" s="43" t="s">
        <v>92</v>
      </c>
      <c r="F3504" s="42" t="s">
        <v>11469</v>
      </c>
      <c r="G3504" t="s">
        <v>13197</v>
      </c>
    </row>
    <row r="3505" spans="1:7" x14ac:dyDescent="0.3">
      <c r="A3505" s="42" t="s">
        <v>3259</v>
      </c>
      <c r="B3505" s="42" t="s">
        <v>3693</v>
      </c>
      <c r="C3505" s="42" t="s">
        <v>9243</v>
      </c>
      <c r="D3505" s="43" t="s">
        <v>136</v>
      </c>
      <c r="E3505" s="43" t="s">
        <v>92</v>
      </c>
      <c r="F3505" s="42" t="s">
        <v>192</v>
      </c>
      <c r="G3505" t="s">
        <v>13196</v>
      </c>
    </row>
    <row r="3506" spans="1:7" x14ac:dyDescent="0.3">
      <c r="A3506" s="42" t="s">
        <v>3259</v>
      </c>
      <c r="B3506" s="42" t="s">
        <v>3694</v>
      </c>
      <c r="C3506" s="42" t="s">
        <v>9244</v>
      </c>
      <c r="D3506" s="43" t="s">
        <v>136</v>
      </c>
      <c r="E3506" s="43" t="s">
        <v>92</v>
      </c>
      <c r="F3506" s="42" t="s">
        <v>11469</v>
      </c>
      <c r="G3506" t="s">
        <v>13197</v>
      </c>
    </row>
    <row r="3507" spans="1:7" x14ac:dyDescent="0.3">
      <c r="A3507" s="42" t="s">
        <v>3259</v>
      </c>
      <c r="B3507" s="42" t="s">
        <v>3695</v>
      </c>
      <c r="C3507" s="42" t="s">
        <v>9245</v>
      </c>
      <c r="D3507" s="43" t="s">
        <v>136</v>
      </c>
      <c r="E3507" s="43" t="s">
        <v>92</v>
      </c>
      <c r="F3507" s="42" t="s">
        <v>11469</v>
      </c>
      <c r="G3507" t="s">
        <v>13197</v>
      </c>
    </row>
    <row r="3508" spans="1:7" x14ac:dyDescent="0.3">
      <c r="A3508" s="42" t="s">
        <v>3259</v>
      </c>
      <c r="B3508" s="42" t="s">
        <v>3696</v>
      </c>
      <c r="C3508" s="42" t="s">
        <v>9246</v>
      </c>
      <c r="D3508" s="43" t="s">
        <v>136</v>
      </c>
      <c r="E3508" s="43" t="s">
        <v>92</v>
      </c>
      <c r="F3508" s="42" t="s">
        <v>11469</v>
      </c>
      <c r="G3508" t="s">
        <v>13197</v>
      </c>
    </row>
    <row r="3509" spans="1:7" x14ac:dyDescent="0.3">
      <c r="A3509" s="42" t="s">
        <v>3259</v>
      </c>
      <c r="B3509" s="42" t="s">
        <v>3697</v>
      </c>
      <c r="C3509" s="42" t="s">
        <v>9247</v>
      </c>
      <c r="D3509" s="43" t="s">
        <v>136</v>
      </c>
      <c r="E3509" s="43" t="s">
        <v>92</v>
      </c>
      <c r="F3509" s="42" t="s">
        <v>11469</v>
      </c>
      <c r="G3509" t="s">
        <v>13200</v>
      </c>
    </row>
    <row r="3510" spans="1:7" x14ac:dyDescent="0.3">
      <c r="A3510" s="42" t="s">
        <v>3259</v>
      </c>
      <c r="B3510" s="42" t="s">
        <v>3698</v>
      </c>
      <c r="C3510" s="42" t="s">
        <v>9248</v>
      </c>
      <c r="D3510" s="43" t="s">
        <v>136</v>
      </c>
      <c r="E3510" s="43" t="s">
        <v>92</v>
      </c>
      <c r="F3510" s="42" t="s">
        <v>11469</v>
      </c>
      <c r="G3510" t="s">
        <v>13197</v>
      </c>
    </row>
    <row r="3511" spans="1:7" x14ac:dyDescent="0.3">
      <c r="A3511" s="42" t="s">
        <v>3259</v>
      </c>
      <c r="B3511" s="42" t="s">
        <v>3699</v>
      </c>
      <c r="C3511" s="42" t="s">
        <v>9249</v>
      </c>
      <c r="D3511" s="43" t="s">
        <v>136</v>
      </c>
      <c r="E3511" s="43" t="s">
        <v>92</v>
      </c>
      <c r="F3511" s="42" t="s">
        <v>11469</v>
      </c>
      <c r="G3511" t="s">
        <v>13197</v>
      </c>
    </row>
    <row r="3512" spans="1:7" x14ac:dyDescent="0.3">
      <c r="A3512" s="42" t="s">
        <v>3259</v>
      </c>
      <c r="B3512" s="42" t="s">
        <v>3700</v>
      </c>
      <c r="C3512" s="42" t="s">
        <v>9250</v>
      </c>
      <c r="D3512" s="43" t="s">
        <v>136</v>
      </c>
      <c r="E3512" s="43" t="s">
        <v>92</v>
      </c>
      <c r="F3512" s="42" t="s">
        <v>11469</v>
      </c>
      <c r="G3512" t="s">
        <v>13197</v>
      </c>
    </row>
    <row r="3513" spans="1:7" x14ac:dyDescent="0.3">
      <c r="A3513" s="42" t="s">
        <v>3259</v>
      </c>
      <c r="B3513" s="42" t="s">
        <v>3701</v>
      </c>
      <c r="C3513" s="42" t="s">
        <v>9251</v>
      </c>
      <c r="D3513" s="43" t="s">
        <v>136</v>
      </c>
      <c r="E3513" s="43" t="s">
        <v>92</v>
      </c>
      <c r="F3513" s="42" t="s">
        <v>11469</v>
      </c>
      <c r="G3513" t="s">
        <v>13197</v>
      </c>
    </row>
    <row r="3514" spans="1:7" x14ac:dyDescent="0.3">
      <c r="A3514" s="42" t="s">
        <v>3259</v>
      </c>
      <c r="B3514" s="42" t="s">
        <v>3702</v>
      </c>
      <c r="C3514" s="42" t="s">
        <v>9252</v>
      </c>
      <c r="D3514" s="43" t="s">
        <v>136</v>
      </c>
      <c r="E3514" s="43" t="s">
        <v>92</v>
      </c>
      <c r="F3514" s="42" t="s">
        <v>11469</v>
      </c>
      <c r="G3514" t="s">
        <v>13197</v>
      </c>
    </row>
    <row r="3515" spans="1:7" x14ac:dyDescent="0.3">
      <c r="A3515" s="42" t="s">
        <v>3259</v>
      </c>
      <c r="B3515" s="42" t="s">
        <v>3703</v>
      </c>
      <c r="C3515" s="42" t="s">
        <v>9253</v>
      </c>
      <c r="D3515" s="43" t="s">
        <v>136</v>
      </c>
      <c r="E3515" s="43" t="s">
        <v>92</v>
      </c>
      <c r="F3515" s="42" t="s">
        <v>11469</v>
      </c>
      <c r="G3515" t="s">
        <v>13197</v>
      </c>
    </row>
    <row r="3516" spans="1:7" x14ac:dyDescent="0.3">
      <c r="A3516" s="42" t="s">
        <v>3259</v>
      </c>
      <c r="B3516" s="42" t="s">
        <v>3704</v>
      </c>
      <c r="C3516" s="42" t="s">
        <v>9254</v>
      </c>
      <c r="D3516" s="43" t="s">
        <v>136</v>
      </c>
      <c r="E3516" s="43" t="s">
        <v>92</v>
      </c>
      <c r="F3516" s="42" t="s">
        <v>11469</v>
      </c>
      <c r="G3516" t="s">
        <v>13197</v>
      </c>
    </row>
    <row r="3517" spans="1:7" x14ac:dyDescent="0.3">
      <c r="A3517" s="42" t="s">
        <v>3259</v>
      </c>
      <c r="B3517" s="42" t="s">
        <v>3705</v>
      </c>
      <c r="C3517" s="42" t="s">
        <v>9255</v>
      </c>
      <c r="D3517" s="43" t="s">
        <v>136</v>
      </c>
      <c r="E3517" s="43" t="s">
        <v>92</v>
      </c>
      <c r="F3517" s="42" t="s">
        <v>11469</v>
      </c>
      <c r="G3517" t="s">
        <v>13197</v>
      </c>
    </row>
    <row r="3518" spans="1:7" x14ac:dyDescent="0.3">
      <c r="A3518" s="42" t="s">
        <v>3259</v>
      </c>
      <c r="B3518" s="42" t="s">
        <v>3706</v>
      </c>
      <c r="C3518" s="42" t="s">
        <v>9256</v>
      </c>
      <c r="D3518" s="43" t="s">
        <v>136</v>
      </c>
      <c r="E3518" s="43" t="s">
        <v>92</v>
      </c>
      <c r="F3518" s="42" t="s">
        <v>11469</v>
      </c>
      <c r="G3518" t="s">
        <v>13197</v>
      </c>
    </row>
    <row r="3519" spans="1:7" x14ac:dyDescent="0.3">
      <c r="A3519" s="42" t="s">
        <v>3259</v>
      </c>
      <c r="B3519" s="42" t="s">
        <v>3707</v>
      </c>
      <c r="C3519" s="42" t="s">
        <v>9257</v>
      </c>
      <c r="D3519" s="43" t="s">
        <v>136</v>
      </c>
      <c r="E3519" s="43" t="s">
        <v>92</v>
      </c>
      <c r="F3519" s="42" t="s">
        <v>11469</v>
      </c>
      <c r="G3519" t="s">
        <v>13197</v>
      </c>
    </row>
    <row r="3520" spans="1:7" x14ac:dyDescent="0.3">
      <c r="A3520" s="42" t="s">
        <v>3259</v>
      </c>
      <c r="B3520" s="42" t="s">
        <v>3708</v>
      </c>
      <c r="C3520" s="42" t="s">
        <v>9258</v>
      </c>
      <c r="D3520" s="43" t="s">
        <v>136</v>
      </c>
      <c r="E3520" s="43" t="s">
        <v>92</v>
      </c>
      <c r="F3520" s="42" t="s">
        <v>11469</v>
      </c>
      <c r="G3520" t="s">
        <v>13198</v>
      </c>
    </row>
    <row r="3521" spans="1:7" x14ac:dyDescent="0.3">
      <c r="A3521" s="42" t="s">
        <v>3259</v>
      </c>
      <c r="B3521" s="42" t="s">
        <v>3709</v>
      </c>
      <c r="C3521" s="42" t="s">
        <v>9259</v>
      </c>
      <c r="D3521" s="43" t="s">
        <v>136</v>
      </c>
      <c r="E3521" s="43" t="s">
        <v>92</v>
      </c>
      <c r="F3521" s="42" t="s">
        <v>11469</v>
      </c>
      <c r="G3521" t="s">
        <v>13197</v>
      </c>
    </row>
    <row r="3522" spans="1:7" x14ac:dyDescent="0.3">
      <c r="A3522" s="42" t="s">
        <v>3259</v>
      </c>
      <c r="B3522" s="42" t="s">
        <v>3710</v>
      </c>
      <c r="C3522" s="42" t="s">
        <v>9260</v>
      </c>
      <c r="D3522" s="43" t="s">
        <v>136</v>
      </c>
      <c r="E3522" s="43" t="s">
        <v>92</v>
      </c>
      <c r="F3522" s="42" t="s">
        <v>11469</v>
      </c>
      <c r="G3522" t="s">
        <v>13197</v>
      </c>
    </row>
    <row r="3523" spans="1:7" x14ac:dyDescent="0.3">
      <c r="A3523" s="42" t="s">
        <v>3259</v>
      </c>
      <c r="B3523" s="42" t="s">
        <v>3711</v>
      </c>
      <c r="C3523" s="42" t="s">
        <v>9261</v>
      </c>
      <c r="D3523" s="43" t="s">
        <v>136</v>
      </c>
      <c r="E3523" s="43" t="s">
        <v>92</v>
      </c>
      <c r="F3523" s="42" t="s">
        <v>11469</v>
      </c>
      <c r="G3523" t="s">
        <v>13197</v>
      </c>
    </row>
    <row r="3524" spans="1:7" x14ac:dyDescent="0.3">
      <c r="A3524" s="42" t="s">
        <v>3259</v>
      </c>
      <c r="B3524" s="42" t="s">
        <v>3712</v>
      </c>
      <c r="C3524" s="42" t="s">
        <v>9262</v>
      </c>
      <c r="D3524" s="43" t="s">
        <v>136</v>
      </c>
      <c r="E3524" s="43" t="s">
        <v>92</v>
      </c>
      <c r="F3524" s="42" t="s">
        <v>11469</v>
      </c>
      <c r="G3524" t="s">
        <v>13197</v>
      </c>
    </row>
    <row r="3525" spans="1:7" x14ac:dyDescent="0.3">
      <c r="A3525" s="42" t="s">
        <v>3259</v>
      </c>
      <c r="B3525" s="42" t="s">
        <v>3713</v>
      </c>
      <c r="C3525" s="42" t="s">
        <v>9263</v>
      </c>
      <c r="D3525" s="43" t="s">
        <v>136</v>
      </c>
      <c r="E3525" s="43" t="s">
        <v>92</v>
      </c>
      <c r="F3525" s="42" t="s">
        <v>11469</v>
      </c>
      <c r="G3525" t="s">
        <v>13197</v>
      </c>
    </row>
    <row r="3526" spans="1:7" x14ac:dyDescent="0.3">
      <c r="A3526" s="42" t="s">
        <v>3259</v>
      </c>
      <c r="B3526" s="42" t="s">
        <v>3714</v>
      </c>
      <c r="C3526" s="42" t="s">
        <v>9264</v>
      </c>
      <c r="D3526" s="43" t="s">
        <v>136</v>
      </c>
      <c r="E3526" s="43" t="s">
        <v>92</v>
      </c>
      <c r="F3526" s="42" t="s">
        <v>11469</v>
      </c>
      <c r="G3526" t="s">
        <v>13197</v>
      </c>
    </row>
    <row r="3527" spans="1:7" x14ac:dyDescent="0.3">
      <c r="A3527" s="42" t="s">
        <v>3259</v>
      </c>
      <c r="B3527" s="42" t="s">
        <v>3715</v>
      </c>
      <c r="C3527" s="42" t="s">
        <v>9265</v>
      </c>
      <c r="D3527" s="43" t="s">
        <v>136</v>
      </c>
      <c r="E3527" s="43" t="s">
        <v>92</v>
      </c>
      <c r="F3527" s="42" t="s">
        <v>11469</v>
      </c>
      <c r="G3527" t="s">
        <v>13197</v>
      </c>
    </row>
    <row r="3528" spans="1:7" x14ac:dyDescent="0.3">
      <c r="A3528" s="42" t="s">
        <v>3259</v>
      </c>
      <c r="B3528" s="42" t="s">
        <v>3716</v>
      </c>
      <c r="C3528" s="42" t="s">
        <v>9266</v>
      </c>
      <c r="D3528" s="43" t="s">
        <v>136</v>
      </c>
      <c r="E3528" s="43" t="s">
        <v>92</v>
      </c>
      <c r="F3528" s="42" t="s">
        <v>11469</v>
      </c>
      <c r="G3528" t="s">
        <v>13197</v>
      </c>
    </row>
    <row r="3529" spans="1:7" x14ac:dyDescent="0.3">
      <c r="A3529" s="42" t="s">
        <v>3259</v>
      </c>
      <c r="B3529" s="42" t="s">
        <v>3717</v>
      </c>
      <c r="C3529" s="42" t="s">
        <v>9267</v>
      </c>
      <c r="D3529" s="43" t="s">
        <v>136</v>
      </c>
      <c r="E3529" s="43" t="s">
        <v>92</v>
      </c>
      <c r="F3529" s="42" t="s">
        <v>11469</v>
      </c>
      <c r="G3529" t="s">
        <v>13197</v>
      </c>
    </row>
    <row r="3530" spans="1:7" x14ac:dyDescent="0.3">
      <c r="A3530" s="42" t="s">
        <v>3259</v>
      </c>
      <c r="B3530" s="42" t="s">
        <v>3718</v>
      </c>
      <c r="C3530" s="42" t="s">
        <v>9268</v>
      </c>
      <c r="D3530" s="43" t="s">
        <v>136</v>
      </c>
      <c r="E3530" s="43" t="s">
        <v>92</v>
      </c>
      <c r="F3530" s="42" t="s">
        <v>11469</v>
      </c>
      <c r="G3530" t="s">
        <v>13197</v>
      </c>
    </row>
    <row r="3531" spans="1:7" x14ac:dyDescent="0.3">
      <c r="A3531" s="42" t="s">
        <v>3259</v>
      </c>
      <c r="B3531" s="42" t="s">
        <v>3719</v>
      </c>
      <c r="C3531" s="42" t="s">
        <v>9269</v>
      </c>
      <c r="D3531" s="43" t="s">
        <v>136</v>
      </c>
      <c r="E3531" s="43" t="s">
        <v>92</v>
      </c>
      <c r="F3531" s="42" t="s">
        <v>11469</v>
      </c>
      <c r="G3531" t="s">
        <v>13197</v>
      </c>
    </row>
    <row r="3532" spans="1:7" x14ac:dyDescent="0.3">
      <c r="A3532" s="42" t="s">
        <v>3259</v>
      </c>
      <c r="B3532" s="42" t="s">
        <v>3720</v>
      </c>
      <c r="C3532" s="42" t="s">
        <v>9270</v>
      </c>
      <c r="D3532" s="43" t="s">
        <v>136</v>
      </c>
      <c r="E3532" s="43" t="s">
        <v>92</v>
      </c>
      <c r="F3532" s="42" t="s">
        <v>11469</v>
      </c>
      <c r="G3532" t="s">
        <v>13197</v>
      </c>
    </row>
    <row r="3533" spans="1:7" x14ac:dyDescent="0.3">
      <c r="A3533" s="42" t="s">
        <v>3259</v>
      </c>
      <c r="B3533" s="42" t="s">
        <v>3721</v>
      </c>
      <c r="C3533" s="42" t="s">
        <v>9271</v>
      </c>
      <c r="D3533" s="43" t="s">
        <v>136</v>
      </c>
      <c r="E3533" s="43" t="s">
        <v>92</v>
      </c>
      <c r="F3533" s="42" t="s">
        <v>11469</v>
      </c>
      <c r="G3533" t="s">
        <v>13197</v>
      </c>
    </row>
    <row r="3534" spans="1:7" x14ac:dyDescent="0.3">
      <c r="A3534" s="42" t="s">
        <v>3259</v>
      </c>
      <c r="B3534" s="42" t="s">
        <v>3722</v>
      </c>
      <c r="C3534" s="42" t="s">
        <v>9272</v>
      </c>
      <c r="D3534" s="43" t="s">
        <v>136</v>
      </c>
      <c r="E3534" s="43" t="s">
        <v>92</v>
      </c>
      <c r="F3534" s="42" t="s">
        <v>11469</v>
      </c>
      <c r="G3534" t="s">
        <v>13197</v>
      </c>
    </row>
    <row r="3535" spans="1:7" x14ac:dyDescent="0.3">
      <c r="A3535" s="42" t="s">
        <v>3259</v>
      </c>
      <c r="B3535" s="42" t="s">
        <v>3723</v>
      </c>
      <c r="C3535" s="42" t="s">
        <v>9273</v>
      </c>
      <c r="D3535" s="43" t="s">
        <v>136</v>
      </c>
      <c r="E3535" s="43" t="s">
        <v>92</v>
      </c>
      <c r="F3535" s="42" t="s">
        <v>11469</v>
      </c>
      <c r="G3535" t="s">
        <v>13197</v>
      </c>
    </row>
    <row r="3536" spans="1:7" x14ac:dyDescent="0.3">
      <c r="A3536" s="42" t="s">
        <v>3259</v>
      </c>
      <c r="B3536" s="42" t="s">
        <v>1081</v>
      </c>
      <c r="C3536" s="42" t="s">
        <v>9274</v>
      </c>
      <c r="D3536" s="43" t="s">
        <v>136</v>
      </c>
      <c r="E3536" s="43" t="s">
        <v>92</v>
      </c>
      <c r="F3536" s="42" t="s">
        <v>11469</v>
      </c>
      <c r="G3536" t="s">
        <v>13197</v>
      </c>
    </row>
    <row r="3537" spans="1:7" x14ac:dyDescent="0.3">
      <c r="A3537" s="42" t="s">
        <v>3259</v>
      </c>
      <c r="B3537" s="42" t="s">
        <v>3724</v>
      </c>
      <c r="C3537" s="42" t="s">
        <v>9275</v>
      </c>
      <c r="D3537" s="43" t="s">
        <v>136</v>
      </c>
      <c r="E3537" s="43" t="s">
        <v>92</v>
      </c>
      <c r="F3537" s="42" t="s">
        <v>11469</v>
      </c>
      <c r="G3537" t="s">
        <v>13197</v>
      </c>
    </row>
    <row r="3538" spans="1:7" x14ac:dyDescent="0.3">
      <c r="A3538" s="42" t="s">
        <v>3259</v>
      </c>
      <c r="B3538" s="42" t="s">
        <v>3725</v>
      </c>
      <c r="C3538" s="42" t="s">
        <v>9276</v>
      </c>
      <c r="D3538" s="43" t="s">
        <v>136</v>
      </c>
      <c r="E3538" s="43" t="s">
        <v>92</v>
      </c>
      <c r="F3538" s="42" t="s">
        <v>11469</v>
      </c>
      <c r="G3538" t="s">
        <v>13197</v>
      </c>
    </row>
    <row r="3539" spans="1:7" x14ac:dyDescent="0.3">
      <c r="A3539" s="42" t="s">
        <v>3259</v>
      </c>
      <c r="B3539" s="42" t="s">
        <v>3726</v>
      </c>
      <c r="C3539" s="42" t="s">
        <v>9277</v>
      </c>
      <c r="D3539" s="43" t="s">
        <v>136</v>
      </c>
      <c r="E3539" s="43" t="s">
        <v>92</v>
      </c>
      <c r="F3539" s="42" t="s">
        <v>11469</v>
      </c>
      <c r="G3539" t="s">
        <v>13197</v>
      </c>
    </row>
    <row r="3540" spans="1:7" x14ac:dyDescent="0.3">
      <c r="A3540" s="42" t="s">
        <v>3259</v>
      </c>
      <c r="B3540" s="42" t="s">
        <v>3727</v>
      </c>
      <c r="C3540" s="42" t="s">
        <v>9278</v>
      </c>
      <c r="D3540" s="43" t="s">
        <v>136</v>
      </c>
      <c r="E3540" s="43" t="s">
        <v>92</v>
      </c>
      <c r="F3540" s="42" t="s">
        <v>11469</v>
      </c>
      <c r="G3540" t="s">
        <v>13197</v>
      </c>
    </row>
    <row r="3541" spans="1:7" x14ac:dyDescent="0.3">
      <c r="A3541" s="42" t="s">
        <v>3259</v>
      </c>
      <c r="B3541" s="42" t="s">
        <v>3728</v>
      </c>
      <c r="C3541" s="42" t="s">
        <v>9279</v>
      </c>
      <c r="D3541" s="43" t="s">
        <v>136</v>
      </c>
      <c r="E3541" s="43" t="s">
        <v>92</v>
      </c>
      <c r="F3541" s="42" t="s">
        <v>11469</v>
      </c>
      <c r="G3541" t="s">
        <v>13197</v>
      </c>
    </row>
    <row r="3542" spans="1:7" x14ac:dyDescent="0.3">
      <c r="A3542" s="42" t="s">
        <v>3259</v>
      </c>
      <c r="B3542" s="42" t="s">
        <v>3729</v>
      </c>
      <c r="C3542" s="42" t="s">
        <v>9280</v>
      </c>
      <c r="D3542" s="43" t="s">
        <v>136</v>
      </c>
      <c r="E3542" s="43" t="s">
        <v>92</v>
      </c>
      <c r="F3542" s="42" t="s">
        <v>11469</v>
      </c>
      <c r="G3542" t="s">
        <v>13197</v>
      </c>
    </row>
    <row r="3543" spans="1:7" x14ac:dyDescent="0.3">
      <c r="A3543" s="42" t="s">
        <v>3259</v>
      </c>
      <c r="B3543" s="42" t="s">
        <v>3730</v>
      </c>
      <c r="C3543" s="42" t="s">
        <v>9281</v>
      </c>
      <c r="D3543" s="43" t="s">
        <v>136</v>
      </c>
      <c r="E3543" s="43" t="s">
        <v>92</v>
      </c>
      <c r="F3543" s="42" t="s">
        <v>11469</v>
      </c>
      <c r="G3543" t="s">
        <v>13197</v>
      </c>
    </row>
    <row r="3544" spans="1:7" x14ac:dyDescent="0.3">
      <c r="A3544" s="42" t="s">
        <v>3259</v>
      </c>
      <c r="B3544" s="42" t="s">
        <v>3731</v>
      </c>
      <c r="C3544" s="42" t="s">
        <v>9282</v>
      </c>
      <c r="D3544" s="43" t="s">
        <v>136</v>
      </c>
      <c r="E3544" s="43" t="s">
        <v>92</v>
      </c>
      <c r="F3544" s="42" t="s">
        <v>11469</v>
      </c>
      <c r="G3544" t="s">
        <v>13197</v>
      </c>
    </row>
    <row r="3545" spans="1:7" x14ac:dyDescent="0.3">
      <c r="A3545" s="42" t="s">
        <v>3259</v>
      </c>
      <c r="B3545" s="42" t="s">
        <v>3732</v>
      </c>
      <c r="C3545" s="42" t="s">
        <v>9283</v>
      </c>
      <c r="D3545" s="43" t="s">
        <v>136</v>
      </c>
      <c r="E3545" s="43" t="s">
        <v>92</v>
      </c>
      <c r="F3545" s="42" t="s">
        <v>192</v>
      </c>
      <c r="G3545" t="s">
        <v>13196</v>
      </c>
    </row>
    <row r="3546" spans="1:7" x14ac:dyDescent="0.3">
      <c r="A3546" s="42" t="s">
        <v>3259</v>
      </c>
      <c r="B3546" s="42" t="s">
        <v>3733</v>
      </c>
      <c r="C3546" s="42" t="s">
        <v>9284</v>
      </c>
      <c r="D3546" s="43" t="s">
        <v>136</v>
      </c>
      <c r="E3546" s="43" t="s">
        <v>92</v>
      </c>
      <c r="F3546" s="42" t="s">
        <v>11469</v>
      </c>
      <c r="G3546" t="s">
        <v>13197</v>
      </c>
    </row>
    <row r="3547" spans="1:7" x14ac:dyDescent="0.3">
      <c r="A3547" s="42" t="s">
        <v>3259</v>
      </c>
      <c r="B3547" s="42" t="s">
        <v>3734</v>
      </c>
      <c r="C3547" s="42" t="s">
        <v>9285</v>
      </c>
      <c r="D3547" s="43" t="s">
        <v>136</v>
      </c>
      <c r="E3547" s="43" t="s">
        <v>92</v>
      </c>
      <c r="F3547" s="42" t="s">
        <v>11469</v>
      </c>
      <c r="G3547" t="s">
        <v>13197</v>
      </c>
    </row>
    <row r="3548" spans="1:7" x14ac:dyDescent="0.3">
      <c r="A3548" s="42" t="s">
        <v>3259</v>
      </c>
      <c r="B3548" s="42" t="s">
        <v>3735</v>
      </c>
      <c r="C3548" s="42" t="s">
        <v>9286</v>
      </c>
      <c r="D3548" s="43" t="s">
        <v>136</v>
      </c>
      <c r="E3548" s="43" t="s">
        <v>92</v>
      </c>
      <c r="F3548" s="42" t="s">
        <v>11469</v>
      </c>
      <c r="G3548" t="s">
        <v>13197</v>
      </c>
    </row>
    <row r="3549" spans="1:7" x14ac:dyDescent="0.3">
      <c r="A3549" s="42" t="s">
        <v>3259</v>
      </c>
      <c r="B3549" s="42" t="s">
        <v>3736</v>
      </c>
      <c r="C3549" s="42" t="s">
        <v>9287</v>
      </c>
      <c r="D3549" s="43" t="s">
        <v>136</v>
      </c>
      <c r="E3549" s="43" t="s">
        <v>92</v>
      </c>
      <c r="F3549" s="42" t="s">
        <v>192</v>
      </c>
      <c r="G3549" t="s">
        <v>13196</v>
      </c>
    </row>
    <row r="3550" spans="1:7" x14ac:dyDescent="0.3">
      <c r="A3550" s="42" t="s">
        <v>3259</v>
      </c>
      <c r="B3550" s="42" t="s">
        <v>3737</v>
      </c>
      <c r="C3550" s="42" t="s">
        <v>9288</v>
      </c>
      <c r="D3550" s="43" t="s">
        <v>136</v>
      </c>
      <c r="E3550" s="43" t="s">
        <v>92</v>
      </c>
      <c r="F3550" s="42" t="s">
        <v>11469</v>
      </c>
      <c r="G3550" t="s">
        <v>13197</v>
      </c>
    </row>
    <row r="3551" spans="1:7" x14ac:dyDescent="0.3">
      <c r="A3551" s="42" t="s">
        <v>3259</v>
      </c>
      <c r="B3551" s="42" t="s">
        <v>3738</v>
      </c>
      <c r="C3551" s="42" t="s">
        <v>9289</v>
      </c>
      <c r="D3551" s="43" t="s">
        <v>136</v>
      </c>
      <c r="E3551" s="43" t="s">
        <v>92</v>
      </c>
      <c r="F3551" s="42" t="s">
        <v>11469</v>
      </c>
      <c r="G3551" t="s">
        <v>13197</v>
      </c>
    </row>
    <row r="3552" spans="1:7" x14ac:dyDescent="0.3">
      <c r="A3552" s="42" t="s">
        <v>3259</v>
      </c>
      <c r="B3552" s="42" t="s">
        <v>3739</v>
      </c>
      <c r="C3552" s="42" t="s">
        <v>9290</v>
      </c>
      <c r="D3552" s="43" t="s">
        <v>136</v>
      </c>
      <c r="E3552" s="43" t="s">
        <v>92</v>
      </c>
      <c r="F3552" s="42" t="s">
        <v>11469</v>
      </c>
      <c r="G3552" t="s">
        <v>13197</v>
      </c>
    </row>
    <row r="3553" spans="1:7" x14ac:dyDescent="0.3">
      <c r="A3553" s="42" t="s">
        <v>3259</v>
      </c>
      <c r="B3553" s="42" t="s">
        <v>3740</v>
      </c>
      <c r="C3553" s="42" t="s">
        <v>9291</v>
      </c>
      <c r="D3553" s="43" t="s">
        <v>136</v>
      </c>
      <c r="E3553" s="43" t="s">
        <v>92</v>
      </c>
      <c r="F3553" s="42" t="s">
        <v>11469</v>
      </c>
      <c r="G3553" t="s">
        <v>13197</v>
      </c>
    </row>
    <row r="3554" spans="1:7" x14ac:dyDescent="0.3">
      <c r="A3554" s="42" t="s">
        <v>3259</v>
      </c>
      <c r="B3554" s="42" t="s">
        <v>3741</v>
      </c>
      <c r="C3554" s="42" t="s">
        <v>9292</v>
      </c>
      <c r="D3554" s="43" t="s">
        <v>136</v>
      </c>
      <c r="E3554" s="43" t="s">
        <v>92</v>
      </c>
      <c r="F3554" s="42" t="s">
        <v>11469</v>
      </c>
      <c r="G3554" t="s">
        <v>13197</v>
      </c>
    </row>
    <row r="3555" spans="1:7" x14ac:dyDescent="0.3">
      <c r="A3555" s="42" t="s">
        <v>3259</v>
      </c>
      <c r="B3555" s="42" t="s">
        <v>3742</v>
      </c>
      <c r="C3555" s="42" t="s">
        <v>9293</v>
      </c>
      <c r="D3555" s="43" t="s">
        <v>136</v>
      </c>
      <c r="E3555" s="43" t="s">
        <v>92</v>
      </c>
      <c r="F3555" s="42" t="s">
        <v>11469</v>
      </c>
      <c r="G3555" t="s">
        <v>13197</v>
      </c>
    </row>
    <row r="3556" spans="1:7" x14ac:dyDescent="0.3">
      <c r="A3556" s="42" t="s">
        <v>3259</v>
      </c>
      <c r="B3556" s="42" t="s">
        <v>3743</v>
      </c>
      <c r="C3556" s="42" t="s">
        <v>9294</v>
      </c>
      <c r="D3556" s="43" t="s">
        <v>136</v>
      </c>
      <c r="E3556" s="43" t="s">
        <v>92</v>
      </c>
      <c r="F3556" s="42" t="s">
        <v>11469</v>
      </c>
      <c r="G3556" t="s">
        <v>13197</v>
      </c>
    </row>
    <row r="3557" spans="1:7" x14ac:dyDescent="0.3">
      <c r="A3557" s="42" t="s">
        <v>3259</v>
      </c>
      <c r="B3557" s="42" t="s">
        <v>3744</v>
      </c>
      <c r="C3557" s="42" t="s">
        <v>9295</v>
      </c>
      <c r="D3557" s="43" t="s">
        <v>136</v>
      </c>
      <c r="E3557" s="43" t="s">
        <v>92</v>
      </c>
      <c r="F3557" s="42" t="s">
        <v>11469</v>
      </c>
      <c r="G3557" t="s">
        <v>13197</v>
      </c>
    </row>
    <row r="3558" spans="1:7" x14ac:dyDescent="0.3">
      <c r="A3558" s="42" t="s">
        <v>3259</v>
      </c>
      <c r="B3558" s="42" t="s">
        <v>3745</v>
      </c>
      <c r="C3558" s="42" t="s">
        <v>9296</v>
      </c>
      <c r="D3558" s="43" t="s">
        <v>136</v>
      </c>
      <c r="E3558" s="43" t="s">
        <v>92</v>
      </c>
      <c r="F3558" s="42" t="s">
        <v>11469</v>
      </c>
      <c r="G3558" t="s">
        <v>13197</v>
      </c>
    </row>
    <row r="3559" spans="1:7" x14ac:dyDescent="0.3">
      <c r="A3559" s="42" t="s">
        <v>3259</v>
      </c>
      <c r="B3559" s="42" t="s">
        <v>3746</v>
      </c>
      <c r="C3559" s="42" t="s">
        <v>9297</v>
      </c>
      <c r="D3559" s="43" t="s">
        <v>136</v>
      </c>
      <c r="E3559" s="43" t="s">
        <v>92</v>
      </c>
      <c r="F3559" s="42" t="s">
        <v>11469</v>
      </c>
      <c r="G3559" t="s">
        <v>13197</v>
      </c>
    </row>
    <row r="3560" spans="1:7" x14ac:dyDescent="0.3">
      <c r="A3560" s="42" t="s">
        <v>3259</v>
      </c>
      <c r="B3560" s="42" t="s">
        <v>3747</v>
      </c>
      <c r="C3560" s="42" t="s">
        <v>9298</v>
      </c>
      <c r="D3560" s="43" t="s">
        <v>136</v>
      </c>
      <c r="E3560" s="43" t="s">
        <v>92</v>
      </c>
      <c r="F3560" s="42" t="s">
        <v>11469</v>
      </c>
      <c r="G3560" t="s">
        <v>13197</v>
      </c>
    </row>
    <row r="3561" spans="1:7" x14ac:dyDescent="0.3">
      <c r="A3561" s="42" t="s">
        <v>3259</v>
      </c>
      <c r="B3561" s="42" t="s">
        <v>3748</v>
      </c>
      <c r="C3561" s="42" t="s">
        <v>9299</v>
      </c>
      <c r="D3561" s="43" t="s">
        <v>136</v>
      </c>
      <c r="E3561" s="43" t="s">
        <v>92</v>
      </c>
      <c r="F3561" s="42" t="s">
        <v>11469</v>
      </c>
      <c r="G3561" t="s">
        <v>13197</v>
      </c>
    </row>
    <row r="3562" spans="1:7" x14ac:dyDescent="0.3">
      <c r="A3562" s="42" t="s">
        <v>3259</v>
      </c>
      <c r="B3562" s="42" t="s">
        <v>3749</v>
      </c>
      <c r="C3562" s="42" t="s">
        <v>9300</v>
      </c>
      <c r="D3562" s="43" t="s">
        <v>136</v>
      </c>
      <c r="E3562" s="43" t="s">
        <v>92</v>
      </c>
      <c r="F3562" s="42" t="s">
        <v>11469</v>
      </c>
      <c r="G3562" t="s">
        <v>13197</v>
      </c>
    </row>
    <row r="3563" spans="1:7" x14ac:dyDescent="0.3">
      <c r="A3563" s="42" t="s">
        <v>3259</v>
      </c>
      <c r="B3563" s="42" t="s">
        <v>3750</v>
      </c>
      <c r="C3563" s="42" t="s">
        <v>9301</v>
      </c>
      <c r="D3563" s="43" t="s">
        <v>136</v>
      </c>
      <c r="E3563" s="43" t="s">
        <v>92</v>
      </c>
      <c r="F3563" s="42" t="s">
        <v>11469</v>
      </c>
      <c r="G3563" t="s">
        <v>13197</v>
      </c>
    </row>
    <row r="3564" spans="1:7" x14ac:dyDescent="0.3">
      <c r="A3564" s="42" t="s">
        <v>3259</v>
      </c>
      <c r="B3564" s="42" t="s">
        <v>3751</v>
      </c>
      <c r="C3564" s="42" t="s">
        <v>9302</v>
      </c>
      <c r="D3564" s="43" t="s">
        <v>136</v>
      </c>
      <c r="E3564" s="43" t="s">
        <v>92</v>
      </c>
      <c r="F3564" s="42" t="s">
        <v>11469</v>
      </c>
      <c r="G3564" t="s">
        <v>13197</v>
      </c>
    </row>
    <row r="3565" spans="1:7" x14ac:dyDescent="0.3">
      <c r="A3565" s="42" t="s">
        <v>3259</v>
      </c>
      <c r="B3565" s="42" t="s">
        <v>3752</v>
      </c>
      <c r="C3565" s="42" t="s">
        <v>9303</v>
      </c>
      <c r="D3565" s="43" t="s">
        <v>136</v>
      </c>
      <c r="E3565" s="43" t="s">
        <v>92</v>
      </c>
      <c r="F3565" s="42" t="s">
        <v>11469</v>
      </c>
      <c r="G3565" t="s">
        <v>13197</v>
      </c>
    </row>
    <row r="3566" spans="1:7" x14ac:dyDescent="0.3">
      <c r="A3566" s="42" t="s">
        <v>3259</v>
      </c>
      <c r="B3566" s="42" t="s">
        <v>3753</v>
      </c>
      <c r="C3566" s="42" t="s">
        <v>9304</v>
      </c>
      <c r="D3566" s="43" t="s">
        <v>136</v>
      </c>
      <c r="E3566" s="43" t="s">
        <v>92</v>
      </c>
      <c r="F3566" s="42" t="s">
        <v>11469</v>
      </c>
      <c r="G3566" t="s">
        <v>13197</v>
      </c>
    </row>
    <row r="3567" spans="1:7" x14ac:dyDescent="0.3">
      <c r="A3567" s="42" t="s">
        <v>3259</v>
      </c>
      <c r="B3567" s="42" t="s">
        <v>3754</v>
      </c>
      <c r="C3567" s="42" t="s">
        <v>9305</v>
      </c>
      <c r="D3567" s="43" t="s">
        <v>136</v>
      </c>
      <c r="E3567" s="43" t="s">
        <v>92</v>
      </c>
      <c r="F3567" s="42" t="s">
        <v>11469</v>
      </c>
      <c r="G3567" t="s">
        <v>13197</v>
      </c>
    </row>
    <row r="3568" spans="1:7" x14ac:dyDescent="0.3">
      <c r="A3568" s="42" t="s">
        <v>3259</v>
      </c>
      <c r="B3568" s="42" t="s">
        <v>3755</v>
      </c>
      <c r="C3568" s="42" t="s">
        <v>9306</v>
      </c>
      <c r="D3568" s="43" t="s">
        <v>136</v>
      </c>
      <c r="E3568" s="43" t="s">
        <v>92</v>
      </c>
      <c r="F3568" s="42" t="s">
        <v>11469</v>
      </c>
      <c r="G3568" t="s">
        <v>13197</v>
      </c>
    </row>
    <row r="3569" spans="1:7" x14ac:dyDescent="0.3">
      <c r="A3569" s="42" t="s">
        <v>3259</v>
      </c>
      <c r="B3569" s="42" t="s">
        <v>3756</v>
      </c>
      <c r="C3569" s="42" t="s">
        <v>9307</v>
      </c>
      <c r="D3569" s="43" t="s">
        <v>136</v>
      </c>
      <c r="E3569" s="43" t="s">
        <v>92</v>
      </c>
      <c r="F3569" s="42" t="s">
        <v>11469</v>
      </c>
      <c r="G3569" t="s">
        <v>13197</v>
      </c>
    </row>
    <row r="3570" spans="1:7" x14ac:dyDescent="0.3">
      <c r="A3570" s="42" t="s">
        <v>3259</v>
      </c>
      <c r="B3570" s="42" t="s">
        <v>3757</v>
      </c>
      <c r="C3570" s="42" t="s">
        <v>9308</v>
      </c>
      <c r="D3570" s="43" t="s">
        <v>136</v>
      </c>
      <c r="E3570" s="43" t="s">
        <v>92</v>
      </c>
      <c r="F3570" s="42" t="s">
        <v>11469</v>
      </c>
      <c r="G3570" t="s">
        <v>13197</v>
      </c>
    </row>
    <row r="3571" spans="1:7" x14ac:dyDescent="0.3">
      <c r="A3571" s="42" t="s">
        <v>3259</v>
      </c>
      <c r="B3571" s="42" t="s">
        <v>3758</v>
      </c>
      <c r="C3571" s="42" t="s">
        <v>9309</v>
      </c>
      <c r="D3571" s="43" t="s">
        <v>136</v>
      </c>
      <c r="E3571" s="43" t="s">
        <v>92</v>
      </c>
      <c r="F3571" s="42" t="s">
        <v>11469</v>
      </c>
      <c r="G3571" t="s">
        <v>13197</v>
      </c>
    </row>
    <row r="3572" spans="1:7" x14ac:dyDescent="0.3">
      <c r="A3572" s="42" t="s">
        <v>3259</v>
      </c>
      <c r="B3572" s="42" t="s">
        <v>3759</v>
      </c>
      <c r="C3572" s="42" t="s">
        <v>9310</v>
      </c>
      <c r="D3572" s="43" t="s">
        <v>136</v>
      </c>
      <c r="E3572" s="43" t="s">
        <v>92</v>
      </c>
      <c r="F3572" s="42" t="s">
        <v>11469</v>
      </c>
      <c r="G3572" t="s">
        <v>13197</v>
      </c>
    </row>
    <row r="3573" spans="1:7" x14ac:dyDescent="0.3">
      <c r="A3573" s="42" t="s">
        <v>3259</v>
      </c>
      <c r="B3573" s="42" t="s">
        <v>3760</v>
      </c>
      <c r="C3573" s="42" t="s">
        <v>9311</v>
      </c>
      <c r="D3573" s="43" t="s">
        <v>136</v>
      </c>
      <c r="E3573" s="43" t="s">
        <v>92</v>
      </c>
      <c r="F3573" s="42" t="s">
        <v>11469</v>
      </c>
      <c r="G3573" t="s">
        <v>13197</v>
      </c>
    </row>
    <row r="3574" spans="1:7" x14ac:dyDescent="0.3">
      <c r="A3574" s="42" t="s">
        <v>3259</v>
      </c>
      <c r="B3574" s="42" t="s">
        <v>3761</v>
      </c>
      <c r="C3574" s="42" t="s">
        <v>9312</v>
      </c>
      <c r="D3574" s="43" t="s">
        <v>136</v>
      </c>
      <c r="E3574" s="43" t="s">
        <v>92</v>
      </c>
      <c r="F3574" s="42" t="s">
        <v>11469</v>
      </c>
      <c r="G3574" t="s">
        <v>13197</v>
      </c>
    </row>
    <row r="3575" spans="1:7" x14ac:dyDescent="0.3">
      <c r="A3575" s="42" t="s">
        <v>676</v>
      </c>
      <c r="B3575" s="42" t="s">
        <v>3762</v>
      </c>
      <c r="C3575" s="42" t="s">
        <v>9313</v>
      </c>
      <c r="D3575" s="43" t="s">
        <v>230</v>
      </c>
      <c r="E3575" s="43" t="s">
        <v>92</v>
      </c>
      <c r="F3575" s="42" t="s">
        <v>11469</v>
      </c>
      <c r="G3575" t="s">
        <v>13197</v>
      </c>
    </row>
    <row r="3576" spans="1:7" x14ac:dyDescent="0.3">
      <c r="A3576" s="42" t="s">
        <v>676</v>
      </c>
      <c r="B3576" s="42" t="s">
        <v>3763</v>
      </c>
      <c r="C3576" s="42" t="s">
        <v>9314</v>
      </c>
      <c r="D3576" s="43" t="s">
        <v>230</v>
      </c>
      <c r="E3576" s="43" t="s">
        <v>92</v>
      </c>
      <c r="F3576" s="42" t="s">
        <v>11469</v>
      </c>
      <c r="G3576" t="s">
        <v>13197</v>
      </c>
    </row>
    <row r="3577" spans="1:7" x14ac:dyDescent="0.3">
      <c r="A3577" s="42" t="s">
        <v>676</v>
      </c>
      <c r="B3577" s="42" t="s">
        <v>3764</v>
      </c>
      <c r="C3577" s="42" t="s">
        <v>9315</v>
      </c>
      <c r="D3577" s="43" t="s">
        <v>230</v>
      </c>
      <c r="E3577" s="43" t="s">
        <v>92</v>
      </c>
      <c r="F3577" s="42" t="s">
        <v>11469</v>
      </c>
      <c r="G3577" t="s">
        <v>13197</v>
      </c>
    </row>
    <row r="3578" spans="1:7" x14ac:dyDescent="0.3">
      <c r="A3578" s="42" t="s">
        <v>676</v>
      </c>
      <c r="B3578" s="42" t="s">
        <v>3765</v>
      </c>
      <c r="C3578" s="42" t="s">
        <v>9316</v>
      </c>
      <c r="D3578" s="43" t="s">
        <v>230</v>
      </c>
      <c r="E3578" s="43" t="s">
        <v>92</v>
      </c>
      <c r="F3578" s="42" t="s">
        <v>11469</v>
      </c>
      <c r="G3578" t="s">
        <v>13197</v>
      </c>
    </row>
    <row r="3579" spans="1:7" x14ac:dyDescent="0.3">
      <c r="A3579" s="42" t="s">
        <v>676</v>
      </c>
      <c r="B3579" s="42" t="s">
        <v>3766</v>
      </c>
      <c r="C3579" s="42" t="s">
        <v>9317</v>
      </c>
      <c r="D3579" s="43" t="s">
        <v>230</v>
      </c>
      <c r="E3579" s="43" t="s">
        <v>92</v>
      </c>
      <c r="F3579" s="42" t="s">
        <v>137</v>
      </c>
      <c r="G3579" t="s">
        <v>13197</v>
      </c>
    </row>
    <row r="3580" spans="1:7" x14ac:dyDescent="0.3">
      <c r="A3580" s="42" t="s">
        <v>676</v>
      </c>
      <c r="B3580" s="42" t="s">
        <v>3767</v>
      </c>
      <c r="C3580" s="42" t="s">
        <v>9318</v>
      </c>
      <c r="D3580" s="43" t="s">
        <v>230</v>
      </c>
      <c r="E3580" s="43" t="s">
        <v>92</v>
      </c>
      <c r="F3580" s="42" t="s">
        <v>11469</v>
      </c>
      <c r="G3580" t="s">
        <v>13197</v>
      </c>
    </row>
    <row r="3581" spans="1:7" x14ac:dyDescent="0.3">
      <c r="A3581" s="42" t="s">
        <v>676</v>
      </c>
      <c r="B3581" s="42" t="s">
        <v>3768</v>
      </c>
      <c r="C3581" s="42" t="s">
        <v>9319</v>
      </c>
      <c r="D3581" s="43" t="s">
        <v>230</v>
      </c>
      <c r="E3581" s="43" t="s">
        <v>92</v>
      </c>
      <c r="F3581" s="42" t="s">
        <v>11469</v>
      </c>
      <c r="G3581" t="s">
        <v>13197</v>
      </c>
    </row>
    <row r="3582" spans="1:7" x14ac:dyDescent="0.3">
      <c r="A3582" s="42" t="s">
        <v>676</v>
      </c>
      <c r="B3582" s="42" t="s">
        <v>3769</v>
      </c>
      <c r="C3582" s="42" t="s">
        <v>9320</v>
      </c>
      <c r="D3582" s="43" t="s">
        <v>230</v>
      </c>
      <c r="E3582" s="43" t="s">
        <v>92</v>
      </c>
      <c r="F3582" s="42" t="s">
        <v>11469</v>
      </c>
      <c r="G3582" t="s">
        <v>13197</v>
      </c>
    </row>
    <row r="3583" spans="1:7" x14ac:dyDescent="0.3">
      <c r="A3583" s="42" t="s">
        <v>676</v>
      </c>
      <c r="B3583" s="42" t="s">
        <v>3770</v>
      </c>
      <c r="C3583" s="42" t="s">
        <v>9321</v>
      </c>
      <c r="D3583" s="43" t="s">
        <v>230</v>
      </c>
      <c r="E3583" s="43" t="s">
        <v>92</v>
      </c>
      <c r="F3583" s="42" t="s">
        <v>11469</v>
      </c>
      <c r="G3583" t="s">
        <v>13197</v>
      </c>
    </row>
    <row r="3584" spans="1:7" x14ac:dyDescent="0.3">
      <c r="A3584" s="42" t="s">
        <v>676</v>
      </c>
      <c r="B3584" s="42" t="s">
        <v>3771</v>
      </c>
      <c r="C3584" s="42" t="s">
        <v>9322</v>
      </c>
      <c r="D3584" s="43" t="s">
        <v>230</v>
      </c>
      <c r="E3584" s="43" t="s">
        <v>92</v>
      </c>
      <c r="F3584" s="42" t="s">
        <v>11469</v>
      </c>
      <c r="G3584" t="s">
        <v>13197</v>
      </c>
    </row>
    <row r="3585" spans="1:7" x14ac:dyDescent="0.3">
      <c r="A3585" s="42" t="s">
        <v>676</v>
      </c>
      <c r="B3585" s="42" t="s">
        <v>3772</v>
      </c>
      <c r="C3585" s="42" t="s">
        <v>9323</v>
      </c>
      <c r="D3585" s="43" t="s">
        <v>230</v>
      </c>
      <c r="E3585" s="43" t="s">
        <v>92</v>
      </c>
      <c r="F3585" s="42" t="s">
        <v>11469</v>
      </c>
      <c r="G3585" t="s">
        <v>13197</v>
      </c>
    </row>
    <row r="3586" spans="1:7" x14ac:dyDescent="0.3">
      <c r="A3586" s="42" t="s">
        <v>676</v>
      </c>
      <c r="B3586" s="42" t="s">
        <v>3773</v>
      </c>
      <c r="C3586" s="42" t="s">
        <v>9324</v>
      </c>
      <c r="D3586" s="43" t="s">
        <v>230</v>
      </c>
      <c r="E3586" s="43" t="s">
        <v>92</v>
      </c>
      <c r="F3586" s="42" t="s">
        <v>11469</v>
      </c>
      <c r="G3586" t="s">
        <v>13197</v>
      </c>
    </row>
    <row r="3587" spans="1:7" x14ac:dyDescent="0.3">
      <c r="A3587" s="42" t="s">
        <v>676</v>
      </c>
      <c r="B3587" s="42" t="s">
        <v>3774</v>
      </c>
      <c r="C3587" s="42" t="s">
        <v>9325</v>
      </c>
      <c r="D3587" s="43" t="s">
        <v>230</v>
      </c>
      <c r="E3587" s="43" t="s">
        <v>92</v>
      </c>
      <c r="F3587" s="42" t="s">
        <v>11469</v>
      </c>
      <c r="G3587" t="s">
        <v>13197</v>
      </c>
    </row>
    <row r="3588" spans="1:7" x14ac:dyDescent="0.3">
      <c r="A3588" s="42" t="s">
        <v>676</v>
      </c>
      <c r="B3588" s="42" t="s">
        <v>3775</v>
      </c>
      <c r="C3588" s="42" t="s">
        <v>9326</v>
      </c>
      <c r="D3588" s="43" t="s">
        <v>230</v>
      </c>
      <c r="E3588" s="43" t="s">
        <v>92</v>
      </c>
      <c r="F3588" s="42" t="s">
        <v>11469</v>
      </c>
      <c r="G3588" t="s">
        <v>13197</v>
      </c>
    </row>
    <row r="3589" spans="1:7" x14ac:dyDescent="0.3">
      <c r="A3589" s="42" t="s">
        <v>676</v>
      </c>
      <c r="B3589" s="42" t="s">
        <v>3776</v>
      </c>
      <c r="C3589" s="42" t="s">
        <v>9327</v>
      </c>
      <c r="D3589" s="43" t="s">
        <v>230</v>
      </c>
      <c r="E3589" s="43" t="s">
        <v>92</v>
      </c>
      <c r="F3589" s="42" t="s">
        <v>11469</v>
      </c>
      <c r="G3589" t="s">
        <v>13197</v>
      </c>
    </row>
    <row r="3590" spans="1:7" x14ac:dyDescent="0.3">
      <c r="A3590" s="42" t="s">
        <v>676</v>
      </c>
      <c r="B3590" s="42" t="s">
        <v>3777</v>
      </c>
      <c r="C3590" s="42" t="s">
        <v>9328</v>
      </c>
      <c r="D3590" s="43" t="s">
        <v>230</v>
      </c>
      <c r="E3590" s="43" t="s">
        <v>92</v>
      </c>
      <c r="F3590" s="42" t="s">
        <v>11469</v>
      </c>
      <c r="G3590" t="s">
        <v>13197</v>
      </c>
    </row>
    <row r="3591" spans="1:7" x14ac:dyDescent="0.3">
      <c r="A3591" s="42" t="s">
        <v>676</v>
      </c>
      <c r="B3591" s="42" t="s">
        <v>676</v>
      </c>
      <c r="C3591" s="42" t="s">
        <v>9329</v>
      </c>
      <c r="D3591" s="43" t="s">
        <v>230</v>
      </c>
      <c r="E3591" s="43" t="s">
        <v>92</v>
      </c>
      <c r="F3591" s="42" t="s">
        <v>192</v>
      </c>
      <c r="G3591" t="s">
        <v>13196</v>
      </c>
    </row>
    <row r="3592" spans="1:7" x14ac:dyDescent="0.3">
      <c r="A3592" s="42" t="s">
        <v>676</v>
      </c>
      <c r="B3592" s="42" t="s">
        <v>3778</v>
      </c>
      <c r="C3592" s="42" t="s">
        <v>9330</v>
      </c>
      <c r="D3592" s="43" t="s">
        <v>230</v>
      </c>
      <c r="E3592" s="43" t="s">
        <v>92</v>
      </c>
      <c r="F3592" s="42" t="s">
        <v>11469</v>
      </c>
      <c r="G3592" t="s">
        <v>13197</v>
      </c>
    </row>
    <row r="3593" spans="1:7" x14ac:dyDescent="0.3">
      <c r="A3593" s="42" t="s">
        <v>676</v>
      </c>
      <c r="B3593" s="42" t="s">
        <v>3779</v>
      </c>
      <c r="C3593" s="42" t="s">
        <v>9331</v>
      </c>
      <c r="D3593" s="43" t="s">
        <v>230</v>
      </c>
      <c r="E3593" s="43" t="s">
        <v>92</v>
      </c>
      <c r="F3593" s="42" t="s">
        <v>11469</v>
      </c>
      <c r="G3593" t="s">
        <v>13197</v>
      </c>
    </row>
    <row r="3594" spans="1:7" x14ac:dyDescent="0.3">
      <c r="A3594" s="42" t="s">
        <v>676</v>
      </c>
      <c r="B3594" s="42" t="s">
        <v>3780</v>
      </c>
      <c r="C3594" s="42" t="s">
        <v>9332</v>
      </c>
      <c r="D3594" s="43" t="s">
        <v>230</v>
      </c>
      <c r="E3594" s="43" t="s">
        <v>92</v>
      </c>
      <c r="F3594" s="42" t="s">
        <v>11469</v>
      </c>
      <c r="G3594" t="s">
        <v>13197</v>
      </c>
    </row>
    <row r="3595" spans="1:7" x14ac:dyDescent="0.3">
      <c r="A3595" s="42" t="s">
        <v>676</v>
      </c>
      <c r="B3595" s="42" t="s">
        <v>3781</v>
      </c>
      <c r="C3595" s="42" t="s">
        <v>9333</v>
      </c>
      <c r="D3595" s="43" t="s">
        <v>230</v>
      </c>
      <c r="E3595" s="43" t="s">
        <v>92</v>
      </c>
      <c r="F3595" s="42" t="s">
        <v>11469</v>
      </c>
      <c r="G3595" t="s">
        <v>13197</v>
      </c>
    </row>
    <row r="3596" spans="1:7" x14ac:dyDescent="0.3">
      <c r="A3596" s="42" t="s">
        <v>676</v>
      </c>
      <c r="B3596" s="42" t="s">
        <v>3782</v>
      </c>
      <c r="C3596" s="42" t="s">
        <v>9334</v>
      </c>
      <c r="D3596" s="43" t="s">
        <v>230</v>
      </c>
      <c r="E3596" s="43" t="s">
        <v>92</v>
      </c>
      <c r="F3596" s="42" t="s">
        <v>11469</v>
      </c>
      <c r="G3596" t="s">
        <v>13197</v>
      </c>
    </row>
    <row r="3597" spans="1:7" x14ac:dyDescent="0.3">
      <c r="A3597" s="42" t="s">
        <v>676</v>
      </c>
      <c r="B3597" s="42" t="s">
        <v>3783</v>
      </c>
      <c r="C3597" s="42" t="s">
        <v>9335</v>
      </c>
      <c r="D3597" s="43" t="s">
        <v>230</v>
      </c>
      <c r="E3597" s="43" t="s">
        <v>92</v>
      </c>
      <c r="F3597" s="42" t="s">
        <v>11469</v>
      </c>
      <c r="G3597" t="s">
        <v>13197</v>
      </c>
    </row>
    <row r="3598" spans="1:7" x14ac:dyDescent="0.3">
      <c r="A3598" s="42" t="s">
        <v>676</v>
      </c>
      <c r="B3598" s="42" t="s">
        <v>3784</v>
      </c>
      <c r="C3598" s="42" t="s">
        <v>9336</v>
      </c>
      <c r="D3598" s="43" t="s">
        <v>230</v>
      </c>
      <c r="E3598" s="43" t="s">
        <v>92</v>
      </c>
      <c r="F3598" s="42" t="s">
        <v>11469</v>
      </c>
      <c r="G3598" t="s">
        <v>13197</v>
      </c>
    </row>
    <row r="3599" spans="1:7" x14ac:dyDescent="0.3">
      <c r="A3599" s="42" t="s">
        <v>3785</v>
      </c>
      <c r="B3599" s="42" t="s">
        <v>3786</v>
      </c>
      <c r="C3599" s="42" t="s">
        <v>9337</v>
      </c>
      <c r="D3599" s="43" t="s">
        <v>228</v>
      </c>
      <c r="E3599" s="43" t="s">
        <v>1430</v>
      </c>
      <c r="F3599" s="42" t="s">
        <v>192</v>
      </c>
      <c r="G3599" t="s">
        <v>13196</v>
      </c>
    </row>
    <row r="3600" spans="1:7" x14ac:dyDescent="0.3">
      <c r="A3600" s="42" t="s">
        <v>3785</v>
      </c>
      <c r="B3600" s="42" t="s">
        <v>3787</v>
      </c>
      <c r="C3600" s="42" t="s">
        <v>9338</v>
      </c>
      <c r="D3600" s="43" t="s">
        <v>228</v>
      </c>
      <c r="E3600" s="43" t="s">
        <v>1430</v>
      </c>
      <c r="F3600" s="42" t="s">
        <v>11469</v>
      </c>
      <c r="G3600" t="s">
        <v>13197</v>
      </c>
    </row>
    <row r="3601" spans="1:7" x14ac:dyDescent="0.3">
      <c r="A3601" s="42" t="s">
        <v>3785</v>
      </c>
      <c r="B3601" s="42" t="s">
        <v>3788</v>
      </c>
      <c r="C3601" s="42" t="s">
        <v>9339</v>
      </c>
      <c r="D3601" s="43" t="s">
        <v>228</v>
      </c>
      <c r="E3601" s="43" t="s">
        <v>1430</v>
      </c>
      <c r="F3601" s="42" t="s">
        <v>11469</v>
      </c>
      <c r="G3601" t="s">
        <v>13198</v>
      </c>
    </row>
    <row r="3602" spans="1:7" x14ac:dyDescent="0.3">
      <c r="A3602" s="42" t="s">
        <v>3785</v>
      </c>
      <c r="B3602" s="42" t="s">
        <v>3789</v>
      </c>
      <c r="C3602" s="42" t="s">
        <v>9340</v>
      </c>
      <c r="D3602" s="43" t="s">
        <v>228</v>
      </c>
      <c r="E3602" s="43" t="s">
        <v>1430</v>
      </c>
      <c r="F3602" s="42" t="s">
        <v>11469</v>
      </c>
      <c r="G3602" t="s">
        <v>13197</v>
      </c>
    </row>
    <row r="3603" spans="1:7" x14ac:dyDescent="0.3">
      <c r="A3603" s="42" t="s">
        <v>3785</v>
      </c>
      <c r="B3603" s="42" t="s">
        <v>3790</v>
      </c>
      <c r="C3603" s="42" t="s">
        <v>9341</v>
      </c>
      <c r="D3603" s="43" t="s">
        <v>228</v>
      </c>
      <c r="E3603" s="43" t="s">
        <v>1430</v>
      </c>
      <c r="F3603" s="42" t="s">
        <v>11469</v>
      </c>
      <c r="G3603" t="s">
        <v>13197</v>
      </c>
    </row>
    <row r="3604" spans="1:7" x14ac:dyDescent="0.3">
      <c r="A3604" s="42" t="s">
        <v>3785</v>
      </c>
      <c r="B3604" s="42" t="s">
        <v>3791</v>
      </c>
      <c r="C3604" s="42" t="s">
        <v>9342</v>
      </c>
      <c r="D3604" s="43" t="s">
        <v>228</v>
      </c>
      <c r="E3604" s="43" t="s">
        <v>1430</v>
      </c>
      <c r="F3604" s="42" t="s">
        <v>11469</v>
      </c>
      <c r="G3604" t="s">
        <v>13197</v>
      </c>
    </row>
    <row r="3605" spans="1:7" x14ac:dyDescent="0.3">
      <c r="A3605" s="42" t="s">
        <v>3785</v>
      </c>
      <c r="B3605" s="42" t="s">
        <v>3792</v>
      </c>
      <c r="C3605" s="42" t="s">
        <v>9343</v>
      </c>
      <c r="D3605" s="43" t="s">
        <v>228</v>
      </c>
      <c r="E3605" s="43" t="s">
        <v>1430</v>
      </c>
      <c r="F3605" s="42" t="s">
        <v>11469</v>
      </c>
      <c r="G3605" t="s">
        <v>13197</v>
      </c>
    </row>
    <row r="3606" spans="1:7" x14ac:dyDescent="0.3">
      <c r="A3606" s="42" t="s">
        <v>3785</v>
      </c>
      <c r="B3606" s="42" t="s">
        <v>3793</v>
      </c>
      <c r="C3606" s="42" t="s">
        <v>9344</v>
      </c>
      <c r="D3606" s="43" t="s">
        <v>228</v>
      </c>
      <c r="E3606" s="43" t="s">
        <v>1430</v>
      </c>
      <c r="F3606" s="42" t="s">
        <v>11469</v>
      </c>
      <c r="G3606" t="s">
        <v>13197</v>
      </c>
    </row>
    <row r="3607" spans="1:7" x14ac:dyDescent="0.3">
      <c r="A3607" s="42" t="s">
        <v>3785</v>
      </c>
      <c r="B3607" s="42" t="s">
        <v>3794</v>
      </c>
      <c r="C3607" s="42" t="s">
        <v>9345</v>
      </c>
      <c r="D3607" s="43" t="s">
        <v>228</v>
      </c>
      <c r="E3607" s="43" t="s">
        <v>1430</v>
      </c>
      <c r="F3607" s="42" t="s">
        <v>11469</v>
      </c>
      <c r="G3607" t="s">
        <v>13197</v>
      </c>
    </row>
    <row r="3608" spans="1:7" x14ac:dyDescent="0.3">
      <c r="A3608" s="42" t="s">
        <v>3785</v>
      </c>
      <c r="B3608" s="42" t="s">
        <v>3795</v>
      </c>
      <c r="C3608" s="42" t="s">
        <v>9346</v>
      </c>
      <c r="D3608" s="43" t="s">
        <v>228</v>
      </c>
      <c r="E3608" s="43" t="s">
        <v>1430</v>
      </c>
      <c r="F3608" s="42" t="s">
        <v>137</v>
      </c>
      <c r="G3608" t="s">
        <v>13197</v>
      </c>
    </row>
    <row r="3609" spans="1:7" x14ac:dyDescent="0.3">
      <c r="A3609" s="42" t="s">
        <v>3785</v>
      </c>
      <c r="B3609" s="42" t="s">
        <v>3796</v>
      </c>
      <c r="C3609" s="42" t="s">
        <v>9347</v>
      </c>
      <c r="D3609" s="43" t="s">
        <v>228</v>
      </c>
      <c r="E3609" s="43" t="s">
        <v>1430</v>
      </c>
      <c r="F3609" s="42" t="s">
        <v>11469</v>
      </c>
      <c r="G3609" t="s">
        <v>13197</v>
      </c>
    </row>
    <row r="3610" spans="1:7" x14ac:dyDescent="0.3">
      <c r="A3610" s="42" t="s">
        <v>3785</v>
      </c>
      <c r="B3610" s="42" t="s">
        <v>3797</v>
      </c>
      <c r="C3610" s="42" t="s">
        <v>9348</v>
      </c>
      <c r="D3610" s="43" t="s">
        <v>228</v>
      </c>
      <c r="E3610" s="43" t="s">
        <v>1430</v>
      </c>
      <c r="F3610" s="42" t="s">
        <v>11469</v>
      </c>
      <c r="G3610" t="s">
        <v>13197</v>
      </c>
    </row>
    <row r="3611" spans="1:7" x14ac:dyDescent="0.3">
      <c r="A3611" s="42" t="s">
        <v>3785</v>
      </c>
      <c r="B3611" s="42" t="s">
        <v>3798</v>
      </c>
      <c r="C3611" s="42" t="s">
        <v>9349</v>
      </c>
      <c r="D3611" s="43" t="s">
        <v>228</v>
      </c>
      <c r="E3611" s="43" t="s">
        <v>1430</v>
      </c>
      <c r="F3611" s="42" t="s">
        <v>11469</v>
      </c>
      <c r="G3611" t="s">
        <v>13197</v>
      </c>
    </row>
    <row r="3612" spans="1:7" x14ac:dyDescent="0.3">
      <c r="A3612" s="42" t="s">
        <v>3785</v>
      </c>
      <c r="B3612" s="42" t="s">
        <v>3799</v>
      </c>
      <c r="C3612" s="42" t="s">
        <v>9350</v>
      </c>
      <c r="D3612" s="43" t="s">
        <v>228</v>
      </c>
      <c r="E3612" s="43" t="s">
        <v>1430</v>
      </c>
      <c r="F3612" s="42" t="s">
        <v>11469</v>
      </c>
      <c r="G3612" t="s">
        <v>13197</v>
      </c>
    </row>
    <row r="3613" spans="1:7" x14ac:dyDescent="0.3">
      <c r="A3613" s="42" t="s">
        <v>3785</v>
      </c>
      <c r="B3613" s="42" t="s">
        <v>3800</v>
      </c>
      <c r="C3613" s="42" t="s">
        <v>9351</v>
      </c>
      <c r="D3613" s="43" t="s">
        <v>228</v>
      </c>
      <c r="E3613" s="43" t="s">
        <v>1430</v>
      </c>
      <c r="F3613" s="42" t="s">
        <v>11469</v>
      </c>
      <c r="G3613" t="s">
        <v>13197</v>
      </c>
    </row>
    <row r="3614" spans="1:7" x14ac:dyDescent="0.3">
      <c r="A3614" s="42" t="s">
        <v>3785</v>
      </c>
      <c r="B3614" s="42" t="s">
        <v>3801</v>
      </c>
      <c r="C3614" s="42" t="s">
        <v>9352</v>
      </c>
      <c r="D3614" s="43" t="s">
        <v>228</v>
      </c>
      <c r="E3614" s="43" t="s">
        <v>1430</v>
      </c>
      <c r="F3614" s="42" t="s">
        <v>11469</v>
      </c>
      <c r="G3614" t="s">
        <v>13197</v>
      </c>
    </row>
    <row r="3615" spans="1:7" x14ac:dyDescent="0.3">
      <c r="A3615" s="42" t="s">
        <v>3785</v>
      </c>
      <c r="B3615" s="42" t="s">
        <v>3802</v>
      </c>
      <c r="C3615" s="42" t="s">
        <v>9353</v>
      </c>
      <c r="D3615" s="43" t="s">
        <v>228</v>
      </c>
      <c r="E3615" s="43" t="s">
        <v>1430</v>
      </c>
      <c r="F3615" s="42" t="s">
        <v>11469</v>
      </c>
      <c r="G3615" t="s">
        <v>13197</v>
      </c>
    </row>
    <row r="3616" spans="1:7" x14ac:dyDescent="0.3">
      <c r="A3616" s="42" t="s">
        <v>3785</v>
      </c>
      <c r="B3616" s="42" t="s">
        <v>3803</v>
      </c>
      <c r="C3616" s="42" t="s">
        <v>9354</v>
      </c>
      <c r="D3616" s="43" t="s">
        <v>228</v>
      </c>
      <c r="E3616" s="43" t="s">
        <v>1430</v>
      </c>
      <c r="F3616" s="42" t="s">
        <v>11469</v>
      </c>
      <c r="G3616" t="s">
        <v>13197</v>
      </c>
    </row>
    <row r="3617" spans="1:7" x14ac:dyDescent="0.3">
      <c r="A3617" s="42" t="s">
        <v>3785</v>
      </c>
      <c r="B3617" s="42" t="s">
        <v>3804</v>
      </c>
      <c r="C3617" s="42" t="s">
        <v>9355</v>
      </c>
      <c r="D3617" s="43" t="s">
        <v>228</v>
      </c>
      <c r="E3617" s="43" t="s">
        <v>1430</v>
      </c>
      <c r="F3617" s="42" t="s">
        <v>11469</v>
      </c>
      <c r="G3617" t="s">
        <v>13197</v>
      </c>
    </row>
    <row r="3618" spans="1:7" x14ac:dyDescent="0.3">
      <c r="A3618" s="42" t="s">
        <v>3785</v>
      </c>
      <c r="B3618" s="42" t="s">
        <v>3805</v>
      </c>
      <c r="C3618" s="42" t="s">
        <v>9356</v>
      </c>
      <c r="D3618" s="43" t="s">
        <v>228</v>
      </c>
      <c r="E3618" s="43" t="s">
        <v>1430</v>
      </c>
      <c r="F3618" s="42" t="s">
        <v>192</v>
      </c>
      <c r="G3618" t="s">
        <v>13196</v>
      </c>
    </row>
    <row r="3619" spans="1:7" x14ac:dyDescent="0.3">
      <c r="A3619" s="42" t="s">
        <v>3785</v>
      </c>
      <c r="B3619" s="42" t="s">
        <v>3806</v>
      </c>
      <c r="C3619" s="42" t="s">
        <v>9357</v>
      </c>
      <c r="D3619" s="43" t="s">
        <v>228</v>
      </c>
      <c r="E3619" s="43" t="s">
        <v>1430</v>
      </c>
      <c r="F3619" s="42" t="s">
        <v>11469</v>
      </c>
      <c r="G3619" t="s">
        <v>13197</v>
      </c>
    </row>
    <row r="3620" spans="1:7" x14ac:dyDescent="0.3">
      <c r="A3620" s="42" t="s">
        <v>3785</v>
      </c>
      <c r="B3620" s="42" t="s">
        <v>3807</v>
      </c>
      <c r="C3620" s="42" t="s">
        <v>9358</v>
      </c>
      <c r="D3620" s="43" t="s">
        <v>228</v>
      </c>
      <c r="E3620" s="43" t="s">
        <v>1430</v>
      </c>
      <c r="F3620" s="42" t="s">
        <v>11469</v>
      </c>
      <c r="G3620" t="s">
        <v>13197</v>
      </c>
    </row>
    <row r="3621" spans="1:7" x14ac:dyDescent="0.3">
      <c r="A3621" s="42" t="s">
        <v>3785</v>
      </c>
      <c r="B3621" s="42" t="s">
        <v>3808</v>
      </c>
      <c r="C3621" s="42" t="s">
        <v>9359</v>
      </c>
      <c r="D3621" s="43" t="s">
        <v>228</v>
      </c>
      <c r="E3621" s="43" t="s">
        <v>1430</v>
      </c>
      <c r="F3621" s="42" t="s">
        <v>11469</v>
      </c>
      <c r="G3621" t="s">
        <v>13197</v>
      </c>
    </row>
    <row r="3622" spans="1:7" x14ac:dyDescent="0.3">
      <c r="A3622" s="42" t="s">
        <v>3785</v>
      </c>
      <c r="B3622" s="42" t="s">
        <v>3809</v>
      </c>
      <c r="C3622" s="42" t="s">
        <v>9360</v>
      </c>
      <c r="D3622" s="43" t="s">
        <v>228</v>
      </c>
      <c r="E3622" s="43" t="s">
        <v>1430</v>
      </c>
      <c r="F3622" s="42" t="s">
        <v>11469</v>
      </c>
      <c r="G3622" t="s">
        <v>13197</v>
      </c>
    </row>
    <row r="3623" spans="1:7" x14ac:dyDescent="0.3">
      <c r="A3623" s="42" t="s">
        <v>3785</v>
      </c>
      <c r="B3623" s="42" t="s">
        <v>3810</v>
      </c>
      <c r="C3623" s="42" t="s">
        <v>9361</v>
      </c>
      <c r="D3623" s="43" t="s">
        <v>228</v>
      </c>
      <c r="E3623" s="43" t="s">
        <v>1430</v>
      </c>
      <c r="F3623" s="42" t="s">
        <v>11469</v>
      </c>
      <c r="G3623" t="s">
        <v>13197</v>
      </c>
    </row>
    <row r="3624" spans="1:7" x14ac:dyDescent="0.3">
      <c r="A3624" s="42" t="s">
        <v>3785</v>
      </c>
      <c r="B3624" s="42" t="s">
        <v>3811</v>
      </c>
      <c r="C3624" s="42" t="s">
        <v>9362</v>
      </c>
      <c r="D3624" s="43" t="s">
        <v>228</v>
      </c>
      <c r="E3624" s="43" t="s">
        <v>1430</v>
      </c>
      <c r="F3624" s="42" t="s">
        <v>11469</v>
      </c>
      <c r="G3624" t="s">
        <v>13197</v>
      </c>
    </row>
    <row r="3625" spans="1:7" x14ac:dyDescent="0.3">
      <c r="A3625" s="42" t="s">
        <v>3785</v>
      </c>
      <c r="B3625" s="42" t="s">
        <v>3812</v>
      </c>
      <c r="C3625" s="42" t="s">
        <v>9363</v>
      </c>
      <c r="D3625" s="43" t="s">
        <v>228</v>
      </c>
      <c r="E3625" s="43" t="s">
        <v>1430</v>
      </c>
      <c r="F3625" s="42" t="s">
        <v>11469</v>
      </c>
      <c r="G3625" t="s">
        <v>13197</v>
      </c>
    </row>
    <row r="3626" spans="1:7" x14ac:dyDescent="0.3">
      <c r="A3626" s="42" t="s">
        <v>3785</v>
      </c>
      <c r="B3626" s="42" t="s">
        <v>3813</v>
      </c>
      <c r="C3626" s="42" t="s">
        <v>9364</v>
      </c>
      <c r="D3626" s="43" t="s">
        <v>228</v>
      </c>
      <c r="E3626" s="43" t="s">
        <v>1430</v>
      </c>
      <c r="F3626" s="42" t="s">
        <v>192</v>
      </c>
      <c r="G3626" t="s">
        <v>13196</v>
      </c>
    </row>
    <row r="3627" spans="1:7" x14ac:dyDescent="0.3">
      <c r="A3627" s="42" t="s">
        <v>3785</v>
      </c>
      <c r="B3627" s="42" t="s">
        <v>3814</v>
      </c>
      <c r="C3627" s="42" t="s">
        <v>9365</v>
      </c>
      <c r="D3627" s="43" t="s">
        <v>228</v>
      </c>
      <c r="E3627" s="43" t="s">
        <v>1430</v>
      </c>
      <c r="F3627" s="42" t="s">
        <v>192</v>
      </c>
      <c r="G3627" t="s">
        <v>13196</v>
      </c>
    </row>
    <row r="3628" spans="1:7" x14ac:dyDescent="0.3">
      <c r="A3628" s="42" t="s">
        <v>3785</v>
      </c>
      <c r="B3628" s="42" t="s">
        <v>3815</v>
      </c>
      <c r="C3628" s="42" t="s">
        <v>9366</v>
      </c>
      <c r="D3628" s="43" t="s">
        <v>228</v>
      </c>
      <c r="E3628" s="43" t="s">
        <v>1430</v>
      </c>
      <c r="F3628" s="42" t="s">
        <v>192</v>
      </c>
      <c r="G3628" t="s">
        <v>13196</v>
      </c>
    </row>
    <row r="3629" spans="1:7" x14ac:dyDescent="0.3">
      <c r="A3629" s="42" t="s">
        <v>3785</v>
      </c>
      <c r="B3629" s="42" t="s">
        <v>3816</v>
      </c>
      <c r="C3629" s="42" t="s">
        <v>9367</v>
      </c>
      <c r="D3629" s="43" t="s">
        <v>228</v>
      </c>
      <c r="E3629" s="43" t="s">
        <v>1430</v>
      </c>
      <c r="F3629" s="42" t="s">
        <v>11469</v>
      </c>
      <c r="G3629" t="s">
        <v>13197</v>
      </c>
    </row>
    <row r="3630" spans="1:7" x14ac:dyDescent="0.3">
      <c r="A3630" s="42" t="s">
        <v>3785</v>
      </c>
      <c r="B3630" s="42" t="s">
        <v>3817</v>
      </c>
      <c r="C3630" s="42" t="s">
        <v>9368</v>
      </c>
      <c r="D3630" s="43" t="s">
        <v>228</v>
      </c>
      <c r="E3630" s="43" t="s">
        <v>1430</v>
      </c>
      <c r="F3630" s="42" t="s">
        <v>11469</v>
      </c>
      <c r="G3630" t="s">
        <v>13197</v>
      </c>
    </row>
    <row r="3631" spans="1:7" x14ac:dyDescent="0.3">
      <c r="A3631" s="42" t="s">
        <v>3785</v>
      </c>
      <c r="B3631" s="42" t="s">
        <v>3818</v>
      </c>
      <c r="C3631" s="42" t="s">
        <v>9369</v>
      </c>
      <c r="D3631" s="43" t="s">
        <v>228</v>
      </c>
      <c r="E3631" s="43" t="s">
        <v>1430</v>
      </c>
      <c r="F3631" s="42" t="s">
        <v>192</v>
      </c>
      <c r="G3631" t="s">
        <v>13196</v>
      </c>
    </row>
    <row r="3632" spans="1:7" x14ac:dyDescent="0.3">
      <c r="A3632" s="42" t="s">
        <v>3785</v>
      </c>
      <c r="B3632" s="42" t="s">
        <v>3819</v>
      </c>
      <c r="C3632" s="42" t="s">
        <v>9370</v>
      </c>
      <c r="D3632" s="43" t="s">
        <v>228</v>
      </c>
      <c r="E3632" s="43" t="s">
        <v>1430</v>
      </c>
      <c r="F3632" s="42" t="s">
        <v>192</v>
      </c>
      <c r="G3632" t="s">
        <v>13196</v>
      </c>
    </row>
    <row r="3633" spans="1:7" x14ac:dyDescent="0.3">
      <c r="A3633" s="42" t="s">
        <v>3785</v>
      </c>
      <c r="B3633" s="42" t="s">
        <v>3820</v>
      </c>
      <c r="C3633" s="42" t="s">
        <v>9371</v>
      </c>
      <c r="D3633" s="43" t="s">
        <v>228</v>
      </c>
      <c r="E3633" s="43" t="s">
        <v>1430</v>
      </c>
      <c r="F3633" s="42" t="s">
        <v>11469</v>
      </c>
      <c r="G3633" t="s">
        <v>13197</v>
      </c>
    </row>
    <row r="3634" spans="1:7" x14ac:dyDescent="0.3">
      <c r="A3634" s="42" t="s">
        <v>3785</v>
      </c>
      <c r="B3634" s="42" t="s">
        <v>3821</v>
      </c>
      <c r="C3634" s="42" t="s">
        <v>9372</v>
      </c>
      <c r="D3634" s="43" t="s">
        <v>228</v>
      </c>
      <c r="E3634" s="43" t="s">
        <v>1430</v>
      </c>
      <c r="F3634" s="42" t="s">
        <v>11469</v>
      </c>
      <c r="G3634" t="s">
        <v>13197</v>
      </c>
    </row>
    <row r="3635" spans="1:7" x14ac:dyDescent="0.3">
      <c r="A3635" s="42" t="s">
        <v>3785</v>
      </c>
      <c r="B3635" s="42" t="s">
        <v>3822</v>
      </c>
      <c r="C3635" s="42" t="s">
        <v>9373</v>
      </c>
      <c r="D3635" s="43" t="s">
        <v>228</v>
      </c>
      <c r="E3635" s="43" t="s">
        <v>1430</v>
      </c>
      <c r="F3635" s="42" t="s">
        <v>192</v>
      </c>
      <c r="G3635" t="s">
        <v>13196</v>
      </c>
    </row>
    <row r="3636" spans="1:7" x14ac:dyDescent="0.3">
      <c r="A3636" s="42" t="s">
        <v>3785</v>
      </c>
      <c r="B3636" s="42" t="s">
        <v>3823</v>
      </c>
      <c r="C3636" s="42" t="s">
        <v>9374</v>
      </c>
      <c r="D3636" s="43" t="s">
        <v>228</v>
      </c>
      <c r="E3636" s="43" t="s">
        <v>1430</v>
      </c>
      <c r="F3636" s="42" t="s">
        <v>192</v>
      </c>
      <c r="G3636" t="s">
        <v>13196</v>
      </c>
    </row>
    <row r="3637" spans="1:7" x14ac:dyDescent="0.3">
      <c r="A3637" s="42" t="s">
        <v>3785</v>
      </c>
      <c r="B3637" s="42" t="s">
        <v>3824</v>
      </c>
      <c r="C3637" s="42" t="s">
        <v>9375</v>
      </c>
      <c r="D3637" s="43" t="s">
        <v>228</v>
      </c>
      <c r="E3637" s="43" t="s">
        <v>1430</v>
      </c>
      <c r="F3637" s="42" t="s">
        <v>11469</v>
      </c>
      <c r="G3637" t="s">
        <v>13198</v>
      </c>
    </row>
    <row r="3638" spans="1:7" x14ac:dyDescent="0.3">
      <c r="A3638" s="42" t="s">
        <v>3785</v>
      </c>
      <c r="B3638" s="42" t="s">
        <v>3825</v>
      </c>
      <c r="C3638" s="42" t="s">
        <v>9376</v>
      </c>
      <c r="D3638" s="43" t="s">
        <v>228</v>
      </c>
      <c r="E3638" s="43" t="s">
        <v>1430</v>
      </c>
      <c r="F3638" s="42" t="s">
        <v>192</v>
      </c>
      <c r="G3638" t="s">
        <v>13196</v>
      </c>
    </row>
    <row r="3639" spans="1:7" x14ac:dyDescent="0.3">
      <c r="A3639" s="42" t="s">
        <v>3785</v>
      </c>
      <c r="B3639" s="42" t="s">
        <v>3826</v>
      </c>
      <c r="C3639" s="42" t="s">
        <v>9377</v>
      </c>
      <c r="D3639" s="43" t="s">
        <v>228</v>
      </c>
      <c r="E3639" s="43" t="s">
        <v>1430</v>
      </c>
      <c r="F3639" s="42" t="s">
        <v>11469</v>
      </c>
      <c r="G3639" t="s">
        <v>13197</v>
      </c>
    </row>
    <row r="3640" spans="1:7" x14ac:dyDescent="0.3">
      <c r="A3640" s="42" t="s">
        <v>3785</v>
      </c>
      <c r="B3640" s="42" t="s">
        <v>1690</v>
      </c>
      <c r="C3640" s="42" t="s">
        <v>9378</v>
      </c>
      <c r="D3640" s="43" t="s">
        <v>228</v>
      </c>
      <c r="E3640" s="43" t="s">
        <v>1430</v>
      </c>
      <c r="F3640" s="42" t="s">
        <v>192</v>
      </c>
      <c r="G3640" t="s">
        <v>13196</v>
      </c>
    </row>
    <row r="3641" spans="1:7" x14ac:dyDescent="0.3">
      <c r="A3641" s="42" t="s">
        <v>3785</v>
      </c>
      <c r="B3641" s="42" t="s">
        <v>3827</v>
      </c>
      <c r="C3641" s="42" t="s">
        <v>9379</v>
      </c>
      <c r="D3641" s="43" t="s">
        <v>228</v>
      </c>
      <c r="E3641" s="43" t="s">
        <v>1430</v>
      </c>
      <c r="F3641" s="42" t="s">
        <v>11469</v>
      </c>
      <c r="G3641" t="s">
        <v>13198</v>
      </c>
    </row>
    <row r="3642" spans="1:7" x14ac:dyDescent="0.3">
      <c r="A3642" s="42" t="s">
        <v>3785</v>
      </c>
      <c r="B3642" s="42" t="s">
        <v>3828</v>
      </c>
      <c r="C3642" s="42" t="s">
        <v>9380</v>
      </c>
      <c r="D3642" s="43" t="s">
        <v>228</v>
      </c>
      <c r="E3642" s="43" t="s">
        <v>1430</v>
      </c>
      <c r="F3642" s="42" t="s">
        <v>11469</v>
      </c>
      <c r="G3642" t="s">
        <v>13197</v>
      </c>
    </row>
    <row r="3643" spans="1:7" x14ac:dyDescent="0.3">
      <c r="A3643" s="42" t="s">
        <v>3785</v>
      </c>
      <c r="B3643" s="42" t="s">
        <v>3829</v>
      </c>
      <c r="C3643" s="42" t="s">
        <v>9381</v>
      </c>
      <c r="D3643" s="43" t="s">
        <v>228</v>
      </c>
      <c r="E3643" s="43" t="s">
        <v>1430</v>
      </c>
      <c r="F3643" s="42" t="s">
        <v>11469</v>
      </c>
      <c r="G3643" t="s">
        <v>13197</v>
      </c>
    </row>
    <row r="3644" spans="1:7" x14ac:dyDescent="0.3">
      <c r="A3644" s="42" t="s">
        <v>3785</v>
      </c>
      <c r="B3644" s="42" t="s">
        <v>3830</v>
      </c>
      <c r="C3644" s="42" t="s">
        <v>9382</v>
      </c>
      <c r="D3644" s="43" t="s">
        <v>228</v>
      </c>
      <c r="E3644" s="43" t="s">
        <v>1430</v>
      </c>
      <c r="F3644" s="42" t="s">
        <v>11469</v>
      </c>
      <c r="G3644" t="s">
        <v>13197</v>
      </c>
    </row>
    <row r="3645" spans="1:7" x14ac:dyDescent="0.3">
      <c r="A3645" s="42" t="s">
        <v>3785</v>
      </c>
      <c r="B3645" s="42" t="s">
        <v>3831</v>
      </c>
      <c r="C3645" s="42" t="s">
        <v>9383</v>
      </c>
      <c r="D3645" s="43" t="s">
        <v>228</v>
      </c>
      <c r="E3645" s="43" t="s">
        <v>1430</v>
      </c>
      <c r="F3645" s="42" t="s">
        <v>11469</v>
      </c>
      <c r="G3645" t="s">
        <v>13197</v>
      </c>
    </row>
    <row r="3646" spans="1:7" x14ac:dyDescent="0.3">
      <c r="A3646" s="42" t="s">
        <v>3785</v>
      </c>
      <c r="B3646" s="42" t="s">
        <v>3832</v>
      </c>
      <c r="C3646" s="42" t="s">
        <v>9384</v>
      </c>
      <c r="D3646" s="43" t="s">
        <v>228</v>
      </c>
      <c r="E3646" s="43" t="s">
        <v>1430</v>
      </c>
      <c r="F3646" s="42" t="s">
        <v>11469</v>
      </c>
      <c r="G3646" t="s">
        <v>13197</v>
      </c>
    </row>
    <row r="3647" spans="1:7" x14ac:dyDescent="0.3">
      <c r="A3647" s="42" t="s">
        <v>3785</v>
      </c>
      <c r="B3647" s="42" t="s">
        <v>3833</v>
      </c>
      <c r="C3647" s="42" t="s">
        <v>9385</v>
      </c>
      <c r="D3647" s="43" t="s">
        <v>228</v>
      </c>
      <c r="E3647" s="43" t="s">
        <v>1430</v>
      </c>
      <c r="F3647" s="42" t="s">
        <v>11469</v>
      </c>
      <c r="G3647" t="s">
        <v>13197</v>
      </c>
    </row>
    <row r="3648" spans="1:7" x14ac:dyDescent="0.3">
      <c r="A3648" s="42" t="s">
        <v>3785</v>
      </c>
      <c r="B3648" s="42" t="s">
        <v>3834</v>
      </c>
      <c r="C3648" s="42" t="s">
        <v>9386</v>
      </c>
      <c r="D3648" s="43" t="s">
        <v>228</v>
      </c>
      <c r="E3648" s="43" t="s">
        <v>1430</v>
      </c>
      <c r="F3648" s="42" t="s">
        <v>11469</v>
      </c>
      <c r="G3648" t="s">
        <v>13197</v>
      </c>
    </row>
    <row r="3649" spans="1:7" x14ac:dyDescent="0.3">
      <c r="A3649" s="42" t="s">
        <v>3785</v>
      </c>
      <c r="B3649" s="42" t="s">
        <v>3835</v>
      </c>
      <c r="C3649" s="42" t="s">
        <v>9387</v>
      </c>
      <c r="D3649" s="43" t="s">
        <v>228</v>
      </c>
      <c r="E3649" s="43" t="s">
        <v>1430</v>
      </c>
      <c r="F3649" s="42" t="s">
        <v>192</v>
      </c>
      <c r="G3649" t="s">
        <v>13196</v>
      </c>
    </row>
    <row r="3650" spans="1:7" x14ac:dyDescent="0.3">
      <c r="A3650" s="42" t="s">
        <v>3785</v>
      </c>
      <c r="B3650" s="42" t="s">
        <v>3836</v>
      </c>
      <c r="C3650" s="42" t="s">
        <v>9388</v>
      </c>
      <c r="D3650" s="43" t="s">
        <v>228</v>
      </c>
      <c r="E3650" s="43" t="s">
        <v>1430</v>
      </c>
      <c r="F3650" s="42" t="s">
        <v>11469</v>
      </c>
      <c r="G3650" t="s">
        <v>13197</v>
      </c>
    </row>
    <row r="3651" spans="1:7" x14ac:dyDescent="0.3">
      <c r="A3651" s="42" t="s">
        <v>3785</v>
      </c>
      <c r="B3651" s="42" t="s">
        <v>3837</v>
      </c>
      <c r="C3651" s="42" t="s">
        <v>9389</v>
      </c>
      <c r="D3651" s="43" t="s">
        <v>228</v>
      </c>
      <c r="E3651" s="43" t="s">
        <v>1430</v>
      </c>
      <c r="F3651" s="42" t="s">
        <v>11469</v>
      </c>
      <c r="G3651" t="s">
        <v>13198</v>
      </c>
    </row>
    <row r="3652" spans="1:7" x14ac:dyDescent="0.3">
      <c r="A3652" s="42" t="s">
        <v>3785</v>
      </c>
      <c r="B3652" s="42" t="s">
        <v>3838</v>
      </c>
      <c r="C3652" s="42" t="s">
        <v>9390</v>
      </c>
      <c r="D3652" s="43" t="s">
        <v>228</v>
      </c>
      <c r="E3652" s="43" t="s">
        <v>1430</v>
      </c>
      <c r="F3652" s="42" t="s">
        <v>11469</v>
      </c>
      <c r="G3652" t="s">
        <v>13198</v>
      </c>
    </row>
    <row r="3653" spans="1:7" x14ac:dyDescent="0.3">
      <c r="A3653" s="42" t="s">
        <v>3785</v>
      </c>
      <c r="B3653" s="42" t="s">
        <v>3839</v>
      </c>
      <c r="C3653" s="42" t="s">
        <v>9391</v>
      </c>
      <c r="D3653" s="43" t="s">
        <v>228</v>
      </c>
      <c r="E3653" s="43" t="s">
        <v>1430</v>
      </c>
      <c r="F3653" s="42" t="s">
        <v>11469</v>
      </c>
      <c r="G3653" t="s">
        <v>13197</v>
      </c>
    </row>
    <row r="3654" spans="1:7" x14ac:dyDescent="0.3">
      <c r="A3654" s="42" t="s">
        <v>3785</v>
      </c>
      <c r="B3654" s="42" t="s">
        <v>3840</v>
      </c>
      <c r="C3654" s="42" t="s">
        <v>9392</v>
      </c>
      <c r="D3654" s="43" t="s">
        <v>228</v>
      </c>
      <c r="E3654" s="43" t="s">
        <v>1430</v>
      </c>
      <c r="F3654" s="42" t="s">
        <v>11469</v>
      </c>
      <c r="G3654" t="s">
        <v>13197</v>
      </c>
    </row>
    <row r="3655" spans="1:7" x14ac:dyDescent="0.3">
      <c r="A3655" s="42" t="s">
        <v>3785</v>
      </c>
      <c r="B3655" s="42" t="s">
        <v>3841</v>
      </c>
      <c r="C3655" s="42" t="s">
        <v>9393</v>
      </c>
      <c r="D3655" s="43" t="s">
        <v>228</v>
      </c>
      <c r="E3655" s="43" t="s">
        <v>1430</v>
      </c>
      <c r="F3655" s="42" t="s">
        <v>192</v>
      </c>
      <c r="G3655" t="s">
        <v>13196</v>
      </c>
    </row>
    <row r="3656" spans="1:7" x14ac:dyDescent="0.3">
      <c r="A3656" s="42" t="s">
        <v>3785</v>
      </c>
      <c r="B3656" s="42" t="s">
        <v>3842</v>
      </c>
      <c r="C3656" s="42" t="s">
        <v>9394</v>
      </c>
      <c r="D3656" s="43" t="s">
        <v>228</v>
      </c>
      <c r="E3656" s="43" t="s">
        <v>1430</v>
      </c>
      <c r="F3656" s="42" t="s">
        <v>11469</v>
      </c>
      <c r="G3656" t="s">
        <v>13197</v>
      </c>
    </row>
    <row r="3657" spans="1:7" x14ac:dyDescent="0.3">
      <c r="A3657" s="42" t="s">
        <v>3785</v>
      </c>
      <c r="B3657" s="42" t="s">
        <v>3843</v>
      </c>
      <c r="C3657" s="42" t="s">
        <v>9395</v>
      </c>
      <c r="D3657" s="43" t="s">
        <v>228</v>
      </c>
      <c r="E3657" s="43" t="s">
        <v>1430</v>
      </c>
      <c r="F3657" s="42" t="s">
        <v>11469</v>
      </c>
      <c r="G3657" t="s">
        <v>13197</v>
      </c>
    </row>
    <row r="3658" spans="1:7" x14ac:dyDescent="0.3">
      <c r="A3658" s="42" t="s">
        <v>3785</v>
      </c>
      <c r="B3658" s="42" t="s">
        <v>3844</v>
      </c>
      <c r="C3658" s="42" t="s">
        <v>9396</v>
      </c>
      <c r="D3658" s="43" t="s">
        <v>228</v>
      </c>
      <c r="E3658" s="43" t="s">
        <v>1430</v>
      </c>
      <c r="F3658" s="42" t="s">
        <v>11469</v>
      </c>
      <c r="G3658" t="s">
        <v>13197</v>
      </c>
    </row>
    <row r="3659" spans="1:7" x14ac:dyDescent="0.3">
      <c r="A3659" s="42" t="s">
        <v>3785</v>
      </c>
      <c r="B3659" s="42" t="s">
        <v>3845</v>
      </c>
      <c r="C3659" s="42" t="s">
        <v>9397</v>
      </c>
      <c r="D3659" s="43" t="s">
        <v>228</v>
      </c>
      <c r="E3659" s="43" t="s">
        <v>1430</v>
      </c>
      <c r="F3659" s="42" t="s">
        <v>11469</v>
      </c>
      <c r="G3659" t="s">
        <v>13197</v>
      </c>
    </row>
    <row r="3660" spans="1:7" x14ac:dyDescent="0.3">
      <c r="A3660" s="42" t="s">
        <v>3785</v>
      </c>
      <c r="B3660" s="42" t="s">
        <v>3846</v>
      </c>
      <c r="C3660" s="42" t="s">
        <v>9398</v>
      </c>
      <c r="D3660" s="43" t="s">
        <v>228</v>
      </c>
      <c r="E3660" s="43" t="s">
        <v>1430</v>
      </c>
      <c r="F3660" s="42" t="s">
        <v>11469</v>
      </c>
      <c r="G3660" t="s">
        <v>13197</v>
      </c>
    </row>
    <row r="3661" spans="1:7" x14ac:dyDescent="0.3">
      <c r="A3661" s="42" t="s">
        <v>3785</v>
      </c>
      <c r="B3661" s="42" t="s">
        <v>1431</v>
      </c>
      <c r="C3661" s="42" t="s">
        <v>9399</v>
      </c>
      <c r="D3661" s="43" t="s">
        <v>228</v>
      </c>
      <c r="E3661" s="43" t="s">
        <v>1430</v>
      </c>
      <c r="F3661" s="42" t="s">
        <v>11469</v>
      </c>
      <c r="G3661" t="s">
        <v>13198</v>
      </c>
    </row>
    <row r="3662" spans="1:7" x14ac:dyDescent="0.3">
      <c r="A3662" s="42" t="s">
        <v>3785</v>
      </c>
      <c r="B3662" s="42" t="s">
        <v>3847</v>
      </c>
      <c r="C3662" s="42" t="s">
        <v>9400</v>
      </c>
      <c r="D3662" s="43" t="s">
        <v>228</v>
      </c>
      <c r="E3662" s="43" t="s">
        <v>1430</v>
      </c>
      <c r="F3662" s="42" t="s">
        <v>11469</v>
      </c>
      <c r="G3662" t="s">
        <v>13197</v>
      </c>
    </row>
    <row r="3663" spans="1:7" x14ac:dyDescent="0.3">
      <c r="A3663" s="42" t="s">
        <v>3785</v>
      </c>
      <c r="B3663" s="42" t="s">
        <v>3848</v>
      </c>
      <c r="C3663" s="42" t="s">
        <v>9401</v>
      </c>
      <c r="D3663" s="43" t="s">
        <v>228</v>
      </c>
      <c r="E3663" s="43" t="s">
        <v>1430</v>
      </c>
      <c r="F3663" s="42" t="s">
        <v>11469</v>
      </c>
      <c r="G3663" t="s">
        <v>13197</v>
      </c>
    </row>
    <row r="3664" spans="1:7" x14ac:dyDescent="0.3">
      <c r="A3664" s="42" t="s">
        <v>3785</v>
      </c>
      <c r="B3664" s="42" t="s">
        <v>3849</v>
      </c>
      <c r="C3664" s="42" t="s">
        <v>9402</v>
      </c>
      <c r="D3664" s="43" t="s">
        <v>228</v>
      </c>
      <c r="E3664" s="43" t="s">
        <v>1430</v>
      </c>
      <c r="F3664" s="42" t="s">
        <v>11469</v>
      </c>
      <c r="G3664" t="s">
        <v>13197</v>
      </c>
    </row>
    <row r="3665" spans="1:7" x14ac:dyDescent="0.3">
      <c r="A3665" s="42" t="s">
        <v>3785</v>
      </c>
      <c r="B3665" s="42" t="s">
        <v>3850</v>
      </c>
      <c r="C3665" s="42" t="s">
        <v>9403</v>
      </c>
      <c r="D3665" s="43" t="s">
        <v>228</v>
      </c>
      <c r="E3665" s="43" t="s">
        <v>1430</v>
      </c>
      <c r="F3665" s="42" t="s">
        <v>11469</v>
      </c>
      <c r="G3665" t="s">
        <v>13197</v>
      </c>
    </row>
    <row r="3666" spans="1:7" x14ac:dyDescent="0.3">
      <c r="A3666" s="42" t="s">
        <v>3785</v>
      </c>
      <c r="B3666" s="42" t="s">
        <v>3851</v>
      </c>
      <c r="C3666" s="42" t="s">
        <v>9404</v>
      </c>
      <c r="D3666" s="43" t="s">
        <v>228</v>
      </c>
      <c r="E3666" s="43" t="s">
        <v>1430</v>
      </c>
      <c r="F3666" s="42" t="s">
        <v>11469</v>
      </c>
      <c r="G3666" t="s">
        <v>13197</v>
      </c>
    </row>
    <row r="3667" spans="1:7" x14ac:dyDescent="0.3">
      <c r="A3667" s="42" t="s">
        <v>3785</v>
      </c>
      <c r="B3667" s="42" t="s">
        <v>3852</v>
      </c>
      <c r="C3667" s="42" t="s">
        <v>9405</v>
      </c>
      <c r="D3667" s="43" t="s">
        <v>228</v>
      </c>
      <c r="E3667" s="43" t="s">
        <v>1430</v>
      </c>
      <c r="F3667" s="42" t="s">
        <v>192</v>
      </c>
      <c r="G3667" t="s">
        <v>13196</v>
      </c>
    </row>
    <row r="3668" spans="1:7" x14ac:dyDescent="0.3">
      <c r="A3668" s="42" t="s">
        <v>3785</v>
      </c>
      <c r="B3668" s="42" t="s">
        <v>3853</v>
      </c>
      <c r="C3668" s="42" t="s">
        <v>9406</v>
      </c>
      <c r="D3668" s="43" t="s">
        <v>228</v>
      </c>
      <c r="E3668" s="43" t="s">
        <v>1430</v>
      </c>
      <c r="F3668" s="42" t="s">
        <v>11469</v>
      </c>
      <c r="G3668" t="s">
        <v>13197</v>
      </c>
    </row>
    <row r="3669" spans="1:7" x14ac:dyDescent="0.3">
      <c r="A3669" s="42" t="s">
        <v>3785</v>
      </c>
      <c r="B3669" s="42" t="s">
        <v>3854</v>
      </c>
      <c r="C3669" s="42" t="s">
        <v>9407</v>
      </c>
      <c r="D3669" s="43" t="s">
        <v>228</v>
      </c>
      <c r="E3669" s="43" t="s">
        <v>1430</v>
      </c>
      <c r="F3669" s="42" t="s">
        <v>11469</v>
      </c>
      <c r="G3669" t="s">
        <v>13197</v>
      </c>
    </row>
    <row r="3670" spans="1:7" x14ac:dyDescent="0.3">
      <c r="A3670" s="42" t="s">
        <v>3785</v>
      </c>
      <c r="B3670" s="42" t="s">
        <v>3855</v>
      </c>
      <c r="C3670" s="42" t="s">
        <v>9408</v>
      </c>
      <c r="D3670" s="43" t="s">
        <v>228</v>
      </c>
      <c r="E3670" s="43" t="s">
        <v>1430</v>
      </c>
      <c r="F3670" s="42" t="s">
        <v>11469</v>
      </c>
      <c r="G3670" t="s">
        <v>13197</v>
      </c>
    </row>
    <row r="3671" spans="1:7" x14ac:dyDescent="0.3">
      <c r="A3671" s="42" t="s">
        <v>3785</v>
      </c>
      <c r="B3671" s="42" t="s">
        <v>3856</v>
      </c>
      <c r="C3671" s="42" t="s">
        <v>9409</v>
      </c>
      <c r="D3671" s="43" t="s">
        <v>228</v>
      </c>
      <c r="E3671" s="43" t="s">
        <v>1430</v>
      </c>
      <c r="F3671" s="42" t="s">
        <v>11469</v>
      </c>
      <c r="G3671" t="s">
        <v>13197</v>
      </c>
    </row>
    <row r="3672" spans="1:7" x14ac:dyDescent="0.3">
      <c r="A3672" s="42" t="s">
        <v>3785</v>
      </c>
      <c r="B3672" s="42" t="s">
        <v>3857</v>
      </c>
      <c r="C3672" s="42" t="s">
        <v>9410</v>
      </c>
      <c r="D3672" s="43" t="s">
        <v>228</v>
      </c>
      <c r="E3672" s="43" t="s">
        <v>1430</v>
      </c>
      <c r="F3672" s="42" t="s">
        <v>11469</v>
      </c>
      <c r="G3672" t="s">
        <v>13197</v>
      </c>
    </row>
    <row r="3673" spans="1:7" x14ac:dyDescent="0.3">
      <c r="A3673" s="42" t="s">
        <v>3785</v>
      </c>
      <c r="B3673" s="42" t="s">
        <v>3858</v>
      </c>
      <c r="C3673" s="42" t="s">
        <v>9411</v>
      </c>
      <c r="D3673" s="43" t="s">
        <v>228</v>
      </c>
      <c r="E3673" s="43" t="s">
        <v>1430</v>
      </c>
      <c r="F3673" s="42" t="s">
        <v>11469</v>
      </c>
      <c r="G3673" t="s">
        <v>13197</v>
      </c>
    </row>
    <row r="3674" spans="1:7" x14ac:dyDescent="0.3">
      <c r="A3674" s="42" t="s">
        <v>3785</v>
      </c>
      <c r="B3674" s="42" t="s">
        <v>3859</v>
      </c>
      <c r="C3674" s="42" t="s">
        <v>9412</v>
      </c>
      <c r="D3674" s="43" t="s">
        <v>228</v>
      </c>
      <c r="E3674" s="43" t="s">
        <v>1430</v>
      </c>
      <c r="F3674" s="42" t="s">
        <v>11469</v>
      </c>
      <c r="G3674" t="s">
        <v>13197</v>
      </c>
    </row>
    <row r="3675" spans="1:7" x14ac:dyDescent="0.3">
      <c r="A3675" s="42" t="s">
        <v>3785</v>
      </c>
      <c r="B3675" s="42" t="s">
        <v>3860</v>
      </c>
      <c r="C3675" s="42" t="s">
        <v>9413</v>
      </c>
      <c r="D3675" s="43" t="s">
        <v>228</v>
      </c>
      <c r="E3675" s="43" t="s">
        <v>1430</v>
      </c>
      <c r="F3675" s="42" t="s">
        <v>11469</v>
      </c>
      <c r="G3675" t="s">
        <v>13197</v>
      </c>
    </row>
    <row r="3676" spans="1:7" x14ac:dyDescent="0.3">
      <c r="A3676" s="42" t="s">
        <v>3785</v>
      </c>
      <c r="B3676" s="42" t="s">
        <v>3861</v>
      </c>
      <c r="C3676" s="42" t="s">
        <v>9414</v>
      </c>
      <c r="D3676" s="43" t="s">
        <v>228</v>
      </c>
      <c r="E3676" s="43" t="s">
        <v>1430</v>
      </c>
      <c r="F3676" s="42" t="s">
        <v>11469</v>
      </c>
      <c r="G3676" t="s">
        <v>13197</v>
      </c>
    </row>
    <row r="3677" spans="1:7" x14ac:dyDescent="0.3">
      <c r="A3677" s="42" t="s">
        <v>3785</v>
      </c>
      <c r="B3677" s="42" t="s">
        <v>3862</v>
      </c>
      <c r="C3677" s="42" t="s">
        <v>9415</v>
      </c>
      <c r="D3677" s="43" t="s">
        <v>228</v>
      </c>
      <c r="E3677" s="43" t="s">
        <v>1430</v>
      </c>
      <c r="F3677" s="42" t="s">
        <v>11469</v>
      </c>
      <c r="G3677" t="s">
        <v>13197</v>
      </c>
    </row>
    <row r="3678" spans="1:7" x14ac:dyDescent="0.3">
      <c r="A3678" s="42" t="s">
        <v>3863</v>
      </c>
      <c r="B3678" s="42" t="s">
        <v>3864</v>
      </c>
      <c r="C3678" s="42" t="s">
        <v>9416</v>
      </c>
      <c r="D3678" s="43" t="s">
        <v>228</v>
      </c>
      <c r="E3678" s="43" t="s">
        <v>1430</v>
      </c>
      <c r="F3678" s="42" t="s">
        <v>11469</v>
      </c>
      <c r="G3678" t="s">
        <v>13197</v>
      </c>
    </row>
    <row r="3679" spans="1:7" x14ac:dyDescent="0.3">
      <c r="A3679" s="42" t="s">
        <v>3863</v>
      </c>
      <c r="B3679" s="42" t="s">
        <v>3865</v>
      </c>
      <c r="C3679" s="42" t="s">
        <v>9417</v>
      </c>
      <c r="D3679" s="43" t="s">
        <v>228</v>
      </c>
      <c r="E3679" s="43" t="s">
        <v>1430</v>
      </c>
      <c r="F3679" s="42" t="s">
        <v>11469</v>
      </c>
      <c r="G3679" t="s">
        <v>13197</v>
      </c>
    </row>
    <row r="3680" spans="1:7" x14ac:dyDescent="0.3">
      <c r="A3680" s="42" t="s">
        <v>3863</v>
      </c>
      <c r="B3680" s="42" t="s">
        <v>3866</v>
      </c>
      <c r="C3680" s="42" t="s">
        <v>9418</v>
      </c>
      <c r="D3680" s="43" t="s">
        <v>228</v>
      </c>
      <c r="E3680" s="43" t="s">
        <v>1430</v>
      </c>
      <c r="F3680" s="42" t="s">
        <v>11469</v>
      </c>
      <c r="G3680" t="s">
        <v>13200</v>
      </c>
    </row>
    <row r="3681" spans="1:7" x14ac:dyDescent="0.3">
      <c r="A3681" s="42" t="s">
        <v>3863</v>
      </c>
      <c r="B3681" s="42" t="s">
        <v>3867</v>
      </c>
      <c r="C3681" s="42" t="s">
        <v>9419</v>
      </c>
      <c r="D3681" s="43" t="s">
        <v>228</v>
      </c>
      <c r="E3681" s="43" t="s">
        <v>1430</v>
      </c>
      <c r="F3681" s="42" t="s">
        <v>11469</v>
      </c>
      <c r="G3681" t="s">
        <v>13197</v>
      </c>
    </row>
    <row r="3682" spans="1:7" x14ac:dyDescent="0.3">
      <c r="A3682" s="42" t="s">
        <v>3863</v>
      </c>
      <c r="B3682" s="42" t="s">
        <v>3868</v>
      </c>
      <c r="C3682" s="42" t="s">
        <v>9420</v>
      </c>
      <c r="D3682" s="43" t="s">
        <v>228</v>
      </c>
      <c r="E3682" s="43" t="s">
        <v>1430</v>
      </c>
      <c r="F3682" s="42" t="s">
        <v>11469</v>
      </c>
      <c r="G3682" t="s">
        <v>13197</v>
      </c>
    </row>
    <row r="3683" spans="1:7" x14ac:dyDescent="0.3">
      <c r="A3683" s="42" t="s">
        <v>3863</v>
      </c>
      <c r="B3683" s="42" t="s">
        <v>3869</v>
      </c>
      <c r="C3683" s="42" t="s">
        <v>9421</v>
      </c>
      <c r="D3683" s="43" t="s">
        <v>228</v>
      </c>
      <c r="E3683" s="43" t="s">
        <v>1430</v>
      </c>
      <c r="F3683" s="42" t="s">
        <v>192</v>
      </c>
      <c r="G3683" t="s">
        <v>13196</v>
      </c>
    </row>
    <row r="3684" spans="1:7" x14ac:dyDescent="0.3">
      <c r="A3684" s="42" t="s">
        <v>3863</v>
      </c>
      <c r="B3684" s="42" t="s">
        <v>3870</v>
      </c>
      <c r="C3684" s="42" t="s">
        <v>9422</v>
      </c>
      <c r="D3684" s="43" t="s">
        <v>228</v>
      </c>
      <c r="E3684" s="43" t="s">
        <v>1430</v>
      </c>
      <c r="F3684" s="42" t="s">
        <v>11469</v>
      </c>
      <c r="G3684" t="s">
        <v>13197</v>
      </c>
    </row>
    <row r="3685" spans="1:7" x14ac:dyDescent="0.3">
      <c r="A3685" s="42" t="s">
        <v>3863</v>
      </c>
      <c r="B3685" s="42" t="s">
        <v>3871</v>
      </c>
      <c r="C3685" s="42" t="s">
        <v>9423</v>
      </c>
      <c r="D3685" s="43" t="s">
        <v>228</v>
      </c>
      <c r="E3685" s="43" t="s">
        <v>1430</v>
      </c>
      <c r="F3685" s="42" t="s">
        <v>11469</v>
      </c>
      <c r="G3685" t="s">
        <v>13197</v>
      </c>
    </row>
    <row r="3686" spans="1:7" x14ac:dyDescent="0.3">
      <c r="A3686" s="42" t="s">
        <v>3863</v>
      </c>
      <c r="B3686" s="42" t="s">
        <v>3872</v>
      </c>
      <c r="C3686" s="42" t="s">
        <v>9424</v>
      </c>
      <c r="D3686" s="43" t="s">
        <v>228</v>
      </c>
      <c r="E3686" s="43" t="s">
        <v>1430</v>
      </c>
      <c r="F3686" s="42" t="s">
        <v>11469</v>
      </c>
      <c r="G3686" t="s">
        <v>13197</v>
      </c>
    </row>
    <row r="3687" spans="1:7" x14ac:dyDescent="0.3">
      <c r="A3687" s="42" t="s">
        <v>3863</v>
      </c>
      <c r="B3687" s="42" t="s">
        <v>3873</v>
      </c>
      <c r="C3687" s="42" t="s">
        <v>9425</v>
      </c>
      <c r="D3687" s="43" t="s">
        <v>228</v>
      </c>
      <c r="E3687" s="43" t="s">
        <v>1430</v>
      </c>
      <c r="F3687" s="42" t="s">
        <v>11469</v>
      </c>
      <c r="G3687" t="s">
        <v>13197</v>
      </c>
    </row>
    <row r="3688" spans="1:7" x14ac:dyDescent="0.3">
      <c r="A3688" s="42" t="s">
        <v>3863</v>
      </c>
      <c r="B3688" s="42" t="s">
        <v>3874</v>
      </c>
      <c r="C3688" s="42" t="s">
        <v>9426</v>
      </c>
      <c r="D3688" s="43" t="s">
        <v>228</v>
      </c>
      <c r="E3688" s="43" t="s">
        <v>1430</v>
      </c>
      <c r="F3688" s="42" t="s">
        <v>11469</v>
      </c>
      <c r="G3688" t="s">
        <v>13197</v>
      </c>
    </row>
    <row r="3689" spans="1:7" x14ac:dyDescent="0.3">
      <c r="A3689" s="42" t="s">
        <v>3863</v>
      </c>
      <c r="B3689" s="42" t="s">
        <v>3875</v>
      </c>
      <c r="C3689" s="42" t="s">
        <v>9427</v>
      </c>
      <c r="D3689" s="43" t="s">
        <v>228</v>
      </c>
      <c r="E3689" s="43" t="s">
        <v>1430</v>
      </c>
      <c r="F3689" s="42" t="s">
        <v>11469</v>
      </c>
      <c r="G3689" t="s">
        <v>13197</v>
      </c>
    </row>
    <row r="3690" spans="1:7" x14ac:dyDescent="0.3">
      <c r="A3690" s="42" t="s">
        <v>3863</v>
      </c>
      <c r="B3690" s="42" t="s">
        <v>3876</v>
      </c>
      <c r="C3690" s="42" t="s">
        <v>9428</v>
      </c>
      <c r="D3690" s="43" t="s">
        <v>228</v>
      </c>
      <c r="E3690" s="43" t="s">
        <v>1430</v>
      </c>
      <c r="F3690" s="42" t="s">
        <v>11469</v>
      </c>
      <c r="G3690" t="s">
        <v>13197</v>
      </c>
    </row>
    <row r="3691" spans="1:7" x14ac:dyDescent="0.3">
      <c r="A3691" s="42" t="s">
        <v>3863</v>
      </c>
      <c r="B3691" s="42" t="s">
        <v>3877</v>
      </c>
      <c r="C3691" s="42" t="s">
        <v>9429</v>
      </c>
      <c r="D3691" s="43" t="s">
        <v>228</v>
      </c>
      <c r="E3691" s="43" t="s">
        <v>1430</v>
      </c>
      <c r="F3691" s="42" t="s">
        <v>11469</v>
      </c>
      <c r="G3691" t="s">
        <v>13197</v>
      </c>
    </row>
    <row r="3692" spans="1:7" x14ac:dyDescent="0.3">
      <c r="A3692" s="42" t="s">
        <v>3863</v>
      </c>
      <c r="B3692" s="42" t="s">
        <v>3878</v>
      </c>
      <c r="C3692" s="42" t="s">
        <v>9430</v>
      </c>
      <c r="D3692" s="43" t="s">
        <v>228</v>
      </c>
      <c r="E3692" s="43" t="s">
        <v>1430</v>
      </c>
      <c r="F3692" s="42" t="s">
        <v>11469</v>
      </c>
      <c r="G3692" t="s">
        <v>13197</v>
      </c>
    </row>
    <row r="3693" spans="1:7" x14ac:dyDescent="0.3">
      <c r="A3693" s="42" t="s">
        <v>3863</v>
      </c>
      <c r="B3693" s="42" t="s">
        <v>3879</v>
      </c>
      <c r="C3693" s="42" t="s">
        <v>9431</v>
      </c>
      <c r="D3693" s="43" t="s">
        <v>228</v>
      </c>
      <c r="E3693" s="43" t="s">
        <v>1430</v>
      </c>
      <c r="F3693" s="42" t="s">
        <v>11469</v>
      </c>
      <c r="G3693" t="s">
        <v>13197</v>
      </c>
    </row>
    <row r="3694" spans="1:7" x14ac:dyDescent="0.3">
      <c r="A3694" s="42" t="s">
        <v>3863</v>
      </c>
      <c r="B3694" s="42" t="s">
        <v>3880</v>
      </c>
      <c r="C3694" s="42" t="s">
        <v>9432</v>
      </c>
      <c r="D3694" s="43" t="s">
        <v>228</v>
      </c>
      <c r="E3694" s="43" t="s">
        <v>1430</v>
      </c>
      <c r="F3694" s="42" t="s">
        <v>11469</v>
      </c>
      <c r="G3694" t="s">
        <v>13197</v>
      </c>
    </row>
    <row r="3695" spans="1:7" x14ac:dyDescent="0.3">
      <c r="A3695" s="42" t="s">
        <v>3863</v>
      </c>
      <c r="B3695" s="42" t="s">
        <v>3881</v>
      </c>
      <c r="C3695" s="42" t="s">
        <v>9433</v>
      </c>
      <c r="D3695" s="43" t="s">
        <v>228</v>
      </c>
      <c r="E3695" s="43" t="s">
        <v>1430</v>
      </c>
      <c r="F3695" s="42" t="s">
        <v>11469</v>
      </c>
      <c r="G3695" t="s">
        <v>13197</v>
      </c>
    </row>
    <row r="3696" spans="1:7" x14ac:dyDescent="0.3">
      <c r="A3696" s="42" t="s">
        <v>3863</v>
      </c>
      <c r="B3696" s="42" t="s">
        <v>3882</v>
      </c>
      <c r="C3696" s="42" t="s">
        <v>9434</v>
      </c>
      <c r="D3696" s="43" t="s">
        <v>228</v>
      </c>
      <c r="E3696" s="43" t="s">
        <v>1430</v>
      </c>
      <c r="F3696" s="42" t="s">
        <v>11469</v>
      </c>
      <c r="G3696" t="s">
        <v>13197</v>
      </c>
    </row>
    <row r="3697" spans="1:7" x14ac:dyDescent="0.3">
      <c r="A3697" s="42" t="s">
        <v>3863</v>
      </c>
      <c r="B3697" s="42" t="s">
        <v>3883</v>
      </c>
      <c r="C3697" s="42" t="s">
        <v>9435</v>
      </c>
      <c r="D3697" s="43" t="s">
        <v>228</v>
      </c>
      <c r="E3697" s="43" t="s">
        <v>1430</v>
      </c>
      <c r="F3697" s="42" t="s">
        <v>11469</v>
      </c>
      <c r="G3697" t="s">
        <v>13197</v>
      </c>
    </row>
    <row r="3698" spans="1:7" x14ac:dyDescent="0.3">
      <c r="A3698" s="42" t="s">
        <v>3863</v>
      </c>
      <c r="B3698" s="42" t="s">
        <v>3884</v>
      </c>
      <c r="C3698" s="42" t="s">
        <v>9436</v>
      </c>
      <c r="D3698" s="43" t="s">
        <v>228</v>
      </c>
      <c r="E3698" s="43" t="s">
        <v>1430</v>
      </c>
      <c r="F3698" s="42" t="s">
        <v>11469</v>
      </c>
      <c r="G3698" t="s">
        <v>13197</v>
      </c>
    </row>
    <row r="3699" spans="1:7" x14ac:dyDescent="0.3">
      <c r="A3699" s="42" t="s">
        <v>3863</v>
      </c>
      <c r="B3699" s="42" t="s">
        <v>3342</v>
      </c>
      <c r="C3699" s="42" t="s">
        <v>9437</v>
      </c>
      <c r="D3699" s="43" t="s">
        <v>228</v>
      </c>
      <c r="E3699" s="43" t="s">
        <v>1430</v>
      </c>
      <c r="F3699" s="42" t="s">
        <v>11469</v>
      </c>
      <c r="G3699" t="s">
        <v>13197</v>
      </c>
    </row>
    <row r="3700" spans="1:7" x14ac:dyDescent="0.3">
      <c r="A3700" s="42" t="s">
        <v>3863</v>
      </c>
      <c r="B3700" s="42" t="s">
        <v>3885</v>
      </c>
      <c r="C3700" s="42" t="s">
        <v>9438</v>
      </c>
      <c r="D3700" s="43" t="s">
        <v>228</v>
      </c>
      <c r="E3700" s="43" t="s">
        <v>1430</v>
      </c>
      <c r="F3700" s="42" t="s">
        <v>11469</v>
      </c>
      <c r="G3700" t="s">
        <v>13197</v>
      </c>
    </row>
    <row r="3701" spans="1:7" x14ac:dyDescent="0.3">
      <c r="A3701" s="42" t="s">
        <v>3863</v>
      </c>
      <c r="B3701" s="42" t="s">
        <v>3886</v>
      </c>
      <c r="C3701" s="42" t="s">
        <v>9439</v>
      </c>
      <c r="D3701" s="43" t="s">
        <v>228</v>
      </c>
      <c r="E3701" s="43" t="s">
        <v>1430</v>
      </c>
      <c r="F3701" s="42" t="s">
        <v>192</v>
      </c>
      <c r="G3701" t="s">
        <v>13196</v>
      </c>
    </row>
    <row r="3702" spans="1:7" x14ac:dyDescent="0.3">
      <c r="A3702" s="42" t="s">
        <v>3863</v>
      </c>
      <c r="B3702" s="42" t="s">
        <v>3887</v>
      </c>
      <c r="C3702" s="42" t="s">
        <v>9440</v>
      </c>
      <c r="D3702" s="43" t="s">
        <v>228</v>
      </c>
      <c r="E3702" s="43" t="s">
        <v>1430</v>
      </c>
      <c r="F3702" s="42" t="s">
        <v>11469</v>
      </c>
      <c r="G3702" t="s">
        <v>13197</v>
      </c>
    </row>
    <row r="3703" spans="1:7" x14ac:dyDescent="0.3">
      <c r="A3703" s="42" t="s">
        <v>3863</v>
      </c>
      <c r="B3703" s="42" t="s">
        <v>3888</v>
      </c>
      <c r="C3703" s="42" t="s">
        <v>9441</v>
      </c>
      <c r="D3703" s="43" t="s">
        <v>228</v>
      </c>
      <c r="E3703" s="43" t="s">
        <v>1430</v>
      </c>
      <c r="F3703" s="42" t="s">
        <v>11469</v>
      </c>
      <c r="G3703" t="s">
        <v>13197</v>
      </c>
    </row>
    <row r="3704" spans="1:7" x14ac:dyDescent="0.3">
      <c r="A3704" s="42" t="s">
        <v>3863</v>
      </c>
      <c r="B3704" s="42" t="s">
        <v>3889</v>
      </c>
      <c r="C3704" s="42" t="s">
        <v>9442</v>
      </c>
      <c r="D3704" s="43" t="s">
        <v>228</v>
      </c>
      <c r="E3704" s="43" t="s">
        <v>1430</v>
      </c>
      <c r="F3704" s="42" t="s">
        <v>11469</v>
      </c>
      <c r="G3704" t="s">
        <v>13197</v>
      </c>
    </row>
    <row r="3705" spans="1:7" x14ac:dyDescent="0.3">
      <c r="A3705" s="42" t="s">
        <v>3863</v>
      </c>
      <c r="B3705" s="42" t="s">
        <v>3890</v>
      </c>
      <c r="C3705" s="42" t="s">
        <v>9443</v>
      </c>
      <c r="D3705" s="43" t="s">
        <v>228</v>
      </c>
      <c r="E3705" s="43" t="s">
        <v>1430</v>
      </c>
      <c r="F3705" s="42" t="s">
        <v>11469</v>
      </c>
      <c r="G3705" t="s">
        <v>13197</v>
      </c>
    </row>
    <row r="3706" spans="1:7" x14ac:dyDescent="0.3">
      <c r="A3706" s="42" t="s">
        <v>3863</v>
      </c>
      <c r="B3706" s="42" t="s">
        <v>3891</v>
      </c>
      <c r="C3706" s="42" t="s">
        <v>9444</v>
      </c>
      <c r="D3706" s="43" t="s">
        <v>228</v>
      </c>
      <c r="E3706" s="43" t="s">
        <v>1430</v>
      </c>
      <c r="F3706" s="42" t="s">
        <v>11469</v>
      </c>
      <c r="G3706" t="s">
        <v>13197</v>
      </c>
    </row>
    <row r="3707" spans="1:7" x14ac:dyDescent="0.3">
      <c r="A3707" s="42" t="s">
        <v>3863</v>
      </c>
      <c r="B3707" s="42" t="s">
        <v>3892</v>
      </c>
      <c r="C3707" s="42" t="s">
        <v>9445</v>
      </c>
      <c r="D3707" s="43" t="s">
        <v>228</v>
      </c>
      <c r="E3707" s="43" t="s">
        <v>1430</v>
      </c>
      <c r="F3707" s="42" t="s">
        <v>11469</v>
      </c>
      <c r="G3707" t="s">
        <v>13197</v>
      </c>
    </row>
    <row r="3708" spans="1:7" x14ac:dyDescent="0.3">
      <c r="A3708" s="42" t="s">
        <v>3863</v>
      </c>
      <c r="B3708" s="42" t="s">
        <v>3893</v>
      </c>
      <c r="C3708" s="42" t="s">
        <v>9446</v>
      </c>
      <c r="D3708" s="43" t="s">
        <v>228</v>
      </c>
      <c r="E3708" s="43" t="s">
        <v>1430</v>
      </c>
      <c r="F3708" s="42" t="s">
        <v>11469</v>
      </c>
      <c r="G3708" t="s">
        <v>13197</v>
      </c>
    </row>
    <row r="3709" spans="1:7" x14ac:dyDescent="0.3">
      <c r="A3709" s="42" t="s">
        <v>3863</v>
      </c>
      <c r="B3709" s="42" t="s">
        <v>1449</v>
      </c>
      <c r="C3709" s="42" t="s">
        <v>9447</v>
      </c>
      <c r="D3709" s="43" t="s">
        <v>228</v>
      </c>
      <c r="E3709" s="43" t="s">
        <v>1430</v>
      </c>
      <c r="F3709" s="42" t="s">
        <v>11469</v>
      </c>
      <c r="G3709" t="s">
        <v>13197</v>
      </c>
    </row>
    <row r="3710" spans="1:7" x14ac:dyDescent="0.3">
      <c r="A3710" s="42" t="s">
        <v>3863</v>
      </c>
      <c r="B3710" s="42" t="s">
        <v>3894</v>
      </c>
      <c r="C3710" s="42" t="s">
        <v>9448</v>
      </c>
      <c r="D3710" s="43" t="s">
        <v>228</v>
      </c>
      <c r="E3710" s="43" t="s">
        <v>1430</v>
      </c>
      <c r="F3710" s="42" t="s">
        <v>11469</v>
      </c>
      <c r="G3710" t="s">
        <v>13198</v>
      </c>
    </row>
    <row r="3711" spans="1:7" x14ac:dyDescent="0.3">
      <c r="A3711" s="42" t="s">
        <v>3863</v>
      </c>
      <c r="B3711" s="42" t="s">
        <v>3895</v>
      </c>
      <c r="C3711" s="42" t="s">
        <v>9449</v>
      </c>
      <c r="D3711" s="43" t="s">
        <v>228</v>
      </c>
      <c r="E3711" s="43" t="s">
        <v>1430</v>
      </c>
      <c r="F3711" s="42" t="s">
        <v>11469</v>
      </c>
      <c r="G3711" t="s">
        <v>13197</v>
      </c>
    </row>
    <row r="3712" spans="1:7" x14ac:dyDescent="0.3">
      <c r="A3712" s="42" t="s">
        <v>3863</v>
      </c>
      <c r="B3712" s="42" t="s">
        <v>3896</v>
      </c>
      <c r="C3712" s="42" t="s">
        <v>9450</v>
      </c>
      <c r="D3712" s="43" t="s">
        <v>228</v>
      </c>
      <c r="E3712" s="43" t="s">
        <v>1430</v>
      </c>
      <c r="F3712" s="42" t="s">
        <v>11469</v>
      </c>
      <c r="G3712" t="s">
        <v>13197</v>
      </c>
    </row>
    <row r="3713" spans="1:7" x14ac:dyDescent="0.3">
      <c r="A3713" s="42" t="s">
        <v>3863</v>
      </c>
      <c r="B3713" s="42" t="s">
        <v>3897</v>
      </c>
      <c r="C3713" s="42" t="s">
        <v>9451</v>
      </c>
      <c r="D3713" s="43" t="s">
        <v>228</v>
      </c>
      <c r="E3713" s="43" t="s">
        <v>1430</v>
      </c>
      <c r="F3713" s="42" t="s">
        <v>11469</v>
      </c>
      <c r="G3713" t="s">
        <v>13197</v>
      </c>
    </row>
    <row r="3714" spans="1:7" x14ac:dyDescent="0.3">
      <c r="A3714" s="42" t="s">
        <v>3863</v>
      </c>
      <c r="B3714" s="42" t="s">
        <v>3898</v>
      </c>
      <c r="C3714" s="42" t="s">
        <v>9452</v>
      </c>
      <c r="D3714" s="43" t="s">
        <v>228</v>
      </c>
      <c r="E3714" s="43" t="s">
        <v>1430</v>
      </c>
      <c r="F3714" s="42" t="s">
        <v>11469</v>
      </c>
      <c r="G3714" t="s">
        <v>13200</v>
      </c>
    </row>
    <row r="3715" spans="1:7" x14ac:dyDescent="0.3">
      <c r="A3715" s="42" t="s">
        <v>3863</v>
      </c>
      <c r="B3715" s="42" t="s">
        <v>3899</v>
      </c>
      <c r="C3715" s="42" t="s">
        <v>9453</v>
      </c>
      <c r="D3715" s="43" t="s">
        <v>228</v>
      </c>
      <c r="E3715" s="43" t="s">
        <v>1430</v>
      </c>
      <c r="F3715" s="42" t="s">
        <v>11469</v>
      </c>
      <c r="G3715" t="s">
        <v>13197</v>
      </c>
    </row>
    <row r="3716" spans="1:7" x14ac:dyDescent="0.3">
      <c r="A3716" s="42" t="s">
        <v>3863</v>
      </c>
      <c r="B3716" s="42" t="s">
        <v>3900</v>
      </c>
      <c r="C3716" s="42" t="s">
        <v>9454</v>
      </c>
      <c r="D3716" s="43" t="s">
        <v>228</v>
      </c>
      <c r="E3716" s="43" t="s">
        <v>1430</v>
      </c>
      <c r="F3716" s="42" t="s">
        <v>11469</v>
      </c>
      <c r="G3716" t="s">
        <v>13197</v>
      </c>
    </row>
    <row r="3717" spans="1:7" x14ac:dyDescent="0.3">
      <c r="A3717" s="42" t="s">
        <v>3863</v>
      </c>
      <c r="B3717" s="42" t="s">
        <v>3901</v>
      </c>
      <c r="C3717" s="42" t="s">
        <v>9455</v>
      </c>
      <c r="D3717" s="43" t="s">
        <v>228</v>
      </c>
      <c r="E3717" s="43" t="s">
        <v>1430</v>
      </c>
      <c r="F3717" s="42" t="s">
        <v>192</v>
      </c>
      <c r="G3717" t="s">
        <v>13196</v>
      </c>
    </row>
    <row r="3718" spans="1:7" x14ac:dyDescent="0.3">
      <c r="A3718" s="42" t="s">
        <v>3863</v>
      </c>
      <c r="B3718" s="42" t="s">
        <v>3902</v>
      </c>
      <c r="C3718" s="42" t="s">
        <v>9456</v>
      </c>
      <c r="D3718" s="43" t="s">
        <v>228</v>
      </c>
      <c r="E3718" s="43" t="s">
        <v>1430</v>
      </c>
      <c r="F3718" s="42" t="s">
        <v>11469</v>
      </c>
      <c r="G3718" t="s">
        <v>13197</v>
      </c>
    </row>
    <row r="3719" spans="1:7" x14ac:dyDescent="0.3">
      <c r="A3719" s="42" t="s">
        <v>3863</v>
      </c>
      <c r="B3719" s="42" t="s">
        <v>3903</v>
      </c>
      <c r="C3719" s="42" t="s">
        <v>9457</v>
      </c>
      <c r="D3719" s="43" t="s">
        <v>228</v>
      </c>
      <c r="E3719" s="43" t="s">
        <v>1430</v>
      </c>
      <c r="F3719" s="42" t="s">
        <v>11469</v>
      </c>
      <c r="G3719" t="s">
        <v>13197</v>
      </c>
    </row>
    <row r="3720" spans="1:7" x14ac:dyDescent="0.3">
      <c r="A3720" s="42" t="s">
        <v>3863</v>
      </c>
      <c r="B3720" s="42" t="s">
        <v>3904</v>
      </c>
      <c r="C3720" s="42" t="s">
        <v>9458</v>
      </c>
      <c r="D3720" s="43" t="s">
        <v>228</v>
      </c>
      <c r="E3720" s="43" t="s">
        <v>1430</v>
      </c>
      <c r="F3720" s="42" t="s">
        <v>11469</v>
      </c>
      <c r="G3720" t="s">
        <v>13197</v>
      </c>
    </row>
    <row r="3721" spans="1:7" x14ac:dyDescent="0.3">
      <c r="A3721" s="42" t="s">
        <v>3863</v>
      </c>
      <c r="B3721" s="42" t="s">
        <v>3905</v>
      </c>
      <c r="C3721" s="42" t="s">
        <v>9459</v>
      </c>
      <c r="D3721" s="43" t="s">
        <v>228</v>
      </c>
      <c r="E3721" s="43" t="s">
        <v>1430</v>
      </c>
      <c r="F3721" s="42" t="s">
        <v>11469</v>
      </c>
      <c r="G3721" t="s">
        <v>13197</v>
      </c>
    </row>
    <row r="3722" spans="1:7" x14ac:dyDescent="0.3">
      <c r="A3722" s="42" t="s">
        <v>3863</v>
      </c>
      <c r="B3722" s="42" t="s">
        <v>3906</v>
      </c>
      <c r="C3722" s="42" t="s">
        <v>9460</v>
      </c>
      <c r="D3722" s="43" t="s">
        <v>228</v>
      </c>
      <c r="E3722" s="43" t="s">
        <v>1430</v>
      </c>
      <c r="F3722" s="42" t="s">
        <v>11469</v>
      </c>
      <c r="G3722" t="s">
        <v>13197</v>
      </c>
    </row>
    <row r="3723" spans="1:7" x14ac:dyDescent="0.3">
      <c r="A3723" s="42" t="s">
        <v>3863</v>
      </c>
      <c r="B3723" s="42" t="s">
        <v>3907</v>
      </c>
      <c r="C3723" s="42" t="s">
        <v>9461</v>
      </c>
      <c r="D3723" s="43" t="s">
        <v>228</v>
      </c>
      <c r="E3723" s="43" t="s">
        <v>1430</v>
      </c>
      <c r="F3723" s="42" t="s">
        <v>11469</v>
      </c>
      <c r="G3723" t="s">
        <v>13197</v>
      </c>
    </row>
    <row r="3724" spans="1:7" x14ac:dyDescent="0.3">
      <c r="A3724" s="42" t="s">
        <v>3863</v>
      </c>
      <c r="B3724" s="42" t="s">
        <v>3908</v>
      </c>
      <c r="C3724" s="42" t="s">
        <v>9462</v>
      </c>
      <c r="D3724" s="43" t="s">
        <v>228</v>
      </c>
      <c r="E3724" s="43" t="s">
        <v>1430</v>
      </c>
      <c r="F3724" s="42" t="s">
        <v>192</v>
      </c>
      <c r="G3724" t="s">
        <v>13196</v>
      </c>
    </row>
    <row r="3725" spans="1:7" x14ac:dyDescent="0.3">
      <c r="A3725" s="42" t="s">
        <v>3863</v>
      </c>
      <c r="B3725" s="42" t="s">
        <v>3909</v>
      </c>
      <c r="C3725" s="42" t="s">
        <v>9463</v>
      </c>
      <c r="D3725" s="43" t="s">
        <v>228</v>
      </c>
      <c r="E3725" s="43" t="s">
        <v>1430</v>
      </c>
      <c r="F3725" s="42" t="s">
        <v>11469</v>
      </c>
      <c r="G3725" t="s">
        <v>13197</v>
      </c>
    </row>
    <row r="3726" spans="1:7" x14ac:dyDescent="0.3">
      <c r="A3726" s="42" t="s">
        <v>3863</v>
      </c>
      <c r="B3726" s="42" t="s">
        <v>3910</v>
      </c>
      <c r="C3726" s="42" t="s">
        <v>9464</v>
      </c>
      <c r="D3726" s="43" t="s">
        <v>228</v>
      </c>
      <c r="E3726" s="43" t="s">
        <v>1430</v>
      </c>
      <c r="F3726" s="42" t="s">
        <v>192</v>
      </c>
      <c r="G3726" t="s">
        <v>13196</v>
      </c>
    </row>
    <row r="3727" spans="1:7" x14ac:dyDescent="0.3">
      <c r="A3727" s="42" t="s">
        <v>3863</v>
      </c>
      <c r="B3727" s="42" t="s">
        <v>3911</v>
      </c>
      <c r="C3727" s="42" t="s">
        <v>9465</v>
      </c>
      <c r="D3727" s="43" t="s">
        <v>228</v>
      </c>
      <c r="E3727" s="43" t="s">
        <v>1430</v>
      </c>
      <c r="F3727" s="42" t="s">
        <v>192</v>
      </c>
      <c r="G3727" t="s">
        <v>13196</v>
      </c>
    </row>
    <row r="3728" spans="1:7" x14ac:dyDescent="0.3">
      <c r="A3728" s="42" t="s">
        <v>3863</v>
      </c>
      <c r="B3728" s="42" t="s">
        <v>3912</v>
      </c>
      <c r="C3728" s="42" t="s">
        <v>9466</v>
      </c>
      <c r="D3728" s="43" t="s">
        <v>228</v>
      </c>
      <c r="E3728" s="43" t="s">
        <v>1430</v>
      </c>
      <c r="F3728" s="42" t="s">
        <v>11469</v>
      </c>
      <c r="G3728" t="s">
        <v>13197</v>
      </c>
    </row>
    <row r="3729" spans="1:7" x14ac:dyDescent="0.3">
      <c r="A3729" s="42" t="s">
        <v>3863</v>
      </c>
      <c r="B3729" s="42" t="s">
        <v>3913</v>
      </c>
      <c r="C3729" s="42" t="s">
        <v>9467</v>
      </c>
      <c r="D3729" s="43" t="s">
        <v>228</v>
      </c>
      <c r="E3729" s="43" t="s">
        <v>1430</v>
      </c>
      <c r="F3729" s="42" t="s">
        <v>11469</v>
      </c>
      <c r="G3729" t="s">
        <v>13197</v>
      </c>
    </row>
    <row r="3730" spans="1:7" x14ac:dyDescent="0.3">
      <c r="A3730" s="42" t="s">
        <v>3863</v>
      </c>
      <c r="B3730" s="42" t="s">
        <v>3914</v>
      </c>
      <c r="C3730" s="42" t="s">
        <v>9468</v>
      </c>
      <c r="D3730" s="43" t="s">
        <v>228</v>
      </c>
      <c r="E3730" s="43" t="s">
        <v>1430</v>
      </c>
      <c r="F3730" s="42" t="s">
        <v>11469</v>
      </c>
      <c r="G3730" t="s">
        <v>13197</v>
      </c>
    </row>
    <row r="3731" spans="1:7" x14ac:dyDescent="0.3">
      <c r="A3731" s="42" t="s">
        <v>3863</v>
      </c>
      <c r="B3731" s="42" t="s">
        <v>3915</v>
      </c>
      <c r="C3731" s="42" t="s">
        <v>9469</v>
      </c>
      <c r="D3731" s="43" t="s">
        <v>228</v>
      </c>
      <c r="E3731" s="43" t="s">
        <v>1430</v>
      </c>
      <c r="F3731" s="42" t="s">
        <v>11469</v>
      </c>
      <c r="G3731" t="s">
        <v>13197</v>
      </c>
    </row>
    <row r="3732" spans="1:7" x14ac:dyDescent="0.3">
      <c r="A3732" s="42" t="s">
        <v>3863</v>
      </c>
      <c r="B3732" s="42" t="s">
        <v>3916</v>
      </c>
      <c r="C3732" s="42" t="s">
        <v>9470</v>
      </c>
      <c r="D3732" s="43" t="s">
        <v>228</v>
      </c>
      <c r="E3732" s="43" t="s">
        <v>1430</v>
      </c>
      <c r="F3732" s="42" t="s">
        <v>11469</v>
      </c>
      <c r="G3732" t="s">
        <v>13197</v>
      </c>
    </row>
    <row r="3733" spans="1:7" x14ac:dyDescent="0.3">
      <c r="A3733" s="42" t="s">
        <v>3863</v>
      </c>
      <c r="B3733" s="42" t="s">
        <v>3917</v>
      </c>
      <c r="C3733" s="42" t="s">
        <v>9471</v>
      </c>
      <c r="D3733" s="43" t="s">
        <v>228</v>
      </c>
      <c r="E3733" s="43" t="s">
        <v>1430</v>
      </c>
      <c r="F3733" s="42" t="s">
        <v>11469</v>
      </c>
      <c r="G3733" t="s">
        <v>13197</v>
      </c>
    </row>
    <row r="3734" spans="1:7" x14ac:dyDescent="0.3">
      <c r="A3734" s="42" t="s">
        <v>3863</v>
      </c>
      <c r="B3734" s="42" t="s">
        <v>3918</v>
      </c>
      <c r="C3734" s="42" t="s">
        <v>9472</v>
      </c>
      <c r="D3734" s="43" t="s">
        <v>228</v>
      </c>
      <c r="E3734" s="43" t="s">
        <v>1430</v>
      </c>
      <c r="F3734" s="42" t="s">
        <v>11469</v>
      </c>
      <c r="G3734" t="s">
        <v>13197</v>
      </c>
    </row>
    <row r="3735" spans="1:7" x14ac:dyDescent="0.3">
      <c r="A3735" s="42" t="s">
        <v>3863</v>
      </c>
      <c r="B3735" s="42" t="s">
        <v>3919</v>
      </c>
      <c r="C3735" s="42" t="s">
        <v>9473</v>
      </c>
      <c r="D3735" s="43" t="s">
        <v>228</v>
      </c>
      <c r="E3735" s="43" t="s">
        <v>1430</v>
      </c>
      <c r="F3735" s="42" t="s">
        <v>11469</v>
      </c>
      <c r="G3735" t="s">
        <v>13197</v>
      </c>
    </row>
    <row r="3736" spans="1:7" x14ac:dyDescent="0.3">
      <c r="A3736" s="42" t="s">
        <v>3863</v>
      </c>
      <c r="B3736" s="42" t="s">
        <v>3920</v>
      </c>
      <c r="C3736" s="42" t="s">
        <v>9474</v>
      </c>
      <c r="D3736" s="43" t="s">
        <v>228</v>
      </c>
      <c r="E3736" s="43" t="s">
        <v>1430</v>
      </c>
      <c r="F3736" s="42" t="s">
        <v>11469</v>
      </c>
      <c r="G3736" t="s">
        <v>13197</v>
      </c>
    </row>
    <row r="3737" spans="1:7" x14ac:dyDescent="0.3">
      <c r="A3737" s="42" t="s">
        <v>3863</v>
      </c>
      <c r="B3737" s="42" t="s">
        <v>3921</v>
      </c>
      <c r="C3737" s="42" t="s">
        <v>9475</v>
      </c>
      <c r="D3737" s="43" t="s">
        <v>228</v>
      </c>
      <c r="E3737" s="43" t="s">
        <v>1430</v>
      </c>
      <c r="F3737" s="42" t="s">
        <v>11469</v>
      </c>
      <c r="G3737" t="s">
        <v>13197</v>
      </c>
    </row>
    <row r="3738" spans="1:7" x14ac:dyDescent="0.3">
      <c r="A3738" s="42" t="s">
        <v>3863</v>
      </c>
      <c r="B3738" s="42" t="s">
        <v>3922</v>
      </c>
      <c r="C3738" s="42" t="s">
        <v>9476</v>
      </c>
      <c r="D3738" s="43" t="s">
        <v>228</v>
      </c>
      <c r="E3738" s="43" t="s">
        <v>1430</v>
      </c>
      <c r="F3738" s="42" t="s">
        <v>11469</v>
      </c>
      <c r="G3738" t="s">
        <v>13197</v>
      </c>
    </row>
    <row r="3739" spans="1:7" x14ac:dyDescent="0.3">
      <c r="A3739" s="42" t="s">
        <v>3863</v>
      </c>
      <c r="B3739" s="42" t="s">
        <v>3923</v>
      </c>
      <c r="C3739" s="42" t="s">
        <v>9477</v>
      </c>
      <c r="D3739" s="43" t="s">
        <v>228</v>
      </c>
      <c r="E3739" s="43" t="s">
        <v>1430</v>
      </c>
      <c r="F3739" s="42" t="s">
        <v>11469</v>
      </c>
      <c r="G3739" t="s">
        <v>13197</v>
      </c>
    </row>
    <row r="3740" spans="1:7" x14ac:dyDescent="0.3">
      <c r="A3740" s="42" t="s">
        <v>3863</v>
      </c>
      <c r="B3740" s="42" t="s">
        <v>3924</v>
      </c>
      <c r="C3740" s="42" t="s">
        <v>9478</v>
      </c>
      <c r="D3740" s="43" t="s">
        <v>228</v>
      </c>
      <c r="E3740" s="43" t="s">
        <v>1430</v>
      </c>
      <c r="F3740" s="42" t="s">
        <v>11469</v>
      </c>
      <c r="G3740" t="s">
        <v>13197</v>
      </c>
    </row>
    <row r="3741" spans="1:7" x14ac:dyDescent="0.3">
      <c r="A3741" s="42" t="s">
        <v>3863</v>
      </c>
      <c r="B3741" s="42" t="s">
        <v>1204</v>
      </c>
      <c r="C3741" s="42" t="s">
        <v>9479</v>
      </c>
      <c r="D3741" s="43" t="s">
        <v>228</v>
      </c>
      <c r="E3741" s="43" t="s">
        <v>1430</v>
      </c>
      <c r="F3741" s="42" t="s">
        <v>192</v>
      </c>
      <c r="G3741" t="s">
        <v>13196</v>
      </c>
    </row>
    <row r="3742" spans="1:7" x14ac:dyDescent="0.3">
      <c r="A3742" s="42" t="s">
        <v>3863</v>
      </c>
      <c r="B3742" s="42" t="s">
        <v>3925</v>
      </c>
      <c r="C3742" s="42" t="s">
        <v>9480</v>
      </c>
      <c r="D3742" s="43" t="s">
        <v>228</v>
      </c>
      <c r="E3742" s="43" t="s">
        <v>1430</v>
      </c>
      <c r="F3742" s="42" t="s">
        <v>11469</v>
      </c>
      <c r="G3742" t="s">
        <v>13197</v>
      </c>
    </row>
    <row r="3743" spans="1:7" x14ac:dyDescent="0.3">
      <c r="A3743" s="42" t="s">
        <v>3863</v>
      </c>
      <c r="B3743" s="42" t="s">
        <v>2914</v>
      </c>
      <c r="C3743" s="42" t="s">
        <v>9481</v>
      </c>
      <c r="D3743" s="43" t="s">
        <v>228</v>
      </c>
      <c r="E3743" s="43" t="s">
        <v>1430</v>
      </c>
      <c r="F3743" s="42" t="s">
        <v>11469</v>
      </c>
      <c r="G3743" t="s">
        <v>13197</v>
      </c>
    </row>
    <row r="3744" spans="1:7" x14ac:dyDescent="0.3">
      <c r="A3744" s="42" t="s">
        <v>3863</v>
      </c>
      <c r="B3744" s="42" t="s">
        <v>3926</v>
      </c>
      <c r="C3744" s="42" t="s">
        <v>9482</v>
      </c>
      <c r="D3744" s="43" t="s">
        <v>228</v>
      </c>
      <c r="E3744" s="43" t="s">
        <v>1430</v>
      </c>
      <c r="F3744" s="42" t="s">
        <v>11469</v>
      </c>
      <c r="G3744" t="s">
        <v>13197</v>
      </c>
    </row>
    <row r="3745" spans="1:7" x14ac:dyDescent="0.3">
      <c r="A3745" s="42" t="s">
        <v>3863</v>
      </c>
      <c r="B3745" s="42" t="s">
        <v>3927</v>
      </c>
      <c r="C3745" s="42" t="s">
        <v>9483</v>
      </c>
      <c r="D3745" s="43" t="s">
        <v>228</v>
      </c>
      <c r="E3745" s="43" t="s">
        <v>1430</v>
      </c>
      <c r="F3745" s="42" t="s">
        <v>11469</v>
      </c>
      <c r="G3745" t="s">
        <v>13197</v>
      </c>
    </row>
    <row r="3746" spans="1:7" x14ac:dyDescent="0.3">
      <c r="A3746" s="42" t="s">
        <v>3863</v>
      </c>
      <c r="B3746" s="42" t="s">
        <v>3928</v>
      </c>
      <c r="C3746" s="42" t="s">
        <v>9484</v>
      </c>
      <c r="D3746" s="43" t="s">
        <v>228</v>
      </c>
      <c r="E3746" s="43" t="s">
        <v>1430</v>
      </c>
      <c r="F3746" s="42" t="s">
        <v>11469</v>
      </c>
      <c r="G3746" t="s">
        <v>13197</v>
      </c>
    </row>
    <row r="3747" spans="1:7" x14ac:dyDescent="0.3">
      <c r="A3747" s="42" t="s">
        <v>3863</v>
      </c>
      <c r="B3747" s="42" t="s">
        <v>3929</v>
      </c>
      <c r="C3747" s="42" t="s">
        <v>9485</v>
      </c>
      <c r="D3747" s="43" t="s">
        <v>228</v>
      </c>
      <c r="E3747" s="43" t="s">
        <v>1430</v>
      </c>
      <c r="F3747" s="42" t="s">
        <v>11469</v>
      </c>
      <c r="G3747" t="s">
        <v>13197</v>
      </c>
    </row>
    <row r="3748" spans="1:7" x14ac:dyDescent="0.3">
      <c r="A3748" s="42" t="s">
        <v>3863</v>
      </c>
      <c r="B3748" s="42" t="s">
        <v>3930</v>
      </c>
      <c r="C3748" s="42" t="s">
        <v>9486</v>
      </c>
      <c r="D3748" s="43" t="s">
        <v>228</v>
      </c>
      <c r="E3748" s="43" t="s">
        <v>1430</v>
      </c>
      <c r="F3748" s="42" t="s">
        <v>11469</v>
      </c>
      <c r="G3748" t="s">
        <v>13197</v>
      </c>
    </row>
    <row r="3749" spans="1:7" x14ac:dyDescent="0.3">
      <c r="A3749" s="42" t="s">
        <v>3863</v>
      </c>
      <c r="B3749" s="42" t="s">
        <v>3931</v>
      </c>
      <c r="C3749" s="42" t="s">
        <v>9487</v>
      </c>
      <c r="D3749" s="43" t="s">
        <v>228</v>
      </c>
      <c r="E3749" s="43" t="s">
        <v>1430</v>
      </c>
      <c r="F3749" s="42" t="s">
        <v>192</v>
      </c>
      <c r="G3749" t="s">
        <v>13196</v>
      </c>
    </row>
    <row r="3750" spans="1:7" x14ac:dyDescent="0.3">
      <c r="A3750" s="42" t="s">
        <v>3863</v>
      </c>
      <c r="B3750" s="42" t="s">
        <v>3932</v>
      </c>
      <c r="C3750" s="42" t="s">
        <v>9488</v>
      </c>
      <c r="D3750" s="43" t="s">
        <v>228</v>
      </c>
      <c r="E3750" s="43" t="s">
        <v>1430</v>
      </c>
      <c r="F3750" s="42" t="s">
        <v>11469</v>
      </c>
      <c r="G3750" t="s">
        <v>13197</v>
      </c>
    </row>
    <row r="3751" spans="1:7" x14ac:dyDescent="0.3">
      <c r="A3751" s="42" t="s">
        <v>3863</v>
      </c>
      <c r="B3751" s="42" t="s">
        <v>3933</v>
      </c>
      <c r="C3751" s="42" t="s">
        <v>9489</v>
      </c>
      <c r="D3751" s="43" t="s">
        <v>228</v>
      </c>
      <c r="E3751" s="43" t="s">
        <v>1430</v>
      </c>
      <c r="F3751" s="42" t="s">
        <v>11469</v>
      </c>
      <c r="G3751" t="s">
        <v>13197</v>
      </c>
    </row>
    <row r="3752" spans="1:7" x14ac:dyDescent="0.3">
      <c r="A3752" s="42" t="s">
        <v>3863</v>
      </c>
      <c r="B3752" s="42" t="s">
        <v>3934</v>
      </c>
      <c r="C3752" s="42" t="s">
        <v>9490</v>
      </c>
      <c r="D3752" s="43" t="s">
        <v>228</v>
      </c>
      <c r="E3752" s="43" t="s">
        <v>1430</v>
      </c>
      <c r="F3752" s="42" t="s">
        <v>11469</v>
      </c>
      <c r="G3752" t="s">
        <v>13197</v>
      </c>
    </row>
    <row r="3753" spans="1:7" x14ac:dyDescent="0.3">
      <c r="A3753" s="42" t="s">
        <v>3863</v>
      </c>
      <c r="B3753" s="42" t="s">
        <v>3935</v>
      </c>
      <c r="C3753" s="42" t="s">
        <v>9491</v>
      </c>
      <c r="D3753" s="43" t="s">
        <v>228</v>
      </c>
      <c r="E3753" s="43" t="s">
        <v>1430</v>
      </c>
      <c r="F3753" s="42" t="s">
        <v>11469</v>
      </c>
      <c r="G3753" t="s">
        <v>13197</v>
      </c>
    </row>
    <row r="3754" spans="1:7" x14ac:dyDescent="0.3">
      <c r="A3754" s="42" t="s">
        <v>3863</v>
      </c>
      <c r="B3754" s="42" t="s">
        <v>3936</v>
      </c>
      <c r="C3754" s="42" t="s">
        <v>9492</v>
      </c>
      <c r="D3754" s="43" t="s">
        <v>228</v>
      </c>
      <c r="E3754" s="43" t="s">
        <v>1430</v>
      </c>
      <c r="F3754" s="42" t="s">
        <v>11469</v>
      </c>
      <c r="G3754" t="s">
        <v>13197</v>
      </c>
    </row>
    <row r="3755" spans="1:7" x14ac:dyDescent="0.3">
      <c r="A3755" s="42" t="s">
        <v>3863</v>
      </c>
      <c r="B3755" s="42" t="s">
        <v>3937</v>
      </c>
      <c r="C3755" s="42" t="s">
        <v>9493</v>
      </c>
      <c r="D3755" s="43" t="s">
        <v>228</v>
      </c>
      <c r="E3755" s="43" t="s">
        <v>1430</v>
      </c>
      <c r="F3755" s="42" t="s">
        <v>11469</v>
      </c>
      <c r="G3755" t="s">
        <v>13200</v>
      </c>
    </row>
    <row r="3756" spans="1:7" x14ac:dyDescent="0.3">
      <c r="A3756" s="42" t="s">
        <v>3863</v>
      </c>
      <c r="B3756" s="42" t="s">
        <v>3938</v>
      </c>
      <c r="C3756" s="42" t="s">
        <v>9494</v>
      </c>
      <c r="D3756" s="43" t="s">
        <v>228</v>
      </c>
      <c r="E3756" s="43" t="s">
        <v>1430</v>
      </c>
      <c r="F3756" s="42" t="s">
        <v>11469</v>
      </c>
      <c r="G3756" t="s">
        <v>13197</v>
      </c>
    </row>
    <row r="3757" spans="1:7" x14ac:dyDescent="0.3">
      <c r="A3757" s="42" t="s">
        <v>3863</v>
      </c>
      <c r="B3757" s="42" t="s">
        <v>3939</v>
      </c>
      <c r="C3757" s="42" t="s">
        <v>9495</v>
      </c>
      <c r="D3757" s="43" t="s">
        <v>228</v>
      </c>
      <c r="E3757" s="43" t="s">
        <v>1430</v>
      </c>
      <c r="F3757" s="42" t="s">
        <v>11469</v>
      </c>
      <c r="G3757" t="s">
        <v>13197</v>
      </c>
    </row>
    <row r="3758" spans="1:7" x14ac:dyDescent="0.3">
      <c r="A3758" s="42" t="s">
        <v>3863</v>
      </c>
      <c r="B3758" s="42" t="s">
        <v>3940</v>
      </c>
      <c r="C3758" s="42" t="s">
        <v>9496</v>
      </c>
      <c r="D3758" s="43" t="s">
        <v>228</v>
      </c>
      <c r="E3758" s="43" t="s">
        <v>1430</v>
      </c>
      <c r="F3758" s="42" t="s">
        <v>11469</v>
      </c>
      <c r="G3758" t="s">
        <v>13197</v>
      </c>
    </row>
    <row r="3759" spans="1:7" x14ac:dyDescent="0.3">
      <c r="A3759" s="42" t="s">
        <v>3863</v>
      </c>
      <c r="B3759" s="42" t="s">
        <v>3941</v>
      </c>
      <c r="C3759" s="42" t="s">
        <v>9497</v>
      </c>
      <c r="D3759" s="43" t="s">
        <v>228</v>
      </c>
      <c r="E3759" s="43" t="s">
        <v>1430</v>
      </c>
      <c r="F3759" s="42" t="s">
        <v>11469</v>
      </c>
      <c r="G3759" t="s">
        <v>13197</v>
      </c>
    </row>
    <row r="3760" spans="1:7" x14ac:dyDescent="0.3">
      <c r="A3760" s="42" t="s">
        <v>3863</v>
      </c>
      <c r="B3760" s="42" t="s">
        <v>3942</v>
      </c>
      <c r="C3760" s="42" t="s">
        <v>9498</v>
      </c>
      <c r="D3760" s="43" t="s">
        <v>228</v>
      </c>
      <c r="E3760" s="43" t="s">
        <v>1430</v>
      </c>
      <c r="F3760" s="42" t="s">
        <v>11469</v>
      </c>
      <c r="G3760" t="s">
        <v>13197</v>
      </c>
    </row>
    <row r="3761" spans="1:7" x14ac:dyDescent="0.3">
      <c r="A3761" s="42" t="s">
        <v>3863</v>
      </c>
      <c r="B3761" s="42" t="s">
        <v>3943</v>
      </c>
      <c r="C3761" s="42" t="s">
        <v>9499</v>
      </c>
      <c r="D3761" s="43" t="s">
        <v>228</v>
      </c>
      <c r="E3761" s="43" t="s">
        <v>1430</v>
      </c>
      <c r="F3761" s="42" t="s">
        <v>11469</v>
      </c>
      <c r="G3761" t="s">
        <v>13197</v>
      </c>
    </row>
    <row r="3762" spans="1:7" x14ac:dyDescent="0.3">
      <c r="A3762" s="42" t="s">
        <v>3863</v>
      </c>
      <c r="B3762" s="42" t="s">
        <v>3944</v>
      </c>
      <c r="C3762" s="42" t="s">
        <v>9500</v>
      </c>
      <c r="D3762" s="43" t="s">
        <v>228</v>
      </c>
      <c r="E3762" s="43" t="s">
        <v>1430</v>
      </c>
      <c r="F3762" s="42" t="s">
        <v>11469</v>
      </c>
      <c r="G3762" t="s">
        <v>13197</v>
      </c>
    </row>
    <row r="3763" spans="1:7" x14ac:dyDescent="0.3">
      <c r="A3763" s="42" t="s">
        <v>3863</v>
      </c>
      <c r="B3763" s="42" t="s">
        <v>3945</v>
      </c>
      <c r="C3763" s="42" t="s">
        <v>9501</v>
      </c>
      <c r="D3763" s="43" t="s">
        <v>228</v>
      </c>
      <c r="E3763" s="43" t="s">
        <v>1430</v>
      </c>
      <c r="F3763" s="42" t="s">
        <v>137</v>
      </c>
      <c r="G3763" t="s">
        <v>13199</v>
      </c>
    </row>
    <row r="3764" spans="1:7" x14ac:dyDescent="0.3">
      <c r="A3764" s="42" t="s">
        <v>3863</v>
      </c>
      <c r="B3764" s="42" t="s">
        <v>3946</v>
      </c>
      <c r="C3764" s="42" t="s">
        <v>9502</v>
      </c>
      <c r="D3764" s="43" t="s">
        <v>228</v>
      </c>
      <c r="E3764" s="43" t="s">
        <v>1430</v>
      </c>
      <c r="F3764" s="42" t="s">
        <v>11469</v>
      </c>
      <c r="G3764" t="s">
        <v>13197</v>
      </c>
    </row>
    <row r="3765" spans="1:7" x14ac:dyDescent="0.3">
      <c r="A3765" s="42" t="s">
        <v>3863</v>
      </c>
      <c r="B3765" s="42" t="s">
        <v>3947</v>
      </c>
      <c r="C3765" s="42" t="s">
        <v>9503</v>
      </c>
      <c r="D3765" s="43" t="s">
        <v>228</v>
      </c>
      <c r="E3765" s="43" t="s">
        <v>1430</v>
      </c>
      <c r="F3765" s="42" t="s">
        <v>11469</v>
      </c>
      <c r="G3765" t="s">
        <v>13197</v>
      </c>
    </row>
    <row r="3766" spans="1:7" x14ac:dyDescent="0.3">
      <c r="A3766" s="42" t="s">
        <v>3863</v>
      </c>
      <c r="B3766" s="42" t="s">
        <v>3948</v>
      </c>
      <c r="C3766" s="42" t="s">
        <v>9504</v>
      </c>
      <c r="D3766" s="43" t="s">
        <v>228</v>
      </c>
      <c r="E3766" s="43" t="s">
        <v>1430</v>
      </c>
      <c r="F3766" s="42" t="s">
        <v>11469</v>
      </c>
      <c r="G3766" t="s">
        <v>13197</v>
      </c>
    </row>
    <row r="3767" spans="1:7" x14ac:dyDescent="0.3">
      <c r="A3767" s="42" t="s">
        <v>3863</v>
      </c>
      <c r="B3767" s="42" t="s">
        <v>3949</v>
      </c>
      <c r="C3767" s="42" t="s">
        <v>9505</v>
      </c>
      <c r="D3767" s="43" t="s">
        <v>228</v>
      </c>
      <c r="E3767" s="43" t="s">
        <v>1430</v>
      </c>
      <c r="F3767" s="42" t="s">
        <v>11469</v>
      </c>
      <c r="G3767" t="s">
        <v>13197</v>
      </c>
    </row>
    <row r="3768" spans="1:7" x14ac:dyDescent="0.3">
      <c r="A3768" s="42" t="s">
        <v>3863</v>
      </c>
      <c r="B3768" s="42" t="s">
        <v>3950</v>
      </c>
      <c r="C3768" s="42" t="s">
        <v>9506</v>
      </c>
      <c r="D3768" s="43" t="s">
        <v>228</v>
      </c>
      <c r="E3768" s="43" t="s">
        <v>1430</v>
      </c>
      <c r="F3768" s="42" t="s">
        <v>11469</v>
      </c>
      <c r="G3768" t="s">
        <v>13197</v>
      </c>
    </row>
    <row r="3769" spans="1:7" x14ac:dyDescent="0.3">
      <c r="A3769" s="42" t="s">
        <v>3863</v>
      </c>
      <c r="B3769" s="42" t="s">
        <v>3951</v>
      </c>
      <c r="C3769" s="42" t="s">
        <v>9507</v>
      </c>
      <c r="D3769" s="43" t="s">
        <v>228</v>
      </c>
      <c r="E3769" s="43" t="s">
        <v>1430</v>
      </c>
      <c r="F3769" s="42" t="s">
        <v>11469</v>
      </c>
      <c r="G3769" t="s">
        <v>13197</v>
      </c>
    </row>
    <row r="3770" spans="1:7" x14ac:dyDescent="0.3">
      <c r="A3770" s="42" t="s">
        <v>3863</v>
      </c>
      <c r="B3770" s="42" t="s">
        <v>3952</v>
      </c>
      <c r="C3770" s="42" t="s">
        <v>9508</v>
      </c>
      <c r="D3770" s="43" t="s">
        <v>228</v>
      </c>
      <c r="E3770" s="43" t="s">
        <v>1430</v>
      </c>
      <c r="F3770" s="42" t="s">
        <v>11469</v>
      </c>
      <c r="G3770" t="s">
        <v>13197</v>
      </c>
    </row>
    <row r="3771" spans="1:7" x14ac:dyDescent="0.3">
      <c r="A3771" s="42" t="s">
        <v>3863</v>
      </c>
      <c r="B3771" s="42" t="s">
        <v>3953</v>
      </c>
      <c r="C3771" s="42" t="s">
        <v>9509</v>
      </c>
      <c r="D3771" s="43" t="s">
        <v>228</v>
      </c>
      <c r="E3771" s="43" t="s">
        <v>1430</v>
      </c>
      <c r="F3771" s="42" t="s">
        <v>11469</v>
      </c>
      <c r="G3771" t="s">
        <v>13197</v>
      </c>
    </row>
    <row r="3772" spans="1:7" x14ac:dyDescent="0.3">
      <c r="A3772" s="42" t="s">
        <v>3863</v>
      </c>
      <c r="B3772" s="42" t="s">
        <v>3954</v>
      </c>
      <c r="C3772" s="42" t="s">
        <v>9510</v>
      </c>
      <c r="D3772" s="43" t="s">
        <v>228</v>
      </c>
      <c r="E3772" s="43" t="s">
        <v>1430</v>
      </c>
      <c r="F3772" s="42" t="s">
        <v>11469</v>
      </c>
      <c r="G3772" t="s">
        <v>13197</v>
      </c>
    </row>
    <row r="3773" spans="1:7" x14ac:dyDescent="0.3">
      <c r="A3773" s="42" t="s">
        <v>3863</v>
      </c>
      <c r="B3773" s="42" t="s">
        <v>488</v>
      </c>
      <c r="C3773" s="42" t="s">
        <v>9511</v>
      </c>
      <c r="D3773" s="43" t="s">
        <v>228</v>
      </c>
      <c r="E3773" s="43" t="s">
        <v>1430</v>
      </c>
      <c r="F3773" s="42" t="s">
        <v>137</v>
      </c>
      <c r="G3773" t="s">
        <v>13199</v>
      </c>
    </row>
    <row r="3774" spans="1:7" x14ac:dyDescent="0.3">
      <c r="A3774" s="42" t="s">
        <v>3863</v>
      </c>
      <c r="B3774" s="42" t="s">
        <v>3955</v>
      </c>
      <c r="C3774" s="42" t="s">
        <v>9512</v>
      </c>
      <c r="D3774" s="43" t="s">
        <v>228</v>
      </c>
      <c r="E3774" s="43" t="s">
        <v>1430</v>
      </c>
      <c r="F3774" s="42" t="s">
        <v>192</v>
      </c>
      <c r="G3774" t="s">
        <v>13196</v>
      </c>
    </row>
    <row r="3775" spans="1:7" x14ac:dyDescent="0.3">
      <c r="A3775" s="42" t="s">
        <v>3863</v>
      </c>
      <c r="B3775" s="42" t="s">
        <v>3956</v>
      </c>
      <c r="C3775" s="42" t="s">
        <v>9513</v>
      </c>
      <c r="D3775" s="43" t="s">
        <v>228</v>
      </c>
      <c r="E3775" s="43" t="s">
        <v>1430</v>
      </c>
      <c r="F3775" s="42" t="s">
        <v>11469</v>
      </c>
      <c r="G3775" t="s">
        <v>13197</v>
      </c>
    </row>
    <row r="3776" spans="1:7" x14ac:dyDescent="0.3">
      <c r="A3776" s="42" t="s">
        <v>3863</v>
      </c>
      <c r="B3776" s="42" t="s">
        <v>3957</v>
      </c>
      <c r="C3776" s="42" t="s">
        <v>9514</v>
      </c>
      <c r="D3776" s="43" t="s">
        <v>228</v>
      </c>
      <c r="E3776" s="43" t="s">
        <v>1430</v>
      </c>
      <c r="F3776" s="42" t="s">
        <v>11469</v>
      </c>
      <c r="G3776" t="s">
        <v>13197</v>
      </c>
    </row>
    <row r="3777" spans="1:7" x14ac:dyDescent="0.3">
      <c r="A3777" s="42" t="s">
        <v>3863</v>
      </c>
      <c r="B3777" s="42" t="s">
        <v>3958</v>
      </c>
      <c r="C3777" s="42" t="s">
        <v>9515</v>
      </c>
      <c r="D3777" s="43" t="s">
        <v>228</v>
      </c>
      <c r="E3777" s="43" t="s">
        <v>1430</v>
      </c>
      <c r="F3777" s="42" t="s">
        <v>11469</v>
      </c>
      <c r="G3777" t="s">
        <v>13197</v>
      </c>
    </row>
    <row r="3778" spans="1:7" x14ac:dyDescent="0.3">
      <c r="A3778" s="42" t="s">
        <v>3863</v>
      </c>
      <c r="B3778" s="42" t="s">
        <v>3959</v>
      </c>
      <c r="C3778" s="42" t="s">
        <v>9516</v>
      </c>
      <c r="D3778" s="43" t="s">
        <v>228</v>
      </c>
      <c r="E3778" s="43" t="s">
        <v>1430</v>
      </c>
      <c r="F3778" s="42" t="s">
        <v>11469</v>
      </c>
      <c r="G3778" t="s">
        <v>13197</v>
      </c>
    </row>
    <row r="3779" spans="1:7" x14ac:dyDescent="0.3">
      <c r="A3779" s="42" t="s">
        <v>3863</v>
      </c>
      <c r="B3779" s="42" t="s">
        <v>3960</v>
      </c>
      <c r="C3779" s="42" t="s">
        <v>9517</v>
      </c>
      <c r="D3779" s="43" t="s">
        <v>228</v>
      </c>
      <c r="E3779" s="43" t="s">
        <v>1430</v>
      </c>
      <c r="F3779" s="42" t="s">
        <v>11469</v>
      </c>
      <c r="G3779" t="s">
        <v>13197</v>
      </c>
    </row>
    <row r="3780" spans="1:7" x14ac:dyDescent="0.3">
      <c r="A3780" s="42" t="s">
        <v>3863</v>
      </c>
      <c r="B3780" s="42" t="s">
        <v>3961</v>
      </c>
      <c r="C3780" s="42" t="s">
        <v>9518</v>
      </c>
      <c r="D3780" s="43" t="s">
        <v>228</v>
      </c>
      <c r="E3780" s="43" t="s">
        <v>1430</v>
      </c>
      <c r="F3780" s="42" t="s">
        <v>11469</v>
      </c>
      <c r="G3780" t="s">
        <v>13197</v>
      </c>
    </row>
    <row r="3781" spans="1:7" x14ac:dyDescent="0.3">
      <c r="A3781" s="42" t="s">
        <v>3863</v>
      </c>
      <c r="B3781" s="42" t="s">
        <v>3962</v>
      </c>
      <c r="C3781" s="42" t="s">
        <v>9519</v>
      </c>
      <c r="D3781" s="43" t="s">
        <v>228</v>
      </c>
      <c r="E3781" s="43" t="s">
        <v>1430</v>
      </c>
      <c r="F3781" s="42" t="s">
        <v>11469</v>
      </c>
      <c r="G3781" t="s">
        <v>13197</v>
      </c>
    </row>
    <row r="3782" spans="1:7" x14ac:dyDescent="0.3">
      <c r="A3782" s="42" t="s">
        <v>3863</v>
      </c>
      <c r="B3782" s="42" t="s">
        <v>3963</v>
      </c>
      <c r="C3782" s="42" t="s">
        <v>9520</v>
      </c>
      <c r="D3782" s="43" t="s">
        <v>228</v>
      </c>
      <c r="E3782" s="43" t="s">
        <v>1430</v>
      </c>
      <c r="F3782" s="42" t="s">
        <v>11469</v>
      </c>
      <c r="G3782" t="s">
        <v>13197</v>
      </c>
    </row>
    <row r="3783" spans="1:7" x14ac:dyDescent="0.3">
      <c r="A3783" s="42" t="s">
        <v>3863</v>
      </c>
      <c r="B3783" s="42" t="s">
        <v>3964</v>
      </c>
      <c r="C3783" s="42" t="s">
        <v>9521</v>
      </c>
      <c r="D3783" s="43" t="s">
        <v>228</v>
      </c>
      <c r="E3783" s="43" t="s">
        <v>1430</v>
      </c>
      <c r="F3783" s="42" t="s">
        <v>11469</v>
      </c>
      <c r="G3783" t="s">
        <v>13197</v>
      </c>
    </row>
    <row r="3784" spans="1:7" x14ac:dyDescent="0.3">
      <c r="A3784" s="42" t="s">
        <v>3863</v>
      </c>
      <c r="B3784" s="42" t="s">
        <v>3965</v>
      </c>
      <c r="C3784" s="42" t="s">
        <v>9522</v>
      </c>
      <c r="D3784" s="43" t="s">
        <v>228</v>
      </c>
      <c r="E3784" s="43" t="s">
        <v>1430</v>
      </c>
      <c r="F3784" s="42" t="s">
        <v>11469</v>
      </c>
      <c r="G3784" t="s">
        <v>13197</v>
      </c>
    </row>
    <row r="3785" spans="1:7" x14ac:dyDescent="0.3">
      <c r="A3785" s="42" t="s">
        <v>3863</v>
      </c>
      <c r="B3785" s="42" t="s">
        <v>3966</v>
      </c>
      <c r="C3785" s="42" t="s">
        <v>9523</v>
      </c>
      <c r="D3785" s="43" t="s">
        <v>228</v>
      </c>
      <c r="E3785" s="43" t="s">
        <v>1430</v>
      </c>
      <c r="F3785" s="42" t="s">
        <v>11469</v>
      </c>
      <c r="G3785" t="s">
        <v>13197</v>
      </c>
    </row>
    <row r="3786" spans="1:7" x14ac:dyDescent="0.3">
      <c r="A3786" s="42" t="s">
        <v>3863</v>
      </c>
      <c r="B3786" s="42" t="s">
        <v>3967</v>
      </c>
      <c r="C3786" s="42" t="s">
        <v>9524</v>
      </c>
      <c r="D3786" s="43" t="s">
        <v>228</v>
      </c>
      <c r="E3786" s="43" t="s">
        <v>1430</v>
      </c>
      <c r="F3786" s="42" t="s">
        <v>11469</v>
      </c>
      <c r="G3786" t="s">
        <v>13197</v>
      </c>
    </row>
    <row r="3787" spans="1:7" x14ac:dyDescent="0.3">
      <c r="A3787" s="42" t="s">
        <v>3863</v>
      </c>
      <c r="B3787" s="42" t="s">
        <v>1689</v>
      </c>
      <c r="C3787" s="42" t="s">
        <v>9525</v>
      </c>
      <c r="D3787" s="43" t="s">
        <v>228</v>
      </c>
      <c r="E3787" s="43" t="s">
        <v>1430</v>
      </c>
      <c r="F3787" s="42" t="s">
        <v>11469</v>
      </c>
      <c r="G3787" t="s">
        <v>13197</v>
      </c>
    </row>
    <row r="3788" spans="1:7" x14ac:dyDescent="0.3">
      <c r="A3788" s="42" t="s">
        <v>3863</v>
      </c>
      <c r="B3788" s="42" t="s">
        <v>3968</v>
      </c>
      <c r="C3788" s="42" t="s">
        <v>9526</v>
      </c>
      <c r="D3788" s="43" t="s">
        <v>228</v>
      </c>
      <c r="E3788" s="43" t="s">
        <v>1430</v>
      </c>
      <c r="F3788" s="42" t="s">
        <v>11469</v>
      </c>
      <c r="G3788" t="s">
        <v>13197</v>
      </c>
    </row>
    <row r="3789" spans="1:7" x14ac:dyDescent="0.3">
      <c r="A3789" s="42" t="s">
        <v>3863</v>
      </c>
      <c r="B3789" s="42" t="s">
        <v>3969</v>
      </c>
      <c r="C3789" s="42" t="s">
        <v>9527</v>
      </c>
      <c r="D3789" s="43" t="s">
        <v>228</v>
      </c>
      <c r="E3789" s="43" t="s">
        <v>1430</v>
      </c>
      <c r="F3789" s="42" t="s">
        <v>11469</v>
      </c>
      <c r="G3789" t="s">
        <v>13197</v>
      </c>
    </row>
    <row r="3790" spans="1:7" x14ac:dyDescent="0.3">
      <c r="A3790" s="42" t="s">
        <v>3863</v>
      </c>
      <c r="B3790" s="42" t="s">
        <v>3970</v>
      </c>
      <c r="C3790" s="42" t="s">
        <v>9528</v>
      </c>
      <c r="D3790" s="43" t="s">
        <v>228</v>
      </c>
      <c r="E3790" s="43" t="s">
        <v>1430</v>
      </c>
      <c r="F3790" s="42" t="s">
        <v>11469</v>
      </c>
      <c r="G3790" t="s">
        <v>13197</v>
      </c>
    </row>
    <row r="3791" spans="1:7" x14ac:dyDescent="0.3">
      <c r="A3791" s="42" t="s">
        <v>3863</v>
      </c>
      <c r="B3791" s="42" t="s">
        <v>3971</v>
      </c>
      <c r="C3791" s="42" t="s">
        <v>9529</v>
      </c>
      <c r="D3791" s="43" t="s">
        <v>228</v>
      </c>
      <c r="E3791" s="43" t="s">
        <v>1430</v>
      </c>
      <c r="F3791" s="42" t="s">
        <v>11469</v>
      </c>
      <c r="G3791" t="s">
        <v>13197</v>
      </c>
    </row>
    <row r="3792" spans="1:7" x14ac:dyDescent="0.3">
      <c r="A3792" s="42" t="s">
        <v>3863</v>
      </c>
      <c r="B3792" s="42" t="s">
        <v>3972</v>
      </c>
      <c r="C3792" s="42" t="s">
        <v>9530</v>
      </c>
      <c r="D3792" s="43" t="s">
        <v>228</v>
      </c>
      <c r="E3792" s="43" t="s">
        <v>1430</v>
      </c>
      <c r="F3792" s="42" t="s">
        <v>11469</v>
      </c>
      <c r="G3792" t="s">
        <v>13197</v>
      </c>
    </row>
    <row r="3793" spans="1:7" x14ac:dyDescent="0.3">
      <c r="A3793" s="42" t="s">
        <v>3863</v>
      </c>
      <c r="B3793" s="42" t="s">
        <v>3973</v>
      </c>
      <c r="C3793" s="42" t="s">
        <v>9531</v>
      </c>
      <c r="D3793" s="43" t="s">
        <v>228</v>
      </c>
      <c r="E3793" s="43" t="s">
        <v>1430</v>
      </c>
      <c r="F3793" s="42" t="s">
        <v>192</v>
      </c>
      <c r="G3793" t="s">
        <v>13196</v>
      </c>
    </row>
    <row r="3794" spans="1:7" x14ac:dyDescent="0.3">
      <c r="A3794" s="42" t="s">
        <v>3863</v>
      </c>
      <c r="B3794" s="42" t="s">
        <v>3974</v>
      </c>
      <c r="C3794" s="42" t="s">
        <v>9532</v>
      </c>
      <c r="D3794" s="43" t="s">
        <v>228</v>
      </c>
      <c r="E3794" s="43" t="s">
        <v>1430</v>
      </c>
      <c r="F3794" s="42" t="s">
        <v>11469</v>
      </c>
      <c r="G3794" t="s">
        <v>13197</v>
      </c>
    </row>
    <row r="3795" spans="1:7" x14ac:dyDescent="0.3">
      <c r="A3795" s="42" t="s">
        <v>3863</v>
      </c>
      <c r="B3795" s="42" t="s">
        <v>3975</v>
      </c>
      <c r="C3795" s="42" t="s">
        <v>9533</v>
      </c>
      <c r="D3795" s="43" t="s">
        <v>228</v>
      </c>
      <c r="E3795" s="43" t="s">
        <v>1430</v>
      </c>
      <c r="F3795" s="42" t="s">
        <v>11469</v>
      </c>
      <c r="G3795" t="s">
        <v>13197</v>
      </c>
    </row>
    <row r="3796" spans="1:7" x14ac:dyDescent="0.3">
      <c r="A3796" s="42" t="s">
        <v>3863</v>
      </c>
      <c r="B3796" s="42" t="s">
        <v>3976</v>
      </c>
      <c r="C3796" s="42" t="s">
        <v>9534</v>
      </c>
      <c r="D3796" s="43" t="s">
        <v>228</v>
      </c>
      <c r="E3796" s="43" t="s">
        <v>1430</v>
      </c>
      <c r="F3796" s="42" t="s">
        <v>11469</v>
      </c>
      <c r="G3796" t="s">
        <v>13197</v>
      </c>
    </row>
    <row r="3797" spans="1:7" x14ac:dyDescent="0.3">
      <c r="A3797" s="42" t="s">
        <v>3863</v>
      </c>
      <c r="B3797" s="42" t="s">
        <v>3977</v>
      </c>
      <c r="C3797" s="42" t="s">
        <v>9535</v>
      </c>
      <c r="D3797" s="43" t="s">
        <v>228</v>
      </c>
      <c r="E3797" s="43" t="s">
        <v>1430</v>
      </c>
      <c r="F3797" s="42" t="s">
        <v>11469</v>
      </c>
      <c r="G3797" t="s">
        <v>13197</v>
      </c>
    </row>
    <row r="3798" spans="1:7" x14ac:dyDescent="0.3">
      <c r="A3798" s="42" t="s">
        <v>3863</v>
      </c>
      <c r="B3798" s="42" t="s">
        <v>3978</v>
      </c>
      <c r="C3798" s="42" t="s">
        <v>9536</v>
      </c>
      <c r="D3798" s="43" t="s">
        <v>228</v>
      </c>
      <c r="E3798" s="43" t="s">
        <v>1430</v>
      </c>
      <c r="F3798" s="42" t="s">
        <v>11469</v>
      </c>
      <c r="G3798" t="s">
        <v>13197</v>
      </c>
    </row>
    <row r="3799" spans="1:7" x14ac:dyDescent="0.3">
      <c r="A3799" s="42" t="s">
        <v>3863</v>
      </c>
      <c r="B3799" s="42" t="s">
        <v>3979</v>
      </c>
      <c r="C3799" s="42" t="s">
        <v>9537</v>
      </c>
      <c r="D3799" s="43" t="s">
        <v>228</v>
      </c>
      <c r="E3799" s="43" t="s">
        <v>1430</v>
      </c>
      <c r="F3799" s="42" t="s">
        <v>11469</v>
      </c>
      <c r="G3799" t="s">
        <v>13197</v>
      </c>
    </row>
    <row r="3800" spans="1:7" x14ac:dyDescent="0.3">
      <c r="A3800" s="42" t="s">
        <v>3863</v>
      </c>
      <c r="B3800" s="42" t="s">
        <v>3980</v>
      </c>
      <c r="C3800" s="42" t="s">
        <v>9538</v>
      </c>
      <c r="D3800" s="43" t="s">
        <v>228</v>
      </c>
      <c r="E3800" s="43" t="s">
        <v>1430</v>
      </c>
      <c r="F3800" s="42" t="s">
        <v>11469</v>
      </c>
      <c r="G3800" t="s">
        <v>13197</v>
      </c>
    </row>
    <row r="3801" spans="1:7" x14ac:dyDescent="0.3">
      <c r="A3801" s="42" t="s">
        <v>3863</v>
      </c>
      <c r="B3801" s="42" t="s">
        <v>3981</v>
      </c>
      <c r="C3801" s="42" t="s">
        <v>9539</v>
      </c>
      <c r="D3801" s="43" t="s">
        <v>228</v>
      </c>
      <c r="E3801" s="43" t="s">
        <v>1430</v>
      </c>
      <c r="F3801" s="42" t="s">
        <v>11469</v>
      </c>
      <c r="G3801" t="s">
        <v>13197</v>
      </c>
    </row>
    <row r="3802" spans="1:7" x14ac:dyDescent="0.3">
      <c r="A3802" s="42" t="s">
        <v>3863</v>
      </c>
      <c r="B3802" s="42" t="s">
        <v>3982</v>
      </c>
      <c r="C3802" s="42" t="s">
        <v>9540</v>
      </c>
      <c r="D3802" s="43" t="s">
        <v>228</v>
      </c>
      <c r="E3802" s="43" t="s">
        <v>1430</v>
      </c>
      <c r="F3802" s="42" t="s">
        <v>11469</v>
      </c>
      <c r="G3802" t="s">
        <v>13197</v>
      </c>
    </row>
    <row r="3803" spans="1:7" x14ac:dyDescent="0.3">
      <c r="A3803" s="42" t="s">
        <v>3863</v>
      </c>
      <c r="B3803" s="42" t="s">
        <v>3983</v>
      </c>
      <c r="C3803" s="42" t="s">
        <v>9541</v>
      </c>
      <c r="D3803" s="43" t="s">
        <v>228</v>
      </c>
      <c r="E3803" s="43" t="s">
        <v>1430</v>
      </c>
      <c r="F3803" s="42" t="s">
        <v>11469</v>
      </c>
      <c r="G3803" t="s">
        <v>13197</v>
      </c>
    </row>
    <row r="3804" spans="1:7" x14ac:dyDescent="0.3">
      <c r="A3804" s="42" t="s">
        <v>3863</v>
      </c>
      <c r="B3804" s="42" t="s">
        <v>3984</v>
      </c>
      <c r="C3804" s="42" t="s">
        <v>9542</v>
      </c>
      <c r="D3804" s="43" t="s">
        <v>228</v>
      </c>
      <c r="E3804" s="43" t="s">
        <v>1430</v>
      </c>
      <c r="F3804" s="42" t="s">
        <v>11469</v>
      </c>
      <c r="G3804" t="s">
        <v>13197</v>
      </c>
    </row>
    <row r="3805" spans="1:7" x14ac:dyDescent="0.3">
      <c r="A3805" s="42" t="s">
        <v>3863</v>
      </c>
      <c r="B3805" s="42" t="s">
        <v>3985</v>
      </c>
      <c r="C3805" s="42" t="s">
        <v>9543</v>
      </c>
      <c r="D3805" s="43" t="s">
        <v>228</v>
      </c>
      <c r="E3805" s="43" t="s">
        <v>1430</v>
      </c>
      <c r="F3805" s="42" t="s">
        <v>11469</v>
      </c>
      <c r="G3805" t="s">
        <v>13197</v>
      </c>
    </row>
    <row r="3806" spans="1:7" x14ac:dyDescent="0.3">
      <c r="A3806" s="42" t="s">
        <v>3863</v>
      </c>
      <c r="B3806" s="42" t="s">
        <v>3986</v>
      </c>
      <c r="C3806" s="42" t="s">
        <v>9544</v>
      </c>
      <c r="D3806" s="43" t="s">
        <v>228</v>
      </c>
      <c r="E3806" s="43" t="s">
        <v>1430</v>
      </c>
      <c r="F3806" s="42" t="s">
        <v>11469</v>
      </c>
      <c r="G3806" t="s">
        <v>13197</v>
      </c>
    </row>
    <row r="3807" spans="1:7" x14ac:dyDescent="0.3">
      <c r="A3807" s="42" t="s">
        <v>3863</v>
      </c>
      <c r="B3807" s="42" t="s">
        <v>3987</v>
      </c>
      <c r="C3807" s="42" t="s">
        <v>9545</v>
      </c>
      <c r="D3807" s="43" t="s">
        <v>228</v>
      </c>
      <c r="E3807" s="43" t="s">
        <v>1430</v>
      </c>
      <c r="F3807" s="42" t="s">
        <v>192</v>
      </c>
      <c r="G3807" t="s">
        <v>13196</v>
      </c>
    </row>
    <row r="3808" spans="1:7" x14ac:dyDescent="0.3">
      <c r="A3808" s="42" t="s">
        <v>3863</v>
      </c>
      <c r="B3808" s="42" t="s">
        <v>3988</v>
      </c>
      <c r="C3808" s="42" t="s">
        <v>9546</v>
      </c>
      <c r="D3808" s="43" t="s">
        <v>228</v>
      </c>
      <c r="E3808" s="43" t="s">
        <v>1430</v>
      </c>
      <c r="F3808" s="42" t="s">
        <v>11469</v>
      </c>
      <c r="G3808" t="s">
        <v>13197</v>
      </c>
    </row>
    <row r="3809" spans="1:7" x14ac:dyDescent="0.3">
      <c r="A3809" s="42" t="s">
        <v>3863</v>
      </c>
      <c r="B3809" s="42" t="s">
        <v>3989</v>
      </c>
      <c r="C3809" s="42" t="s">
        <v>9547</v>
      </c>
      <c r="D3809" s="43" t="s">
        <v>228</v>
      </c>
      <c r="E3809" s="43" t="s">
        <v>1430</v>
      </c>
      <c r="F3809" s="42" t="s">
        <v>11469</v>
      </c>
      <c r="G3809" t="s">
        <v>13197</v>
      </c>
    </row>
    <row r="3810" spans="1:7" x14ac:dyDescent="0.3">
      <c r="A3810" s="42" t="s">
        <v>3863</v>
      </c>
      <c r="B3810" s="42" t="s">
        <v>3990</v>
      </c>
      <c r="C3810" s="42" t="s">
        <v>9548</v>
      </c>
      <c r="D3810" s="43" t="s">
        <v>228</v>
      </c>
      <c r="E3810" s="43" t="s">
        <v>1430</v>
      </c>
      <c r="F3810" s="42" t="s">
        <v>192</v>
      </c>
      <c r="G3810" t="s">
        <v>13196</v>
      </c>
    </row>
    <row r="3811" spans="1:7" x14ac:dyDescent="0.3">
      <c r="A3811" s="42" t="s">
        <v>3863</v>
      </c>
      <c r="B3811" s="42" t="s">
        <v>3991</v>
      </c>
      <c r="C3811" s="42" t="s">
        <v>9549</v>
      </c>
      <c r="D3811" s="43" t="s">
        <v>228</v>
      </c>
      <c r="E3811" s="43" t="s">
        <v>1430</v>
      </c>
      <c r="F3811" s="42" t="s">
        <v>11469</v>
      </c>
      <c r="G3811" t="s">
        <v>13197</v>
      </c>
    </row>
    <row r="3812" spans="1:7" x14ac:dyDescent="0.3">
      <c r="A3812" s="42" t="s">
        <v>3863</v>
      </c>
      <c r="B3812" s="42" t="s">
        <v>3992</v>
      </c>
      <c r="C3812" s="42" t="s">
        <v>9550</v>
      </c>
      <c r="D3812" s="43" t="s">
        <v>228</v>
      </c>
      <c r="E3812" s="43" t="s">
        <v>1430</v>
      </c>
      <c r="F3812" s="42" t="s">
        <v>11469</v>
      </c>
      <c r="G3812" t="s">
        <v>13197</v>
      </c>
    </row>
    <row r="3813" spans="1:7" x14ac:dyDescent="0.3">
      <c r="A3813" s="42" t="s">
        <v>3863</v>
      </c>
      <c r="B3813" s="42" t="s">
        <v>3993</v>
      </c>
      <c r="C3813" s="42" t="s">
        <v>9551</v>
      </c>
      <c r="D3813" s="43" t="s">
        <v>228</v>
      </c>
      <c r="E3813" s="43" t="s">
        <v>1430</v>
      </c>
      <c r="F3813" s="42" t="s">
        <v>11469</v>
      </c>
      <c r="G3813" t="s">
        <v>13197</v>
      </c>
    </row>
    <row r="3814" spans="1:7" x14ac:dyDescent="0.3">
      <c r="A3814" s="42" t="s">
        <v>3863</v>
      </c>
      <c r="B3814" s="42" t="s">
        <v>3994</v>
      </c>
      <c r="C3814" s="42" t="s">
        <v>9552</v>
      </c>
      <c r="D3814" s="43" t="s">
        <v>228</v>
      </c>
      <c r="E3814" s="43" t="s">
        <v>1430</v>
      </c>
      <c r="F3814" s="42" t="s">
        <v>11469</v>
      </c>
      <c r="G3814" t="s">
        <v>13197</v>
      </c>
    </row>
    <row r="3815" spans="1:7" x14ac:dyDescent="0.3">
      <c r="A3815" s="42" t="s">
        <v>3863</v>
      </c>
      <c r="B3815" s="42" t="s">
        <v>3995</v>
      </c>
      <c r="C3815" s="42" t="s">
        <v>9553</v>
      </c>
      <c r="D3815" s="43" t="s">
        <v>228</v>
      </c>
      <c r="E3815" s="43" t="s">
        <v>1430</v>
      </c>
      <c r="F3815" s="42" t="s">
        <v>192</v>
      </c>
      <c r="G3815" t="s">
        <v>13196</v>
      </c>
    </row>
    <row r="3816" spans="1:7" x14ac:dyDescent="0.3">
      <c r="A3816" s="42" t="s">
        <v>3863</v>
      </c>
      <c r="B3816" s="42" t="s">
        <v>1514</v>
      </c>
      <c r="C3816" s="42" t="s">
        <v>9554</v>
      </c>
      <c r="D3816" s="43" t="s">
        <v>228</v>
      </c>
      <c r="E3816" s="43" t="s">
        <v>1430</v>
      </c>
      <c r="F3816" s="42" t="s">
        <v>192</v>
      </c>
      <c r="G3816" t="s">
        <v>13196</v>
      </c>
    </row>
    <row r="3817" spans="1:7" x14ac:dyDescent="0.3">
      <c r="A3817" s="42" t="s">
        <v>3863</v>
      </c>
      <c r="B3817" s="42" t="s">
        <v>3996</v>
      </c>
      <c r="C3817" s="42" t="s">
        <v>9555</v>
      </c>
      <c r="D3817" s="43" t="s">
        <v>228</v>
      </c>
      <c r="E3817" s="43" t="s">
        <v>1430</v>
      </c>
      <c r="F3817" s="42" t="s">
        <v>11469</v>
      </c>
      <c r="G3817" t="s">
        <v>13197</v>
      </c>
    </row>
    <row r="3818" spans="1:7" x14ac:dyDescent="0.3">
      <c r="A3818" s="42" t="s">
        <v>3863</v>
      </c>
      <c r="B3818" s="42" t="s">
        <v>1949</v>
      </c>
      <c r="C3818" s="42" t="s">
        <v>9556</v>
      </c>
      <c r="D3818" s="43" t="s">
        <v>228</v>
      </c>
      <c r="E3818" s="43" t="s">
        <v>1430</v>
      </c>
      <c r="F3818" s="42" t="s">
        <v>192</v>
      </c>
      <c r="G3818" t="s">
        <v>13196</v>
      </c>
    </row>
    <row r="3819" spans="1:7" x14ac:dyDescent="0.3">
      <c r="A3819" s="42" t="s">
        <v>3863</v>
      </c>
      <c r="B3819" s="42" t="s">
        <v>3997</v>
      </c>
      <c r="C3819" s="42" t="s">
        <v>9557</v>
      </c>
      <c r="D3819" s="43" t="s">
        <v>228</v>
      </c>
      <c r="E3819" s="43" t="s">
        <v>1430</v>
      </c>
      <c r="F3819" s="42" t="s">
        <v>192</v>
      </c>
      <c r="G3819" t="s">
        <v>13196</v>
      </c>
    </row>
    <row r="3820" spans="1:7" x14ac:dyDescent="0.3">
      <c r="A3820" s="42" t="s">
        <v>3863</v>
      </c>
      <c r="B3820" s="42" t="s">
        <v>3998</v>
      </c>
      <c r="C3820" s="42" t="s">
        <v>9558</v>
      </c>
      <c r="D3820" s="43" t="s">
        <v>228</v>
      </c>
      <c r="E3820" s="43" t="s">
        <v>1430</v>
      </c>
      <c r="F3820" s="42" t="s">
        <v>11469</v>
      </c>
      <c r="G3820" t="s">
        <v>13197</v>
      </c>
    </row>
    <row r="3821" spans="1:7" x14ac:dyDescent="0.3">
      <c r="A3821" s="42" t="s">
        <v>3863</v>
      </c>
      <c r="B3821" s="42" t="s">
        <v>3999</v>
      </c>
      <c r="C3821" s="42" t="s">
        <v>9559</v>
      </c>
      <c r="D3821" s="43" t="s">
        <v>228</v>
      </c>
      <c r="E3821" s="43" t="s">
        <v>1430</v>
      </c>
      <c r="F3821" s="42" t="s">
        <v>11469</v>
      </c>
      <c r="G3821" t="s">
        <v>13197</v>
      </c>
    </row>
    <row r="3822" spans="1:7" x14ac:dyDescent="0.3">
      <c r="A3822" s="42" t="s">
        <v>3863</v>
      </c>
      <c r="B3822" s="42" t="s">
        <v>4000</v>
      </c>
      <c r="C3822" s="42" t="s">
        <v>9560</v>
      </c>
      <c r="D3822" s="43" t="s">
        <v>228</v>
      </c>
      <c r="E3822" s="43" t="s">
        <v>1430</v>
      </c>
      <c r="F3822" s="42" t="s">
        <v>11469</v>
      </c>
      <c r="G3822" t="s">
        <v>13197</v>
      </c>
    </row>
    <row r="3823" spans="1:7" x14ac:dyDescent="0.3">
      <c r="A3823" s="42" t="s">
        <v>3863</v>
      </c>
      <c r="B3823" s="42" t="s">
        <v>4001</v>
      </c>
      <c r="C3823" s="42" t="s">
        <v>9561</v>
      </c>
      <c r="D3823" s="43" t="s">
        <v>228</v>
      </c>
      <c r="E3823" s="43" t="s">
        <v>1430</v>
      </c>
      <c r="F3823" s="42" t="s">
        <v>11469</v>
      </c>
      <c r="G3823" t="s">
        <v>13197</v>
      </c>
    </row>
    <row r="3824" spans="1:7" x14ac:dyDescent="0.3">
      <c r="A3824" s="42" t="s">
        <v>3863</v>
      </c>
      <c r="B3824" s="42" t="s">
        <v>4002</v>
      </c>
      <c r="C3824" s="42" t="s">
        <v>9562</v>
      </c>
      <c r="D3824" s="43" t="s">
        <v>228</v>
      </c>
      <c r="E3824" s="43" t="s">
        <v>1430</v>
      </c>
      <c r="F3824" s="42" t="s">
        <v>11469</v>
      </c>
      <c r="G3824" t="s">
        <v>13197</v>
      </c>
    </row>
    <row r="3825" spans="1:7" x14ac:dyDescent="0.3">
      <c r="A3825" s="42" t="s">
        <v>3863</v>
      </c>
      <c r="B3825" s="42" t="s">
        <v>4003</v>
      </c>
      <c r="C3825" s="42" t="s">
        <v>9563</v>
      </c>
      <c r="D3825" s="43" t="s">
        <v>228</v>
      </c>
      <c r="E3825" s="43" t="s">
        <v>1430</v>
      </c>
      <c r="F3825" s="42" t="s">
        <v>11469</v>
      </c>
      <c r="G3825" t="s">
        <v>13197</v>
      </c>
    </row>
    <row r="3826" spans="1:7" x14ac:dyDescent="0.3">
      <c r="A3826" s="42" t="s">
        <v>3863</v>
      </c>
      <c r="B3826" s="42" t="s">
        <v>4004</v>
      </c>
      <c r="C3826" s="42" t="s">
        <v>9564</v>
      </c>
      <c r="D3826" s="43" t="s">
        <v>228</v>
      </c>
      <c r="E3826" s="43" t="s">
        <v>1430</v>
      </c>
      <c r="F3826" s="42" t="s">
        <v>11469</v>
      </c>
      <c r="G3826" t="s">
        <v>13197</v>
      </c>
    </row>
    <row r="3827" spans="1:7" x14ac:dyDescent="0.3">
      <c r="A3827" s="42" t="s">
        <v>3863</v>
      </c>
      <c r="B3827" s="42" t="s">
        <v>4005</v>
      </c>
      <c r="C3827" s="42" t="s">
        <v>9565</v>
      </c>
      <c r="D3827" s="43" t="s">
        <v>228</v>
      </c>
      <c r="E3827" s="43" t="s">
        <v>1430</v>
      </c>
      <c r="F3827" s="42" t="s">
        <v>11469</v>
      </c>
      <c r="G3827" t="s">
        <v>13197</v>
      </c>
    </row>
    <row r="3828" spans="1:7" x14ac:dyDescent="0.3">
      <c r="A3828" s="42" t="s">
        <v>3863</v>
      </c>
      <c r="B3828" s="42" t="s">
        <v>4006</v>
      </c>
      <c r="C3828" s="42" t="s">
        <v>9566</v>
      </c>
      <c r="D3828" s="43" t="s">
        <v>228</v>
      </c>
      <c r="E3828" s="43" t="s">
        <v>1430</v>
      </c>
      <c r="F3828" s="42" t="s">
        <v>11469</v>
      </c>
      <c r="G3828" t="s">
        <v>13197</v>
      </c>
    </row>
    <row r="3829" spans="1:7" x14ac:dyDescent="0.3">
      <c r="A3829" s="42" t="s">
        <v>3863</v>
      </c>
      <c r="B3829" s="42" t="s">
        <v>4007</v>
      </c>
      <c r="C3829" s="42" t="s">
        <v>9567</v>
      </c>
      <c r="D3829" s="43" t="s">
        <v>228</v>
      </c>
      <c r="E3829" s="43" t="s">
        <v>1430</v>
      </c>
      <c r="F3829" s="42" t="s">
        <v>11469</v>
      </c>
      <c r="G3829" t="s">
        <v>13197</v>
      </c>
    </row>
    <row r="3830" spans="1:7" x14ac:dyDescent="0.3">
      <c r="A3830" s="42" t="s">
        <v>3863</v>
      </c>
      <c r="B3830" s="42" t="s">
        <v>4008</v>
      </c>
      <c r="C3830" s="42" t="s">
        <v>9568</v>
      </c>
      <c r="D3830" s="43" t="s">
        <v>228</v>
      </c>
      <c r="E3830" s="43" t="s">
        <v>1430</v>
      </c>
      <c r="F3830" s="42" t="s">
        <v>11469</v>
      </c>
      <c r="G3830" t="s">
        <v>13197</v>
      </c>
    </row>
    <row r="3831" spans="1:7" x14ac:dyDescent="0.3">
      <c r="A3831" s="42" t="s">
        <v>3863</v>
      </c>
      <c r="B3831" s="42" t="s">
        <v>4009</v>
      </c>
      <c r="C3831" s="42" t="s">
        <v>9569</v>
      </c>
      <c r="D3831" s="43" t="s">
        <v>228</v>
      </c>
      <c r="E3831" s="43" t="s">
        <v>1430</v>
      </c>
      <c r="F3831" s="42" t="s">
        <v>11469</v>
      </c>
      <c r="G3831" t="s">
        <v>13197</v>
      </c>
    </row>
    <row r="3832" spans="1:7" x14ac:dyDescent="0.3">
      <c r="A3832" s="42" t="s">
        <v>3863</v>
      </c>
      <c r="B3832" s="42" t="s">
        <v>4010</v>
      </c>
      <c r="C3832" s="42" t="s">
        <v>9570</v>
      </c>
      <c r="D3832" s="43" t="s">
        <v>228</v>
      </c>
      <c r="E3832" s="43" t="s">
        <v>1430</v>
      </c>
      <c r="F3832" s="42" t="s">
        <v>11469</v>
      </c>
      <c r="G3832" t="s">
        <v>13197</v>
      </c>
    </row>
    <row r="3833" spans="1:7" x14ac:dyDescent="0.3">
      <c r="A3833" s="42" t="s">
        <v>3863</v>
      </c>
      <c r="B3833" s="42" t="s">
        <v>4011</v>
      </c>
      <c r="C3833" s="42" t="s">
        <v>9571</v>
      </c>
      <c r="D3833" s="43" t="s">
        <v>228</v>
      </c>
      <c r="E3833" s="43" t="s">
        <v>1430</v>
      </c>
      <c r="F3833" s="42" t="s">
        <v>11469</v>
      </c>
      <c r="G3833" t="s">
        <v>13197</v>
      </c>
    </row>
    <row r="3834" spans="1:7" x14ac:dyDescent="0.3">
      <c r="A3834" s="42" t="s">
        <v>3863</v>
      </c>
      <c r="B3834" s="42" t="s">
        <v>4012</v>
      </c>
      <c r="C3834" s="42" t="s">
        <v>9572</v>
      </c>
      <c r="D3834" s="43" t="s">
        <v>228</v>
      </c>
      <c r="E3834" s="43" t="s">
        <v>1430</v>
      </c>
      <c r="F3834" s="42" t="s">
        <v>11469</v>
      </c>
      <c r="G3834" t="s">
        <v>13197</v>
      </c>
    </row>
    <row r="3835" spans="1:7" x14ac:dyDescent="0.3">
      <c r="A3835" s="42" t="s">
        <v>3863</v>
      </c>
      <c r="B3835" s="42" t="s">
        <v>4013</v>
      </c>
      <c r="C3835" s="42" t="s">
        <v>9573</v>
      </c>
      <c r="D3835" s="43" t="s">
        <v>228</v>
      </c>
      <c r="E3835" s="43" t="s">
        <v>1430</v>
      </c>
      <c r="F3835" s="42" t="s">
        <v>11469</v>
      </c>
      <c r="G3835" t="s">
        <v>13197</v>
      </c>
    </row>
    <row r="3836" spans="1:7" x14ac:dyDescent="0.3">
      <c r="A3836" s="42" t="s">
        <v>3863</v>
      </c>
      <c r="B3836" s="42" t="s">
        <v>1737</v>
      </c>
      <c r="C3836" s="42" t="s">
        <v>9574</v>
      </c>
      <c r="D3836" s="43" t="s">
        <v>228</v>
      </c>
      <c r="E3836" s="43" t="s">
        <v>1430</v>
      </c>
      <c r="F3836" s="42" t="s">
        <v>11469</v>
      </c>
      <c r="G3836" t="s">
        <v>13197</v>
      </c>
    </row>
    <row r="3837" spans="1:7" x14ac:dyDescent="0.3">
      <c r="A3837" s="42" t="s">
        <v>3863</v>
      </c>
      <c r="B3837" s="42" t="s">
        <v>4014</v>
      </c>
      <c r="C3837" s="42" t="s">
        <v>9575</v>
      </c>
      <c r="D3837" s="43" t="s">
        <v>228</v>
      </c>
      <c r="E3837" s="43" t="s">
        <v>1430</v>
      </c>
      <c r="F3837" s="42" t="s">
        <v>11469</v>
      </c>
      <c r="G3837" t="s">
        <v>13197</v>
      </c>
    </row>
    <row r="3838" spans="1:7" x14ac:dyDescent="0.3">
      <c r="A3838" s="42" t="s">
        <v>3863</v>
      </c>
      <c r="B3838" s="42" t="s">
        <v>2783</v>
      </c>
      <c r="C3838" s="42" t="s">
        <v>9576</v>
      </c>
      <c r="D3838" s="43" t="s">
        <v>228</v>
      </c>
      <c r="E3838" s="43" t="s">
        <v>1430</v>
      </c>
      <c r="F3838" s="42" t="s">
        <v>11469</v>
      </c>
      <c r="G3838" t="s">
        <v>13197</v>
      </c>
    </row>
    <row r="3839" spans="1:7" x14ac:dyDescent="0.3">
      <c r="A3839" s="42" t="s">
        <v>3863</v>
      </c>
      <c r="B3839" s="42" t="s">
        <v>4015</v>
      </c>
      <c r="C3839" s="42" t="s">
        <v>9577</v>
      </c>
      <c r="D3839" s="43" t="s">
        <v>228</v>
      </c>
      <c r="E3839" s="43" t="s">
        <v>1430</v>
      </c>
      <c r="F3839" s="42" t="s">
        <v>11469</v>
      </c>
      <c r="G3839" t="s">
        <v>13197</v>
      </c>
    </row>
    <row r="3840" spans="1:7" x14ac:dyDescent="0.3">
      <c r="A3840" s="42" t="s">
        <v>3863</v>
      </c>
      <c r="B3840" s="42" t="s">
        <v>4016</v>
      </c>
      <c r="C3840" s="42" t="s">
        <v>9578</v>
      </c>
      <c r="D3840" s="43" t="s">
        <v>228</v>
      </c>
      <c r="E3840" s="43" t="s">
        <v>1430</v>
      </c>
      <c r="F3840" s="42" t="s">
        <v>11469</v>
      </c>
      <c r="G3840" t="s">
        <v>13197</v>
      </c>
    </row>
    <row r="3841" spans="1:7" x14ac:dyDescent="0.3">
      <c r="A3841" s="42" t="s">
        <v>3863</v>
      </c>
      <c r="B3841" s="42" t="s">
        <v>4017</v>
      </c>
      <c r="C3841" s="42" t="s">
        <v>9579</v>
      </c>
      <c r="D3841" s="43" t="s">
        <v>228</v>
      </c>
      <c r="E3841" s="43" t="s">
        <v>1430</v>
      </c>
      <c r="F3841" s="42" t="s">
        <v>192</v>
      </c>
      <c r="G3841" t="s">
        <v>13196</v>
      </c>
    </row>
    <row r="3842" spans="1:7" x14ac:dyDescent="0.3">
      <c r="A3842" s="42" t="s">
        <v>3863</v>
      </c>
      <c r="B3842" s="42" t="s">
        <v>4018</v>
      </c>
      <c r="C3842" s="42" t="s">
        <v>9580</v>
      </c>
      <c r="D3842" s="43" t="s">
        <v>228</v>
      </c>
      <c r="E3842" s="43" t="s">
        <v>1430</v>
      </c>
      <c r="F3842" s="42" t="s">
        <v>11469</v>
      </c>
      <c r="G3842" t="s">
        <v>13197</v>
      </c>
    </row>
    <row r="3843" spans="1:7" x14ac:dyDescent="0.3">
      <c r="A3843" s="42" t="s">
        <v>3863</v>
      </c>
      <c r="B3843" s="42" t="s">
        <v>4019</v>
      </c>
      <c r="C3843" s="42" t="s">
        <v>9581</v>
      </c>
      <c r="D3843" s="43" t="s">
        <v>228</v>
      </c>
      <c r="E3843" s="43" t="s">
        <v>1430</v>
      </c>
      <c r="F3843" s="42" t="s">
        <v>11469</v>
      </c>
      <c r="G3843" t="s">
        <v>13197</v>
      </c>
    </row>
    <row r="3844" spans="1:7" x14ac:dyDescent="0.3">
      <c r="A3844" s="42" t="s">
        <v>3863</v>
      </c>
      <c r="B3844" s="42" t="s">
        <v>4020</v>
      </c>
      <c r="C3844" s="42" t="s">
        <v>9582</v>
      </c>
      <c r="D3844" s="43" t="s">
        <v>228</v>
      </c>
      <c r="E3844" s="43" t="s">
        <v>1430</v>
      </c>
      <c r="F3844" s="42" t="s">
        <v>192</v>
      </c>
      <c r="G3844" t="s">
        <v>13196</v>
      </c>
    </row>
    <row r="3845" spans="1:7" x14ac:dyDescent="0.3">
      <c r="A3845" s="42" t="s">
        <v>3863</v>
      </c>
      <c r="B3845" s="42" t="s">
        <v>4021</v>
      </c>
      <c r="C3845" s="42" t="s">
        <v>9583</v>
      </c>
      <c r="D3845" s="43" t="s">
        <v>228</v>
      </c>
      <c r="E3845" s="43" t="s">
        <v>1430</v>
      </c>
      <c r="F3845" s="42" t="s">
        <v>11469</v>
      </c>
      <c r="G3845" t="s">
        <v>13197</v>
      </c>
    </row>
    <row r="3846" spans="1:7" x14ac:dyDescent="0.3">
      <c r="A3846" s="42" t="s">
        <v>3863</v>
      </c>
      <c r="B3846" s="42" t="s">
        <v>4022</v>
      </c>
      <c r="C3846" s="42" t="s">
        <v>9584</v>
      </c>
      <c r="D3846" s="43" t="s">
        <v>228</v>
      </c>
      <c r="E3846" s="43" t="s">
        <v>1430</v>
      </c>
      <c r="F3846" s="42" t="s">
        <v>11469</v>
      </c>
      <c r="G3846" t="s">
        <v>13197</v>
      </c>
    </row>
    <row r="3847" spans="1:7" x14ac:dyDescent="0.3">
      <c r="A3847" s="42" t="s">
        <v>3863</v>
      </c>
      <c r="B3847" s="42" t="s">
        <v>4023</v>
      </c>
      <c r="C3847" s="42" t="s">
        <v>9585</v>
      </c>
      <c r="D3847" s="43" t="s">
        <v>228</v>
      </c>
      <c r="E3847" s="43" t="s">
        <v>1430</v>
      </c>
      <c r="F3847" s="42" t="s">
        <v>11469</v>
      </c>
      <c r="G3847" t="s">
        <v>13197</v>
      </c>
    </row>
    <row r="3848" spans="1:7" x14ac:dyDescent="0.3">
      <c r="A3848" s="42" t="s">
        <v>3863</v>
      </c>
      <c r="B3848" s="42" t="s">
        <v>4024</v>
      </c>
      <c r="C3848" s="42" t="s">
        <v>9586</v>
      </c>
      <c r="D3848" s="43" t="s">
        <v>228</v>
      </c>
      <c r="E3848" s="43" t="s">
        <v>1430</v>
      </c>
      <c r="F3848" s="42" t="s">
        <v>11469</v>
      </c>
      <c r="G3848" t="s">
        <v>13197</v>
      </c>
    </row>
    <row r="3849" spans="1:7" x14ac:dyDescent="0.3">
      <c r="A3849" s="42" t="s">
        <v>3863</v>
      </c>
      <c r="B3849" s="42" t="s">
        <v>4025</v>
      </c>
      <c r="C3849" s="42" t="s">
        <v>9587</v>
      </c>
      <c r="D3849" s="43" t="s">
        <v>228</v>
      </c>
      <c r="E3849" s="43" t="s">
        <v>1430</v>
      </c>
      <c r="F3849" s="42" t="s">
        <v>11469</v>
      </c>
      <c r="G3849" t="s">
        <v>13197</v>
      </c>
    </row>
    <row r="3850" spans="1:7" x14ac:dyDescent="0.3">
      <c r="A3850" s="42" t="s">
        <v>3863</v>
      </c>
      <c r="B3850" s="42" t="s">
        <v>4026</v>
      </c>
      <c r="C3850" s="42" t="s">
        <v>9588</v>
      </c>
      <c r="D3850" s="43" t="s">
        <v>228</v>
      </c>
      <c r="E3850" s="43" t="s">
        <v>1430</v>
      </c>
      <c r="F3850" s="42" t="s">
        <v>11469</v>
      </c>
      <c r="G3850" t="s">
        <v>13197</v>
      </c>
    </row>
    <row r="3851" spans="1:7" x14ac:dyDescent="0.3">
      <c r="A3851" s="42" t="s">
        <v>3863</v>
      </c>
      <c r="B3851" s="42" t="s">
        <v>4027</v>
      </c>
      <c r="C3851" s="42" t="s">
        <v>9589</v>
      </c>
      <c r="D3851" s="43" t="s">
        <v>228</v>
      </c>
      <c r="E3851" s="43" t="s">
        <v>1430</v>
      </c>
      <c r="F3851" s="42" t="s">
        <v>11469</v>
      </c>
      <c r="G3851" t="s">
        <v>13197</v>
      </c>
    </row>
    <row r="3852" spans="1:7" x14ac:dyDescent="0.3">
      <c r="A3852" s="42" t="s">
        <v>3863</v>
      </c>
      <c r="B3852" s="42" t="s">
        <v>4028</v>
      </c>
      <c r="C3852" s="42" t="s">
        <v>9590</v>
      </c>
      <c r="D3852" s="43" t="s">
        <v>228</v>
      </c>
      <c r="E3852" s="43" t="s">
        <v>1430</v>
      </c>
      <c r="F3852" s="42" t="s">
        <v>11469</v>
      </c>
      <c r="G3852" t="s">
        <v>13197</v>
      </c>
    </row>
    <row r="3853" spans="1:7" x14ac:dyDescent="0.3">
      <c r="A3853" s="42" t="s">
        <v>3863</v>
      </c>
      <c r="B3853" s="42" t="s">
        <v>4029</v>
      </c>
      <c r="C3853" s="42" t="s">
        <v>9591</v>
      </c>
      <c r="D3853" s="43" t="s">
        <v>228</v>
      </c>
      <c r="E3853" s="43" t="s">
        <v>1430</v>
      </c>
      <c r="F3853" s="42" t="s">
        <v>11469</v>
      </c>
      <c r="G3853" t="s">
        <v>13197</v>
      </c>
    </row>
    <row r="3854" spans="1:7" x14ac:dyDescent="0.3">
      <c r="A3854" s="42" t="s">
        <v>3863</v>
      </c>
      <c r="B3854" s="42" t="s">
        <v>4030</v>
      </c>
      <c r="C3854" s="42" t="s">
        <v>9592</v>
      </c>
      <c r="D3854" s="43" t="s">
        <v>228</v>
      </c>
      <c r="E3854" s="43" t="s">
        <v>1430</v>
      </c>
      <c r="F3854" s="42" t="s">
        <v>11469</v>
      </c>
      <c r="G3854" t="s">
        <v>13197</v>
      </c>
    </row>
    <row r="3855" spans="1:7" x14ac:dyDescent="0.3">
      <c r="A3855" s="42" t="s">
        <v>3863</v>
      </c>
      <c r="B3855" s="42" t="s">
        <v>1527</v>
      </c>
      <c r="C3855" s="42" t="s">
        <v>9593</v>
      </c>
      <c r="D3855" s="43" t="s">
        <v>228</v>
      </c>
      <c r="E3855" s="43" t="s">
        <v>1430</v>
      </c>
      <c r="F3855" s="42" t="s">
        <v>11469</v>
      </c>
      <c r="G3855" t="s">
        <v>13200</v>
      </c>
    </row>
    <row r="3856" spans="1:7" x14ac:dyDescent="0.3">
      <c r="A3856" s="42" t="s">
        <v>3863</v>
      </c>
      <c r="B3856" s="42" t="s">
        <v>4031</v>
      </c>
      <c r="C3856" s="42" t="s">
        <v>9594</v>
      </c>
      <c r="D3856" s="43" t="s">
        <v>228</v>
      </c>
      <c r="E3856" s="43" t="s">
        <v>1430</v>
      </c>
      <c r="F3856" s="42" t="s">
        <v>11469</v>
      </c>
      <c r="G3856" t="s">
        <v>13197</v>
      </c>
    </row>
    <row r="3857" spans="1:7" x14ac:dyDescent="0.3">
      <c r="A3857" s="42" t="s">
        <v>3863</v>
      </c>
      <c r="B3857" s="42" t="s">
        <v>4032</v>
      </c>
      <c r="C3857" s="42" t="s">
        <v>9595</v>
      </c>
      <c r="D3857" s="43" t="s">
        <v>228</v>
      </c>
      <c r="E3857" s="43" t="s">
        <v>1430</v>
      </c>
      <c r="F3857" s="42" t="s">
        <v>11469</v>
      </c>
      <c r="G3857" t="s">
        <v>13197</v>
      </c>
    </row>
    <row r="3858" spans="1:7" x14ac:dyDescent="0.3">
      <c r="A3858" s="42" t="s">
        <v>3863</v>
      </c>
      <c r="B3858" s="42" t="s">
        <v>4033</v>
      </c>
      <c r="C3858" s="42" t="s">
        <v>9596</v>
      </c>
      <c r="D3858" s="43" t="s">
        <v>228</v>
      </c>
      <c r="E3858" s="43" t="s">
        <v>1430</v>
      </c>
      <c r="F3858" s="42" t="s">
        <v>11469</v>
      </c>
      <c r="G3858" t="s">
        <v>13197</v>
      </c>
    </row>
    <row r="3859" spans="1:7" x14ac:dyDescent="0.3">
      <c r="A3859" s="42" t="s">
        <v>3863</v>
      </c>
      <c r="B3859" s="42" t="s">
        <v>4034</v>
      </c>
      <c r="C3859" s="42" t="s">
        <v>9597</v>
      </c>
      <c r="D3859" s="43" t="s">
        <v>228</v>
      </c>
      <c r="E3859" s="43" t="s">
        <v>1430</v>
      </c>
      <c r="F3859" s="42" t="s">
        <v>11469</v>
      </c>
      <c r="G3859" t="s">
        <v>13197</v>
      </c>
    </row>
    <row r="3860" spans="1:7" x14ac:dyDescent="0.3">
      <c r="A3860" s="42" t="s">
        <v>3863</v>
      </c>
      <c r="B3860" s="42" t="s">
        <v>4035</v>
      </c>
      <c r="C3860" s="42" t="s">
        <v>9598</v>
      </c>
      <c r="D3860" s="43" t="s">
        <v>228</v>
      </c>
      <c r="E3860" s="43" t="s">
        <v>1430</v>
      </c>
      <c r="F3860" s="42" t="s">
        <v>11469</v>
      </c>
      <c r="G3860" t="s">
        <v>13197</v>
      </c>
    </row>
    <row r="3861" spans="1:7" x14ac:dyDescent="0.3">
      <c r="A3861" s="42" t="s">
        <v>4036</v>
      </c>
      <c r="B3861" s="42" t="s">
        <v>4037</v>
      </c>
      <c r="C3861" s="42" t="s">
        <v>9599</v>
      </c>
      <c r="D3861" s="43" t="s">
        <v>136</v>
      </c>
      <c r="E3861" s="43" t="s">
        <v>92</v>
      </c>
      <c r="F3861" s="42" t="s">
        <v>11469</v>
      </c>
      <c r="G3861" t="s">
        <v>13197</v>
      </c>
    </row>
    <row r="3862" spans="1:7" x14ac:dyDescent="0.3">
      <c r="A3862" s="42" t="s">
        <v>4036</v>
      </c>
      <c r="B3862" s="42" t="s">
        <v>4038</v>
      </c>
      <c r="C3862" s="42" t="s">
        <v>9600</v>
      </c>
      <c r="D3862" s="43" t="s">
        <v>136</v>
      </c>
      <c r="E3862" s="43" t="s">
        <v>92</v>
      </c>
      <c r="F3862" s="42" t="s">
        <v>11469</v>
      </c>
      <c r="G3862" t="s">
        <v>13197</v>
      </c>
    </row>
    <row r="3863" spans="1:7" x14ac:dyDescent="0.3">
      <c r="A3863" s="42" t="s">
        <v>4036</v>
      </c>
      <c r="B3863" s="42" t="s">
        <v>4039</v>
      </c>
      <c r="C3863" s="42" t="s">
        <v>9601</v>
      </c>
      <c r="D3863" s="43" t="s">
        <v>136</v>
      </c>
      <c r="E3863" s="43" t="s">
        <v>92</v>
      </c>
      <c r="F3863" s="42" t="s">
        <v>11469</v>
      </c>
      <c r="G3863" t="s">
        <v>13197</v>
      </c>
    </row>
    <row r="3864" spans="1:7" x14ac:dyDescent="0.3">
      <c r="A3864" s="42" t="s">
        <v>4036</v>
      </c>
      <c r="B3864" s="42" t="s">
        <v>4040</v>
      </c>
      <c r="C3864" s="42" t="s">
        <v>9602</v>
      </c>
      <c r="D3864" s="43" t="s">
        <v>136</v>
      </c>
      <c r="E3864" s="43" t="s">
        <v>92</v>
      </c>
      <c r="F3864" s="42" t="s">
        <v>11469</v>
      </c>
      <c r="G3864" t="s">
        <v>13197</v>
      </c>
    </row>
    <row r="3865" spans="1:7" x14ac:dyDescent="0.3">
      <c r="A3865" s="42" t="s">
        <v>4036</v>
      </c>
      <c r="B3865" s="42" t="s">
        <v>4041</v>
      </c>
      <c r="C3865" s="42" t="s">
        <v>9603</v>
      </c>
      <c r="D3865" s="43" t="s">
        <v>136</v>
      </c>
      <c r="E3865" s="43" t="s">
        <v>92</v>
      </c>
      <c r="F3865" s="42" t="s">
        <v>11469</v>
      </c>
      <c r="G3865" t="s">
        <v>13197</v>
      </c>
    </row>
    <row r="3866" spans="1:7" x14ac:dyDescent="0.3">
      <c r="A3866" s="42" t="s">
        <v>4036</v>
      </c>
      <c r="B3866" s="42" t="s">
        <v>4042</v>
      </c>
      <c r="C3866" s="42" t="s">
        <v>9604</v>
      </c>
      <c r="D3866" s="43" t="s">
        <v>136</v>
      </c>
      <c r="E3866" s="43" t="s">
        <v>92</v>
      </c>
      <c r="F3866" s="42" t="s">
        <v>11469</v>
      </c>
      <c r="G3866" t="s">
        <v>13197</v>
      </c>
    </row>
    <row r="3867" spans="1:7" x14ac:dyDescent="0.3">
      <c r="A3867" s="42" t="s">
        <v>4036</v>
      </c>
      <c r="B3867" s="42" t="s">
        <v>4043</v>
      </c>
      <c r="C3867" s="42" t="s">
        <v>9605</v>
      </c>
      <c r="D3867" s="43" t="s">
        <v>136</v>
      </c>
      <c r="E3867" s="43" t="s">
        <v>92</v>
      </c>
      <c r="F3867" s="42" t="s">
        <v>11469</v>
      </c>
      <c r="G3867" t="s">
        <v>13197</v>
      </c>
    </row>
    <row r="3868" spans="1:7" x14ac:dyDescent="0.3">
      <c r="A3868" s="42" t="s">
        <v>4036</v>
      </c>
      <c r="B3868" s="42" t="s">
        <v>4044</v>
      </c>
      <c r="C3868" s="42" t="s">
        <v>9606</v>
      </c>
      <c r="D3868" s="43" t="s">
        <v>136</v>
      </c>
      <c r="E3868" s="43" t="s">
        <v>92</v>
      </c>
      <c r="F3868" s="42" t="s">
        <v>11469</v>
      </c>
      <c r="G3868" t="s">
        <v>13197</v>
      </c>
    </row>
    <row r="3869" spans="1:7" x14ac:dyDescent="0.3">
      <c r="A3869" s="42" t="s">
        <v>4036</v>
      </c>
      <c r="B3869" s="42" t="s">
        <v>4045</v>
      </c>
      <c r="C3869" s="42" t="s">
        <v>9607</v>
      </c>
      <c r="D3869" s="43" t="s">
        <v>136</v>
      </c>
      <c r="E3869" s="43" t="s">
        <v>92</v>
      </c>
      <c r="F3869" s="42" t="s">
        <v>11469</v>
      </c>
      <c r="G3869" t="s">
        <v>13197</v>
      </c>
    </row>
    <row r="3870" spans="1:7" x14ac:dyDescent="0.3">
      <c r="A3870" s="42" t="s">
        <v>4036</v>
      </c>
      <c r="B3870" s="42" t="s">
        <v>4046</v>
      </c>
      <c r="C3870" s="42" t="s">
        <v>9608</v>
      </c>
      <c r="D3870" s="43" t="s">
        <v>136</v>
      </c>
      <c r="E3870" s="43" t="s">
        <v>92</v>
      </c>
      <c r="F3870" s="42" t="s">
        <v>11469</v>
      </c>
      <c r="G3870" t="s">
        <v>13197</v>
      </c>
    </row>
    <row r="3871" spans="1:7" x14ac:dyDescent="0.3">
      <c r="A3871" s="42" t="s">
        <v>4036</v>
      </c>
      <c r="B3871" s="42" t="s">
        <v>4047</v>
      </c>
      <c r="C3871" s="42" t="s">
        <v>9609</v>
      </c>
      <c r="D3871" s="43" t="s">
        <v>136</v>
      </c>
      <c r="E3871" s="43" t="s">
        <v>92</v>
      </c>
      <c r="F3871" s="42" t="s">
        <v>11469</v>
      </c>
      <c r="G3871" t="s">
        <v>13197</v>
      </c>
    </row>
    <row r="3872" spans="1:7" x14ac:dyDescent="0.3">
      <c r="A3872" s="42" t="s">
        <v>4036</v>
      </c>
      <c r="B3872" s="42" t="s">
        <v>4048</v>
      </c>
      <c r="C3872" s="42" t="s">
        <v>9610</v>
      </c>
      <c r="D3872" s="43" t="s">
        <v>136</v>
      </c>
      <c r="E3872" s="43" t="s">
        <v>92</v>
      </c>
      <c r="F3872" s="42" t="s">
        <v>11469</v>
      </c>
      <c r="G3872" t="s">
        <v>13197</v>
      </c>
    </row>
    <row r="3873" spans="1:7" x14ac:dyDescent="0.3">
      <c r="A3873" s="42" t="s">
        <v>4036</v>
      </c>
      <c r="B3873" s="42" t="s">
        <v>4049</v>
      </c>
      <c r="C3873" s="42" t="s">
        <v>9611</v>
      </c>
      <c r="D3873" s="43" t="s">
        <v>136</v>
      </c>
      <c r="E3873" s="43" t="s">
        <v>92</v>
      </c>
      <c r="F3873" s="42" t="s">
        <v>11469</v>
      </c>
      <c r="G3873" t="s">
        <v>13197</v>
      </c>
    </row>
    <row r="3874" spans="1:7" x14ac:dyDescent="0.3">
      <c r="A3874" s="42" t="s">
        <v>4036</v>
      </c>
      <c r="B3874" s="42" t="s">
        <v>4050</v>
      </c>
      <c r="C3874" s="42" t="s">
        <v>9612</v>
      </c>
      <c r="D3874" s="43" t="s">
        <v>136</v>
      </c>
      <c r="E3874" s="43" t="s">
        <v>92</v>
      </c>
      <c r="F3874" s="42" t="s">
        <v>11469</v>
      </c>
      <c r="G3874" t="s">
        <v>13197</v>
      </c>
    </row>
    <row r="3875" spans="1:7" x14ac:dyDescent="0.3">
      <c r="A3875" s="42" t="s">
        <v>4036</v>
      </c>
      <c r="B3875" s="42" t="s">
        <v>4051</v>
      </c>
      <c r="C3875" s="42" t="s">
        <v>9613</v>
      </c>
      <c r="D3875" s="43" t="s">
        <v>136</v>
      </c>
      <c r="E3875" s="43" t="s">
        <v>92</v>
      </c>
      <c r="F3875" s="42" t="s">
        <v>11469</v>
      </c>
      <c r="G3875" t="s">
        <v>13197</v>
      </c>
    </row>
    <row r="3876" spans="1:7" x14ac:dyDescent="0.3">
      <c r="A3876" s="42" t="s">
        <v>4036</v>
      </c>
      <c r="B3876" s="42" t="s">
        <v>4052</v>
      </c>
      <c r="C3876" s="42" t="s">
        <v>9614</v>
      </c>
      <c r="D3876" s="43" t="s">
        <v>136</v>
      </c>
      <c r="E3876" s="43" t="s">
        <v>92</v>
      </c>
      <c r="F3876" s="42" t="s">
        <v>192</v>
      </c>
      <c r="G3876" t="s">
        <v>13196</v>
      </c>
    </row>
    <row r="3877" spans="1:7" x14ac:dyDescent="0.3">
      <c r="A3877" s="42" t="s">
        <v>4036</v>
      </c>
      <c r="B3877" s="42" t="s">
        <v>4053</v>
      </c>
      <c r="C3877" s="42" t="s">
        <v>9615</v>
      </c>
      <c r="D3877" s="43" t="s">
        <v>136</v>
      </c>
      <c r="E3877" s="43" t="s">
        <v>92</v>
      </c>
      <c r="F3877" s="42" t="s">
        <v>11469</v>
      </c>
      <c r="G3877" t="s">
        <v>13197</v>
      </c>
    </row>
    <row r="3878" spans="1:7" x14ac:dyDescent="0.3">
      <c r="A3878" s="42" t="s">
        <v>4036</v>
      </c>
      <c r="B3878" s="42" t="s">
        <v>4054</v>
      </c>
      <c r="C3878" s="42" t="s">
        <v>9616</v>
      </c>
      <c r="D3878" s="43" t="s">
        <v>136</v>
      </c>
      <c r="E3878" s="43" t="s">
        <v>92</v>
      </c>
      <c r="F3878" s="42" t="s">
        <v>11469</v>
      </c>
      <c r="G3878" t="s">
        <v>13197</v>
      </c>
    </row>
    <row r="3879" spans="1:7" x14ac:dyDescent="0.3">
      <c r="A3879" s="42" t="s">
        <v>4036</v>
      </c>
      <c r="B3879" s="42" t="s">
        <v>4055</v>
      </c>
      <c r="C3879" s="42" t="s">
        <v>9617</v>
      </c>
      <c r="D3879" s="43" t="s">
        <v>136</v>
      </c>
      <c r="E3879" s="43" t="s">
        <v>92</v>
      </c>
      <c r="F3879" s="42" t="s">
        <v>11469</v>
      </c>
      <c r="G3879" t="s">
        <v>13197</v>
      </c>
    </row>
    <row r="3880" spans="1:7" x14ac:dyDescent="0.3">
      <c r="A3880" s="42" t="s">
        <v>4036</v>
      </c>
      <c r="B3880" s="42" t="s">
        <v>4056</v>
      </c>
      <c r="C3880" s="42" t="s">
        <v>9618</v>
      </c>
      <c r="D3880" s="43" t="s">
        <v>136</v>
      </c>
      <c r="E3880" s="43" t="s">
        <v>92</v>
      </c>
      <c r="F3880" s="42" t="s">
        <v>11469</v>
      </c>
      <c r="G3880" t="s">
        <v>13197</v>
      </c>
    </row>
    <row r="3881" spans="1:7" x14ac:dyDescent="0.3">
      <c r="A3881" s="42" t="s">
        <v>4036</v>
      </c>
      <c r="B3881" s="42" t="s">
        <v>4057</v>
      </c>
      <c r="C3881" s="42" t="s">
        <v>9619</v>
      </c>
      <c r="D3881" s="43" t="s">
        <v>136</v>
      </c>
      <c r="E3881" s="43" t="s">
        <v>92</v>
      </c>
      <c r="F3881" s="42" t="s">
        <v>11469</v>
      </c>
      <c r="G3881" t="s">
        <v>13197</v>
      </c>
    </row>
    <row r="3882" spans="1:7" x14ac:dyDescent="0.3">
      <c r="A3882" s="42" t="s">
        <v>4058</v>
      </c>
      <c r="B3882" s="42" t="s">
        <v>4059</v>
      </c>
      <c r="C3882" s="42" t="s">
        <v>9620</v>
      </c>
      <c r="D3882" s="43" t="s">
        <v>230</v>
      </c>
      <c r="E3882" s="43" t="s">
        <v>92</v>
      </c>
      <c r="F3882" s="42" t="s">
        <v>11469</v>
      </c>
      <c r="G3882" t="s">
        <v>13197</v>
      </c>
    </row>
    <row r="3883" spans="1:7" x14ac:dyDescent="0.3">
      <c r="A3883" s="42" t="s">
        <v>4058</v>
      </c>
      <c r="B3883" s="42" t="s">
        <v>4060</v>
      </c>
      <c r="C3883" s="42" t="s">
        <v>9621</v>
      </c>
      <c r="D3883" s="43" t="s">
        <v>230</v>
      </c>
      <c r="E3883" s="43" t="s">
        <v>92</v>
      </c>
      <c r="F3883" s="42" t="s">
        <v>11469</v>
      </c>
      <c r="G3883" t="s">
        <v>13197</v>
      </c>
    </row>
    <row r="3884" spans="1:7" x14ac:dyDescent="0.3">
      <c r="A3884" s="42" t="s">
        <v>4058</v>
      </c>
      <c r="B3884" s="42" t="s">
        <v>4061</v>
      </c>
      <c r="C3884" s="42" t="s">
        <v>9622</v>
      </c>
      <c r="D3884" s="43" t="s">
        <v>230</v>
      </c>
      <c r="E3884" s="43" t="s">
        <v>92</v>
      </c>
      <c r="F3884" s="42" t="s">
        <v>11469</v>
      </c>
      <c r="G3884" t="s">
        <v>13197</v>
      </c>
    </row>
    <row r="3885" spans="1:7" x14ac:dyDescent="0.3">
      <c r="A3885" s="42" t="s">
        <v>4058</v>
      </c>
      <c r="B3885" s="42" t="s">
        <v>4062</v>
      </c>
      <c r="C3885" s="42" t="s">
        <v>9623</v>
      </c>
      <c r="D3885" s="43" t="s">
        <v>230</v>
      </c>
      <c r="E3885" s="43" t="s">
        <v>92</v>
      </c>
      <c r="F3885" s="42" t="s">
        <v>11469</v>
      </c>
      <c r="G3885" t="s">
        <v>13197</v>
      </c>
    </row>
    <row r="3886" spans="1:7" x14ac:dyDescent="0.3">
      <c r="A3886" s="42" t="s">
        <v>4058</v>
      </c>
      <c r="B3886" s="42" t="s">
        <v>4063</v>
      </c>
      <c r="C3886" s="42" t="s">
        <v>9624</v>
      </c>
      <c r="D3886" s="43" t="s">
        <v>230</v>
      </c>
      <c r="E3886" s="43" t="s">
        <v>92</v>
      </c>
      <c r="F3886" s="42" t="s">
        <v>11469</v>
      </c>
      <c r="G3886" t="s">
        <v>13197</v>
      </c>
    </row>
    <row r="3887" spans="1:7" x14ac:dyDescent="0.3">
      <c r="A3887" s="42" t="s">
        <v>4058</v>
      </c>
      <c r="B3887" s="42" t="s">
        <v>4064</v>
      </c>
      <c r="C3887" s="42" t="s">
        <v>9625</v>
      </c>
      <c r="D3887" s="43" t="s">
        <v>230</v>
      </c>
      <c r="E3887" s="43" t="s">
        <v>92</v>
      </c>
      <c r="F3887" s="42" t="s">
        <v>11469</v>
      </c>
      <c r="G3887" t="s">
        <v>13197</v>
      </c>
    </row>
    <row r="3888" spans="1:7" x14ac:dyDescent="0.3">
      <c r="A3888" s="42" t="s">
        <v>4058</v>
      </c>
      <c r="B3888" s="42" t="s">
        <v>4065</v>
      </c>
      <c r="C3888" s="42" t="s">
        <v>9626</v>
      </c>
      <c r="D3888" s="43" t="s">
        <v>230</v>
      </c>
      <c r="E3888" s="43" t="s">
        <v>92</v>
      </c>
      <c r="F3888" s="42" t="s">
        <v>137</v>
      </c>
      <c r="G3888" t="s">
        <v>13197</v>
      </c>
    </row>
    <row r="3889" spans="1:7" x14ac:dyDescent="0.3">
      <c r="A3889" s="42" t="s">
        <v>4058</v>
      </c>
      <c r="B3889" s="42" t="s">
        <v>4066</v>
      </c>
      <c r="C3889" s="42" t="s">
        <v>9627</v>
      </c>
      <c r="D3889" s="43" t="s">
        <v>230</v>
      </c>
      <c r="E3889" s="43" t="s">
        <v>92</v>
      </c>
      <c r="F3889" s="42" t="s">
        <v>11469</v>
      </c>
      <c r="G3889" t="s">
        <v>13197</v>
      </c>
    </row>
    <row r="3890" spans="1:7" x14ac:dyDescent="0.3">
      <c r="A3890" s="42" t="s">
        <v>4058</v>
      </c>
      <c r="B3890" s="42" t="s">
        <v>4067</v>
      </c>
      <c r="C3890" s="42" t="s">
        <v>9628</v>
      </c>
      <c r="D3890" s="43" t="s">
        <v>230</v>
      </c>
      <c r="E3890" s="43" t="s">
        <v>92</v>
      </c>
      <c r="F3890" s="42" t="s">
        <v>11469</v>
      </c>
      <c r="G3890" t="s">
        <v>13197</v>
      </c>
    </row>
    <row r="3891" spans="1:7" x14ac:dyDescent="0.3">
      <c r="A3891" s="42" t="s">
        <v>4058</v>
      </c>
      <c r="B3891" s="42" t="s">
        <v>4068</v>
      </c>
      <c r="C3891" s="42" t="s">
        <v>9629</v>
      </c>
      <c r="D3891" s="43" t="s">
        <v>230</v>
      </c>
      <c r="E3891" s="43" t="s">
        <v>92</v>
      </c>
      <c r="F3891" s="42" t="s">
        <v>11469</v>
      </c>
      <c r="G3891" t="s">
        <v>13197</v>
      </c>
    </row>
    <row r="3892" spans="1:7" x14ac:dyDescent="0.3">
      <c r="A3892" s="42" t="s">
        <v>4058</v>
      </c>
      <c r="B3892" s="42" t="s">
        <v>4069</v>
      </c>
      <c r="C3892" s="42" t="s">
        <v>9630</v>
      </c>
      <c r="D3892" s="43" t="s">
        <v>230</v>
      </c>
      <c r="E3892" s="43" t="s">
        <v>92</v>
      </c>
      <c r="F3892" s="42" t="s">
        <v>11469</v>
      </c>
      <c r="G3892" t="s">
        <v>13197</v>
      </c>
    </row>
    <row r="3893" spans="1:7" x14ac:dyDescent="0.3">
      <c r="A3893" s="42" t="s">
        <v>4058</v>
      </c>
      <c r="B3893" s="42" t="s">
        <v>4070</v>
      </c>
      <c r="C3893" s="42" t="s">
        <v>9631</v>
      </c>
      <c r="D3893" s="43" t="s">
        <v>230</v>
      </c>
      <c r="E3893" s="43" t="s">
        <v>92</v>
      </c>
      <c r="F3893" s="42" t="s">
        <v>137</v>
      </c>
      <c r="G3893" t="s">
        <v>13197</v>
      </c>
    </row>
    <row r="3894" spans="1:7" x14ac:dyDescent="0.3">
      <c r="A3894" s="42" t="s">
        <v>4058</v>
      </c>
      <c r="B3894" s="42" t="s">
        <v>4071</v>
      </c>
      <c r="C3894" s="42" t="s">
        <v>9632</v>
      </c>
      <c r="D3894" s="43" t="s">
        <v>230</v>
      </c>
      <c r="E3894" s="43" t="s">
        <v>92</v>
      </c>
      <c r="F3894" s="42" t="s">
        <v>11469</v>
      </c>
      <c r="G3894" t="s">
        <v>13197</v>
      </c>
    </row>
    <row r="3895" spans="1:7" x14ac:dyDescent="0.3">
      <c r="A3895" s="42" t="s">
        <v>4058</v>
      </c>
      <c r="B3895" s="42" t="s">
        <v>4072</v>
      </c>
      <c r="C3895" s="42" t="s">
        <v>9633</v>
      </c>
      <c r="D3895" s="43" t="s">
        <v>230</v>
      </c>
      <c r="E3895" s="43" t="s">
        <v>92</v>
      </c>
      <c r="F3895" s="42" t="s">
        <v>11469</v>
      </c>
      <c r="G3895" t="s">
        <v>13197</v>
      </c>
    </row>
    <row r="3896" spans="1:7" x14ac:dyDescent="0.3">
      <c r="A3896" s="42" t="s">
        <v>4058</v>
      </c>
      <c r="B3896" s="42" t="s">
        <v>4073</v>
      </c>
      <c r="C3896" s="42" t="s">
        <v>9634</v>
      </c>
      <c r="D3896" s="43" t="s">
        <v>230</v>
      </c>
      <c r="E3896" s="43" t="s">
        <v>92</v>
      </c>
      <c r="F3896" s="42" t="s">
        <v>11469</v>
      </c>
      <c r="G3896" t="s">
        <v>13197</v>
      </c>
    </row>
    <row r="3897" spans="1:7" x14ac:dyDescent="0.3">
      <c r="A3897" s="42" t="s">
        <v>4058</v>
      </c>
      <c r="B3897" s="42" t="s">
        <v>4074</v>
      </c>
      <c r="C3897" s="42" t="s">
        <v>9635</v>
      </c>
      <c r="D3897" s="43" t="s">
        <v>230</v>
      </c>
      <c r="E3897" s="43" t="s">
        <v>92</v>
      </c>
      <c r="F3897" s="42" t="s">
        <v>11469</v>
      </c>
      <c r="G3897" t="s">
        <v>13197</v>
      </c>
    </row>
    <row r="3898" spans="1:7" x14ac:dyDescent="0.3">
      <c r="A3898" s="42" t="s">
        <v>4058</v>
      </c>
      <c r="B3898" s="42" t="s">
        <v>4075</v>
      </c>
      <c r="C3898" s="42" t="s">
        <v>9636</v>
      </c>
      <c r="D3898" s="43" t="s">
        <v>230</v>
      </c>
      <c r="E3898" s="43" t="s">
        <v>92</v>
      </c>
      <c r="F3898" s="42" t="s">
        <v>11469</v>
      </c>
      <c r="G3898" t="s">
        <v>13197</v>
      </c>
    </row>
    <row r="3899" spans="1:7" x14ac:dyDescent="0.3">
      <c r="A3899" s="42" t="s">
        <v>4058</v>
      </c>
      <c r="B3899" s="42" t="s">
        <v>4076</v>
      </c>
      <c r="C3899" s="42" t="s">
        <v>9637</v>
      </c>
      <c r="D3899" s="43" t="s">
        <v>230</v>
      </c>
      <c r="E3899" s="43" t="s">
        <v>92</v>
      </c>
      <c r="F3899" s="42" t="s">
        <v>11469</v>
      </c>
      <c r="G3899" t="s">
        <v>13197</v>
      </c>
    </row>
    <row r="3900" spans="1:7" x14ac:dyDescent="0.3">
      <c r="A3900" s="42" t="s">
        <v>4058</v>
      </c>
      <c r="B3900" s="42" t="s">
        <v>4077</v>
      </c>
      <c r="C3900" s="42" t="s">
        <v>9638</v>
      </c>
      <c r="D3900" s="43" t="s">
        <v>230</v>
      </c>
      <c r="E3900" s="43" t="s">
        <v>92</v>
      </c>
      <c r="F3900" s="42" t="s">
        <v>11469</v>
      </c>
      <c r="G3900" t="s">
        <v>13197</v>
      </c>
    </row>
    <row r="3901" spans="1:7" x14ac:dyDescent="0.3">
      <c r="A3901" s="42" t="s">
        <v>4058</v>
      </c>
      <c r="B3901" s="42" t="s">
        <v>4078</v>
      </c>
      <c r="C3901" s="42" t="s">
        <v>9639</v>
      </c>
      <c r="D3901" s="43" t="s">
        <v>230</v>
      </c>
      <c r="E3901" s="43" t="s">
        <v>92</v>
      </c>
      <c r="F3901" s="42" t="s">
        <v>11469</v>
      </c>
      <c r="G3901" t="s">
        <v>13197</v>
      </c>
    </row>
    <row r="3902" spans="1:7" x14ac:dyDescent="0.3">
      <c r="A3902" s="42" t="s">
        <v>4058</v>
      </c>
      <c r="B3902" s="42" t="s">
        <v>4079</v>
      </c>
      <c r="C3902" s="42" t="s">
        <v>9640</v>
      </c>
      <c r="D3902" s="43" t="s">
        <v>230</v>
      </c>
      <c r="E3902" s="43" t="s">
        <v>92</v>
      </c>
      <c r="F3902" s="42" t="s">
        <v>11469</v>
      </c>
      <c r="G3902" t="s">
        <v>13197</v>
      </c>
    </row>
    <row r="3903" spans="1:7" x14ac:dyDescent="0.3">
      <c r="A3903" s="42" t="s">
        <v>4058</v>
      </c>
      <c r="B3903" s="42" t="s">
        <v>4080</v>
      </c>
      <c r="C3903" s="42" t="s">
        <v>9641</v>
      </c>
      <c r="D3903" s="43" t="s">
        <v>230</v>
      </c>
      <c r="E3903" s="43" t="s">
        <v>92</v>
      </c>
      <c r="F3903" s="42" t="s">
        <v>11469</v>
      </c>
      <c r="G3903" t="s">
        <v>13197</v>
      </c>
    </row>
    <row r="3904" spans="1:7" x14ac:dyDescent="0.3">
      <c r="A3904" s="42" t="s">
        <v>4058</v>
      </c>
      <c r="B3904" s="42" t="s">
        <v>4083</v>
      </c>
      <c r="C3904" s="42" t="s">
        <v>9644</v>
      </c>
      <c r="D3904" s="43" t="s">
        <v>230</v>
      </c>
      <c r="E3904" s="43" t="s">
        <v>92</v>
      </c>
      <c r="F3904" s="42" t="s">
        <v>137</v>
      </c>
      <c r="G3904" t="s">
        <v>13199</v>
      </c>
    </row>
    <row r="3905" spans="1:7" x14ac:dyDescent="0.3">
      <c r="A3905" s="42" t="s">
        <v>4058</v>
      </c>
      <c r="B3905" s="42" t="s">
        <v>4081</v>
      </c>
      <c r="C3905" s="42" t="s">
        <v>9642</v>
      </c>
      <c r="D3905" s="43" t="s">
        <v>230</v>
      </c>
      <c r="E3905" s="43" t="s">
        <v>92</v>
      </c>
      <c r="F3905" s="42" t="s">
        <v>192</v>
      </c>
      <c r="G3905" t="s">
        <v>13196</v>
      </c>
    </row>
    <row r="3906" spans="1:7" x14ac:dyDescent="0.3">
      <c r="A3906" s="42" t="s">
        <v>4058</v>
      </c>
      <c r="B3906" s="42" t="s">
        <v>4082</v>
      </c>
      <c r="C3906" s="42" t="s">
        <v>9643</v>
      </c>
      <c r="D3906" s="43" t="s">
        <v>230</v>
      </c>
      <c r="E3906" s="43" t="s">
        <v>92</v>
      </c>
      <c r="F3906" s="42" t="s">
        <v>11469</v>
      </c>
      <c r="G3906" t="s">
        <v>13197</v>
      </c>
    </row>
    <row r="3907" spans="1:7" x14ac:dyDescent="0.3">
      <c r="A3907" s="42" t="s">
        <v>4058</v>
      </c>
      <c r="B3907" s="42" t="s">
        <v>4083</v>
      </c>
      <c r="C3907" s="42" t="s">
        <v>9644</v>
      </c>
      <c r="D3907" s="43" t="s">
        <v>230</v>
      </c>
      <c r="E3907" s="43" t="s">
        <v>92</v>
      </c>
      <c r="F3907" s="42" t="s">
        <v>137</v>
      </c>
      <c r="G3907" t="s">
        <v>13199</v>
      </c>
    </row>
    <row r="3908" spans="1:7" x14ac:dyDescent="0.3">
      <c r="A3908" s="42" t="s">
        <v>4058</v>
      </c>
      <c r="B3908" s="42" t="s">
        <v>4084</v>
      </c>
      <c r="C3908" s="42" t="s">
        <v>9645</v>
      </c>
      <c r="D3908" s="43" t="s">
        <v>230</v>
      </c>
      <c r="E3908" s="43" t="s">
        <v>92</v>
      </c>
      <c r="F3908" s="42" t="s">
        <v>11469</v>
      </c>
      <c r="G3908" t="s">
        <v>13197</v>
      </c>
    </row>
    <row r="3909" spans="1:7" x14ac:dyDescent="0.3">
      <c r="A3909" s="42" t="s">
        <v>4058</v>
      </c>
      <c r="B3909" s="42" t="s">
        <v>4085</v>
      </c>
      <c r="C3909" s="42" t="s">
        <v>9646</v>
      </c>
      <c r="D3909" s="43" t="s">
        <v>230</v>
      </c>
      <c r="E3909" s="43" t="s">
        <v>92</v>
      </c>
      <c r="F3909" s="42" t="s">
        <v>11469</v>
      </c>
      <c r="G3909" t="s">
        <v>13197</v>
      </c>
    </row>
    <row r="3910" spans="1:7" x14ac:dyDescent="0.3">
      <c r="A3910" s="42" t="s">
        <v>4058</v>
      </c>
      <c r="B3910" s="42" t="s">
        <v>4086</v>
      </c>
      <c r="C3910" s="42" t="s">
        <v>9647</v>
      </c>
      <c r="D3910" s="43" t="s">
        <v>230</v>
      </c>
      <c r="E3910" s="43" t="s">
        <v>92</v>
      </c>
      <c r="F3910" s="42" t="s">
        <v>11469</v>
      </c>
      <c r="G3910" t="s">
        <v>13197</v>
      </c>
    </row>
    <row r="3911" spans="1:7" x14ac:dyDescent="0.3">
      <c r="A3911" s="42" t="s">
        <v>4058</v>
      </c>
      <c r="B3911" s="42" t="s">
        <v>4087</v>
      </c>
      <c r="C3911" s="42" t="s">
        <v>9648</v>
      </c>
      <c r="D3911" s="43" t="s">
        <v>230</v>
      </c>
      <c r="E3911" s="43" t="s">
        <v>92</v>
      </c>
      <c r="F3911" s="42" t="s">
        <v>137</v>
      </c>
      <c r="G3911" t="s">
        <v>13197</v>
      </c>
    </row>
    <row r="3912" spans="1:7" x14ac:dyDescent="0.3">
      <c r="A3912" s="42" t="s">
        <v>4058</v>
      </c>
      <c r="B3912" s="42" t="s">
        <v>4088</v>
      </c>
      <c r="C3912" s="42" t="s">
        <v>9649</v>
      </c>
      <c r="D3912" s="43" t="s">
        <v>230</v>
      </c>
      <c r="E3912" s="43" t="s">
        <v>92</v>
      </c>
      <c r="F3912" s="42" t="s">
        <v>137</v>
      </c>
      <c r="G3912" t="s">
        <v>13197</v>
      </c>
    </row>
    <row r="3913" spans="1:7" x14ac:dyDescent="0.3">
      <c r="A3913" s="42" t="s">
        <v>4058</v>
      </c>
      <c r="B3913" s="42" t="s">
        <v>4089</v>
      </c>
      <c r="C3913" s="42" t="s">
        <v>9650</v>
      </c>
      <c r="D3913" s="43" t="s">
        <v>230</v>
      </c>
      <c r="E3913" s="43" t="s">
        <v>92</v>
      </c>
      <c r="F3913" s="42" t="s">
        <v>11469</v>
      </c>
      <c r="G3913" t="s">
        <v>13197</v>
      </c>
    </row>
    <row r="3914" spans="1:7" x14ac:dyDescent="0.3">
      <c r="A3914" s="42" t="s">
        <v>4058</v>
      </c>
      <c r="B3914" s="42" t="s">
        <v>4090</v>
      </c>
      <c r="C3914" s="42" t="s">
        <v>9651</v>
      </c>
      <c r="D3914" s="43" t="s">
        <v>230</v>
      </c>
      <c r="E3914" s="43" t="s">
        <v>92</v>
      </c>
      <c r="F3914" s="42" t="s">
        <v>192</v>
      </c>
      <c r="G3914" t="s">
        <v>13196</v>
      </c>
    </row>
    <row r="3915" spans="1:7" x14ac:dyDescent="0.3">
      <c r="A3915" s="42" t="s">
        <v>4058</v>
      </c>
      <c r="B3915" s="42" t="s">
        <v>4091</v>
      </c>
      <c r="C3915" s="42" t="s">
        <v>9652</v>
      </c>
      <c r="D3915" s="43" t="s">
        <v>230</v>
      </c>
      <c r="E3915" s="43" t="s">
        <v>92</v>
      </c>
      <c r="F3915" s="42" t="s">
        <v>11469</v>
      </c>
      <c r="G3915" t="s">
        <v>13197</v>
      </c>
    </row>
    <row r="3916" spans="1:7" x14ac:dyDescent="0.3">
      <c r="A3916" s="42" t="s">
        <v>4058</v>
      </c>
      <c r="B3916" s="42" t="s">
        <v>4092</v>
      </c>
      <c r="C3916" s="42" t="s">
        <v>9653</v>
      </c>
      <c r="D3916" s="43" t="s">
        <v>230</v>
      </c>
      <c r="E3916" s="43" t="s">
        <v>92</v>
      </c>
      <c r="F3916" s="42" t="s">
        <v>11469</v>
      </c>
      <c r="G3916" t="s">
        <v>13197</v>
      </c>
    </row>
    <row r="3917" spans="1:7" x14ac:dyDescent="0.3">
      <c r="A3917" s="42" t="s">
        <v>4058</v>
      </c>
      <c r="B3917" s="42" t="s">
        <v>4093</v>
      </c>
      <c r="C3917" s="42" t="s">
        <v>9654</v>
      </c>
      <c r="D3917" s="43" t="s">
        <v>230</v>
      </c>
      <c r="E3917" s="43" t="s">
        <v>92</v>
      </c>
      <c r="F3917" s="42" t="s">
        <v>192</v>
      </c>
      <c r="G3917" t="s">
        <v>13196</v>
      </c>
    </row>
    <row r="3918" spans="1:7" x14ac:dyDescent="0.3">
      <c r="A3918" s="42" t="s">
        <v>4058</v>
      </c>
      <c r="B3918" s="42" t="s">
        <v>350</v>
      </c>
      <c r="C3918" s="42" t="s">
        <v>9655</v>
      </c>
      <c r="D3918" s="43" t="s">
        <v>230</v>
      </c>
      <c r="E3918" s="43" t="s">
        <v>92</v>
      </c>
      <c r="F3918" s="42" t="s">
        <v>11469</v>
      </c>
      <c r="G3918" t="s">
        <v>13197</v>
      </c>
    </row>
    <row r="3919" spans="1:7" x14ac:dyDescent="0.3">
      <c r="A3919" s="42" t="s">
        <v>4058</v>
      </c>
      <c r="B3919" s="42" t="s">
        <v>4094</v>
      </c>
      <c r="C3919" s="42" t="s">
        <v>9656</v>
      </c>
      <c r="D3919" s="43" t="s">
        <v>230</v>
      </c>
      <c r="E3919" s="43" t="s">
        <v>92</v>
      </c>
      <c r="F3919" s="42" t="s">
        <v>11469</v>
      </c>
      <c r="G3919" t="s">
        <v>13197</v>
      </c>
    </row>
    <row r="3920" spans="1:7" x14ac:dyDescent="0.3">
      <c r="A3920" s="42" t="s">
        <v>4058</v>
      </c>
      <c r="B3920" s="42" t="s">
        <v>4095</v>
      </c>
      <c r="C3920" s="42" t="s">
        <v>9657</v>
      </c>
      <c r="D3920" s="43" t="s">
        <v>230</v>
      </c>
      <c r="E3920" s="43" t="s">
        <v>92</v>
      </c>
      <c r="F3920" s="42" t="s">
        <v>11469</v>
      </c>
      <c r="G3920" t="s">
        <v>13197</v>
      </c>
    </row>
    <row r="3921" spans="1:7" x14ac:dyDescent="0.3">
      <c r="A3921" s="42" t="s">
        <v>4058</v>
      </c>
      <c r="B3921" s="42" t="s">
        <v>4096</v>
      </c>
      <c r="C3921" s="42" t="s">
        <v>9658</v>
      </c>
      <c r="D3921" s="43" t="s">
        <v>230</v>
      </c>
      <c r="E3921" s="43" t="s">
        <v>92</v>
      </c>
      <c r="F3921" s="42" t="s">
        <v>137</v>
      </c>
      <c r="G3921" t="s">
        <v>13197</v>
      </c>
    </row>
    <row r="3922" spans="1:7" x14ac:dyDescent="0.3">
      <c r="A3922" s="42" t="s">
        <v>4058</v>
      </c>
      <c r="B3922" s="42" t="s">
        <v>4097</v>
      </c>
      <c r="C3922" s="42" t="s">
        <v>9659</v>
      </c>
      <c r="D3922" s="43" t="s">
        <v>230</v>
      </c>
      <c r="E3922" s="43" t="s">
        <v>92</v>
      </c>
      <c r="F3922" s="42" t="s">
        <v>192</v>
      </c>
      <c r="G3922" t="s">
        <v>13196</v>
      </c>
    </row>
    <row r="3923" spans="1:7" x14ac:dyDescent="0.3">
      <c r="A3923" s="42" t="s">
        <v>4058</v>
      </c>
      <c r="B3923" s="42" t="s">
        <v>4098</v>
      </c>
      <c r="C3923" s="42" t="s">
        <v>9660</v>
      </c>
      <c r="D3923" s="43" t="s">
        <v>230</v>
      </c>
      <c r="E3923" s="43" t="s">
        <v>92</v>
      </c>
      <c r="F3923" s="42" t="s">
        <v>11469</v>
      </c>
      <c r="G3923" t="s">
        <v>13197</v>
      </c>
    </row>
    <row r="3924" spans="1:7" x14ac:dyDescent="0.3">
      <c r="A3924" s="42" t="s">
        <v>4058</v>
      </c>
      <c r="B3924" s="42" t="s">
        <v>4099</v>
      </c>
      <c r="C3924" s="42" t="s">
        <v>9661</v>
      </c>
      <c r="D3924" s="43" t="s">
        <v>230</v>
      </c>
      <c r="E3924" s="43" t="s">
        <v>92</v>
      </c>
      <c r="F3924" s="42" t="s">
        <v>11469</v>
      </c>
      <c r="G3924" t="s">
        <v>13197</v>
      </c>
    </row>
    <row r="3925" spans="1:7" x14ac:dyDescent="0.3">
      <c r="A3925" s="42" t="s">
        <v>4058</v>
      </c>
      <c r="B3925" s="42" t="s">
        <v>4100</v>
      </c>
      <c r="C3925" s="42" t="s">
        <v>9662</v>
      </c>
      <c r="D3925" s="43" t="s">
        <v>230</v>
      </c>
      <c r="E3925" s="43" t="s">
        <v>92</v>
      </c>
      <c r="F3925" s="42" t="s">
        <v>192</v>
      </c>
      <c r="G3925" t="s">
        <v>13196</v>
      </c>
    </row>
    <row r="3926" spans="1:7" x14ac:dyDescent="0.3">
      <c r="A3926" s="42" t="s">
        <v>4058</v>
      </c>
      <c r="B3926" s="42" t="s">
        <v>4101</v>
      </c>
      <c r="C3926" s="42" t="s">
        <v>9663</v>
      </c>
      <c r="D3926" s="43" t="s">
        <v>230</v>
      </c>
      <c r="E3926" s="43" t="s">
        <v>92</v>
      </c>
      <c r="F3926" s="42" t="s">
        <v>11469</v>
      </c>
      <c r="G3926" t="s">
        <v>13197</v>
      </c>
    </row>
    <row r="3927" spans="1:7" x14ac:dyDescent="0.3">
      <c r="A3927" s="42" t="s">
        <v>4058</v>
      </c>
      <c r="B3927" s="42" t="s">
        <v>4102</v>
      </c>
      <c r="C3927" s="42" t="s">
        <v>9664</v>
      </c>
      <c r="D3927" s="43" t="s">
        <v>230</v>
      </c>
      <c r="E3927" s="43" t="s">
        <v>92</v>
      </c>
      <c r="F3927" s="42" t="s">
        <v>11469</v>
      </c>
      <c r="G3927" t="s">
        <v>13197</v>
      </c>
    </row>
    <row r="3928" spans="1:7" x14ac:dyDescent="0.3">
      <c r="A3928" s="42" t="s">
        <v>4058</v>
      </c>
      <c r="B3928" s="42" t="s">
        <v>4103</v>
      </c>
      <c r="C3928" s="42" t="s">
        <v>9665</v>
      </c>
      <c r="D3928" s="43" t="s">
        <v>230</v>
      </c>
      <c r="E3928" s="43" t="s">
        <v>92</v>
      </c>
      <c r="F3928" s="42" t="s">
        <v>11469</v>
      </c>
      <c r="G3928" t="s">
        <v>13197</v>
      </c>
    </row>
    <row r="3929" spans="1:7" x14ac:dyDescent="0.3">
      <c r="A3929" s="42" t="s">
        <v>4058</v>
      </c>
      <c r="B3929" s="42" t="s">
        <v>4104</v>
      </c>
      <c r="C3929" s="42" t="s">
        <v>9666</v>
      </c>
      <c r="D3929" s="43" t="s">
        <v>230</v>
      </c>
      <c r="E3929" s="43" t="s">
        <v>92</v>
      </c>
      <c r="F3929" s="42" t="s">
        <v>137</v>
      </c>
      <c r="G3929" t="s">
        <v>13197</v>
      </c>
    </row>
    <row r="3930" spans="1:7" x14ac:dyDescent="0.3">
      <c r="A3930" s="42" t="s">
        <v>4058</v>
      </c>
      <c r="B3930" s="42" t="s">
        <v>4105</v>
      </c>
      <c r="C3930" s="42" t="s">
        <v>9667</v>
      </c>
      <c r="D3930" s="43" t="s">
        <v>230</v>
      </c>
      <c r="E3930" s="43" t="s">
        <v>92</v>
      </c>
      <c r="F3930" s="42" t="s">
        <v>11469</v>
      </c>
      <c r="G3930" t="s">
        <v>13197</v>
      </c>
    </row>
    <row r="3931" spans="1:7" x14ac:dyDescent="0.3">
      <c r="A3931" s="42" t="s">
        <v>4058</v>
      </c>
      <c r="B3931" s="42" t="s">
        <v>4106</v>
      </c>
      <c r="C3931" s="42" t="s">
        <v>9668</v>
      </c>
      <c r="D3931" s="43" t="s">
        <v>230</v>
      </c>
      <c r="E3931" s="43" t="s">
        <v>92</v>
      </c>
      <c r="F3931" s="42" t="s">
        <v>11469</v>
      </c>
      <c r="G3931" t="s">
        <v>13197</v>
      </c>
    </row>
    <row r="3932" spans="1:7" x14ac:dyDescent="0.3">
      <c r="A3932" s="42" t="s">
        <v>4058</v>
      </c>
      <c r="B3932" s="42" t="s">
        <v>4107</v>
      </c>
      <c r="C3932" s="42" t="s">
        <v>9669</v>
      </c>
      <c r="D3932" s="43" t="s">
        <v>230</v>
      </c>
      <c r="E3932" s="43" t="s">
        <v>92</v>
      </c>
      <c r="F3932" s="42" t="s">
        <v>11469</v>
      </c>
      <c r="G3932" t="s">
        <v>13197</v>
      </c>
    </row>
    <row r="3933" spans="1:7" x14ac:dyDescent="0.3">
      <c r="A3933" s="42" t="s">
        <v>4058</v>
      </c>
      <c r="B3933" s="42" t="s">
        <v>4108</v>
      </c>
      <c r="C3933" s="42" t="s">
        <v>9670</v>
      </c>
      <c r="D3933" s="43" t="s">
        <v>230</v>
      </c>
      <c r="E3933" s="43" t="s">
        <v>92</v>
      </c>
      <c r="F3933" s="42" t="s">
        <v>11469</v>
      </c>
      <c r="G3933" t="s">
        <v>13197</v>
      </c>
    </row>
    <row r="3934" spans="1:7" x14ac:dyDescent="0.3">
      <c r="A3934" s="42" t="s">
        <v>4058</v>
      </c>
      <c r="B3934" s="42" t="s">
        <v>4109</v>
      </c>
      <c r="C3934" s="42" t="s">
        <v>9671</v>
      </c>
      <c r="D3934" s="43" t="s">
        <v>230</v>
      </c>
      <c r="E3934" s="43" t="s">
        <v>92</v>
      </c>
      <c r="F3934" s="42" t="s">
        <v>11469</v>
      </c>
      <c r="G3934" t="s">
        <v>13197</v>
      </c>
    </row>
    <row r="3935" spans="1:7" x14ac:dyDescent="0.3">
      <c r="A3935" s="42" t="s">
        <v>4058</v>
      </c>
      <c r="B3935" s="42" t="s">
        <v>4110</v>
      </c>
      <c r="C3935" s="42" t="s">
        <v>9672</v>
      </c>
      <c r="D3935" s="43" t="s">
        <v>230</v>
      </c>
      <c r="E3935" s="43" t="s">
        <v>92</v>
      </c>
      <c r="F3935" s="42" t="s">
        <v>192</v>
      </c>
      <c r="G3935" t="s">
        <v>13196</v>
      </c>
    </row>
    <row r="3936" spans="1:7" x14ac:dyDescent="0.3">
      <c r="A3936" s="42" t="s">
        <v>4058</v>
      </c>
      <c r="B3936" s="42" t="s">
        <v>4111</v>
      </c>
      <c r="C3936" s="42" t="s">
        <v>9673</v>
      </c>
      <c r="D3936" s="43" t="s">
        <v>230</v>
      </c>
      <c r="E3936" s="43" t="s">
        <v>92</v>
      </c>
      <c r="F3936" s="42" t="s">
        <v>11469</v>
      </c>
      <c r="G3936" t="s">
        <v>13197</v>
      </c>
    </row>
    <row r="3937" spans="1:7" x14ac:dyDescent="0.3">
      <c r="A3937" s="42" t="s">
        <v>4058</v>
      </c>
      <c r="B3937" s="42" t="s">
        <v>4112</v>
      </c>
      <c r="C3937" s="42" t="s">
        <v>9674</v>
      </c>
      <c r="D3937" s="43" t="s">
        <v>230</v>
      </c>
      <c r="E3937" s="43" t="s">
        <v>92</v>
      </c>
      <c r="F3937" s="42" t="s">
        <v>11469</v>
      </c>
      <c r="G3937" t="s">
        <v>13197</v>
      </c>
    </row>
    <row r="3938" spans="1:7" x14ac:dyDescent="0.3">
      <c r="A3938" s="42" t="s">
        <v>4058</v>
      </c>
      <c r="B3938" s="42" t="s">
        <v>4113</v>
      </c>
      <c r="C3938" s="42" t="s">
        <v>9675</v>
      </c>
      <c r="D3938" s="43" t="s">
        <v>230</v>
      </c>
      <c r="E3938" s="43" t="s">
        <v>92</v>
      </c>
      <c r="F3938" s="42" t="s">
        <v>11469</v>
      </c>
      <c r="G3938" t="s">
        <v>13197</v>
      </c>
    </row>
    <row r="3939" spans="1:7" x14ac:dyDescent="0.3">
      <c r="A3939" s="42" t="s">
        <v>4058</v>
      </c>
      <c r="B3939" s="42" t="s">
        <v>4114</v>
      </c>
      <c r="C3939" s="42" t="s">
        <v>9676</v>
      </c>
      <c r="D3939" s="43" t="s">
        <v>230</v>
      </c>
      <c r="E3939" s="43" t="s">
        <v>92</v>
      </c>
      <c r="F3939" s="42" t="s">
        <v>11469</v>
      </c>
      <c r="G3939" t="s">
        <v>13197</v>
      </c>
    </row>
    <row r="3940" spans="1:7" x14ac:dyDescent="0.3">
      <c r="A3940" s="42" t="s">
        <v>4058</v>
      </c>
      <c r="B3940" s="42" t="s">
        <v>4115</v>
      </c>
      <c r="C3940" s="42" t="s">
        <v>9677</v>
      </c>
      <c r="D3940" s="43" t="s">
        <v>230</v>
      </c>
      <c r="E3940" s="43" t="s">
        <v>92</v>
      </c>
      <c r="F3940" s="42" t="s">
        <v>11469</v>
      </c>
      <c r="G3940" t="s">
        <v>13197</v>
      </c>
    </row>
    <row r="3941" spans="1:7" x14ac:dyDescent="0.3">
      <c r="A3941" s="42" t="s">
        <v>4058</v>
      </c>
      <c r="B3941" s="42" t="s">
        <v>4116</v>
      </c>
      <c r="C3941" s="42" t="s">
        <v>9678</v>
      </c>
      <c r="D3941" s="43" t="s">
        <v>230</v>
      </c>
      <c r="E3941" s="43" t="s">
        <v>92</v>
      </c>
      <c r="F3941" s="42" t="s">
        <v>11469</v>
      </c>
      <c r="G3941" t="s">
        <v>13197</v>
      </c>
    </row>
    <row r="3942" spans="1:7" x14ac:dyDescent="0.3">
      <c r="A3942" s="42" t="s">
        <v>4058</v>
      </c>
      <c r="B3942" s="42" t="s">
        <v>4117</v>
      </c>
      <c r="C3942" s="42" t="s">
        <v>9679</v>
      </c>
      <c r="D3942" s="43" t="s">
        <v>230</v>
      </c>
      <c r="E3942" s="43" t="s">
        <v>92</v>
      </c>
      <c r="F3942" s="42" t="s">
        <v>11469</v>
      </c>
      <c r="G3942" t="s">
        <v>13197</v>
      </c>
    </row>
    <row r="3943" spans="1:7" x14ac:dyDescent="0.3">
      <c r="A3943" s="42" t="s">
        <v>4058</v>
      </c>
      <c r="B3943" s="42" t="s">
        <v>4118</v>
      </c>
      <c r="C3943" s="42" t="s">
        <v>9680</v>
      </c>
      <c r="D3943" s="43" t="s">
        <v>230</v>
      </c>
      <c r="E3943" s="43" t="s">
        <v>92</v>
      </c>
      <c r="F3943" s="42" t="s">
        <v>11469</v>
      </c>
      <c r="G3943" t="s">
        <v>13197</v>
      </c>
    </row>
    <row r="3944" spans="1:7" x14ac:dyDescent="0.3">
      <c r="A3944" s="42" t="s">
        <v>4058</v>
      </c>
      <c r="B3944" s="42" t="s">
        <v>4119</v>
      </c>
      <c r="C3944" s="42" t="s">
        <v>9681</v>
      </c>
      <c r="D3944" s="43" t="s">
        <v>230</v>
      </c>
      <c r="E3944" s="43" t="s">
        <v>92</v>
      </c>
      <c r="F3944" s="42" t="s">
        <v>11469</v>
      </c>
      <c r="G3944" t="s">
        <v>13197</v>
      </c>
    </row>
    <row r="3945" spans="1:7" x14ac:dyDescent="0.3">
      <c r="A3945" s="42" t="s">
        <v>4058</v>
      </c>
      <c r="B3945" s="42" t="s">
        <v>4120</v>
      </c>
      <c r="C3945" s="42" t="s">
        <v>9682</v>
      </c>
      <c r="D3945" s="43" t="s">
        <v>230</v>
      </c>
      <c r="E3945" s="43" t="s">
        <v>92</v>
      </c>
      <c r="F3945" s="42" t="s">
        <v>11469</v>
      </c>
      <c r="G3945" t="s">
        <v>13197</v>
      </c>
    </row>
    <row r="3946" spans="1:7" x14ac:dyDescent="0.3">
      <c r="A3946" s="42" t="s">
        <v>4058</v>
      </c>
      <c r="B3946" s="42" t="s">
        <v>4121</v>
      </c>
      <c r="C3946" s="42" t="s">
        <v>9683</v>
      </c>
      <c r="D3946" s="43" t="s">
        <v>230</v>
      </c>
      <c r="E3946" s="43" t="s">
        <v>92</v>
      </c>
      <c r="F3946" s="42" t="s">
        <v>11469</v>
      </c>
      <c r="G3946" t="s">
        <v>13197</v>
      </c>
    </row>
    <row r="3947" spans="1:7" x14ac:dyDescent="0.3">
      <c r="A3947" s="42" t="s">
        <v>4058</v>
      </c>
      <c r="B3947" s="42" t="s">
        <v>4122</v>
      </c>
      <c r="C3947" s="42" t="s">
        <v>9684</v>
      </c>
      <c r="D3947" s="43" t="s">
        <v>230</v>
      </c>
      <c r="E3947" s="43" t="s">
        <v>92</v>
      </c>
      <c r="F3947" s="42" t="s">
        <v>11469</v>
      </c>
      <c r="G3947" t="s">
        <v>13197</v>
      </c>
    </row>
    <row r="3948" spans="1:7" x14ac:dyDescent="0.3">
      <c r="A3948" s="42" t="s">
        <v>4058</v>
      </c>
      <c r="B3948" s="42" t="s">
        <v>4123</v>
      </c>
      <c r="C3948" s="42" t="s">
        <v>9685</v>
      </c>
      <c r="D3948" s="43" t="s">
        <v>230</v>
      </c>
      <c r="E3948" s="43" t="s">
        <v>92</v>
      </c>
      <c r="F3948" s="42" t="s">
        <v>11469</v>
      </c>
      <c r="G3948" t="s">
        <v>13197</v>
      </c>
    </row>
    <row r="3949" spans="1:7" x14ac:dyDescent="0.3">
      <c r="A3949" s="42" t="s">
        <v>4058</v>
      </c>
      <c r="B3949" s="42" t="s">
        <v>4124</v>
      </c>
      <c r="C3949" s="42" t="s">
        <v>9686</v>
      </c>
      <c r="D3949" s="43" t="s">
        <v>230</v>
      </c>
      <c r="E3949" s="43" t="s">
        <v>92</v>
      </c>
      <c r="F3949" s="42" t="s">
        <v>11469</v>
      </c>
      <c r="G3949" t="s">
        <v>13197</v>
      </c>
    </row>
    <row r="3950" spans="1:7" x14ac:dyDescent="0.3">
      <c r="A3950" s="42" t="s">
        <v>4058</v>
      </c>
      <c r="B3950" s="42" t="s">
        <v>4125</v>
      </c>
      <c r="C3950" s="42" t="s">
        <v>9687</v>
      </c>
      <c r="D3950" s="43" t="s">
        <v>230</v>
      </c>
      <c r="E3950" s="43" t="s">
        <v>92</v>
      </c>
      <c r="F3950" s="42" t="s">
        <v>11469</v>
      </c>
      <c r="G3950" t="s">
        <v>13197</v>
      </c>
    </row>
    <row r="3951" spans="1:7" x14ac:dyDescent="0.3">
      <c r="A3951" s="42" t="s">
        <v>4058</v>
      </c>
      <c r="B3951" s="42" t="s">
        <v>4126</v>
      </c>
      <c r="C3951" s="42" t="s">
        <v>9688</v>
      </c>
      <c r="D3951" s="43" t="s">
        <v>230</v>
      </c>
      <c r="E3951" s="43" t="s">
        <v>92</v>
      </c>
      <c r="F3951" s="42" t="s">
        <v>192</v>
      </c>
      <c r="G3951" t="s">
        <v>13196</v>
      </c>
    </row>
    <row r="3952" spans="1:7" x14ac:dyDescent="0.3">
      <c r="A3952" s="42" t="s">
        <v>4058</v>
      </c>
      <c r="B3952" s="42" t="s">
        <v>4127</v>
      </c>
      <c r="C3952" s="42" t="s">
        <v>9689</v>
      </c>
      <c r="D3952" s="43" t="s">
        <v>230</v>
      </c>
      <c r="E3952" s="43" t="s">
        <v>92</v>
      </c>
      <c r="F3952" s="42" t="s">
        <v>11469</v>
      </c>
      <c r="G3952" t="s">
        <v>13197</v>
      </c>
    </row>
    <row r="3953" spans="1:7" x14ac:dyDescent="0.3">
      <c r="A3953" s="42" t="s">
        <v>4058</v>
      </c>
      <c r="B3953" s="42" t="s">
        <v>4128</v>
      </c>
      <c r="C3953" s="42" t="s">
        <v>9690</v>
      </c>
      <c r="D3953" s="43" t="s">
        <v>230</v>
      </c>
      <c r="E3953" s="43" t="s">
        <v>92</v>
      </c>
      <c r="F3953" s="42" t="s">
        <v>11469</v>
      </c>
      <c r="G3953" t="s">
        <v>13197</v>
      </c>
    </row>
    <row r="3954" spans="1:7" x14ac:dyDescent="0.3">
      <c r="A3954" s="42" t="s">
        <v>4058</v>
      </c>
      <c r="B3954" s="42" t="s">
        <v>4129</v>
      </c>
      <c r="C3954" s="42" t="s">
        <v>9691</v>
      </c>
      <c r="D3954" s="43" t="s">
        <v>230</v>
      </c>
      <c r="E3954" s="43" t="s">
        <v>92</v>
      </c>
      <c r="F3954" s="42" t="s">
        <v>11469</v>
      </c>
      <c r="G3954" t="s">
        <v>13197</v>
      </c>
    </row>
    <row r="3955" spans="1:7" x14ac:dyDescent="0.3">
      <c r="A3955" s="42" t="s">
        <v>4058</v>
      </c>
      <c r="B3955" s="42" t="s">
        <v>4130</v>
      </c>
      <c r="C3955" s="42" t="s">
        <v>9692</v>
      </c>
      <c r="D3955" s="43" t="s">
        <v>230</v>
      </c>
      <c r="E3955" s="43" t="s">
        <v>92</v>
      </c>
      <c r="F3955" s="42" t="s">
        <v>11469</v>
      </c>
      <c r="G3955" t="s">
        <v>13197</v>
      </c>
    </row>
    <row r="3956" spans="1:7" x14ac:dyDescent="0.3">
      <c r="A3956" s="42" t="s">
        <v>4058</v>
      </c>
      <c r="B3956" s="42" t="s">
        <v>4131</v>
      </c>
      <c r="C3956" s="42" t="s">
        <v>9693</v>
      </c>
      <c r="D3956" s="43" t="s">
        <v>230</v>
      </c>
      <c r="E3956" s="43" t="s">
        <v>92</v>
      </c>
      <c r="F3956" s="42" t="s">
        <v>11469</v>
      </c>
      <c r="G3956" t="s">
        <v>13197</v>
      </c>
    </row>
    <row r="3957" spans="1:7" x14ac:dyDescent="0.3">
      <c r="A3957" s="42" t="s">
        <v>4058</v>
      </c>
      <c r="B3957" s="42" t="s">
        <v>4132</v>
      </c>
      <c r="C3957" s="42" t="s">
        <v>9694</v>
      </c>
      <c r="D3957" s="43" t="s">
        <v>230</v>
      </c>
      <c r="E3957" s="43" t="s">
        <v>92</v>
      </c>
      <c r="F3957" s="42" t="s">
        <v>11469</v>
      </c>
      <c r="G3957" t="s">
        <v>13197</v>
      </c>
    </row>
    <row r="3958" spans="1:7" x14ac:dyDescent="0.3">
      <c r="A3958" s="42" t="s">
        <v>4058</v>
      </c>
      <c r="B3958" s="42" t="s">
        <v>4133</v>
      </c>
      <c r="C3958" s="42" t="s">
        <v>9695</v>
      </c>
      <c r="D3958" s="43" t="s">
        <v>230</v>
      </c>
      <c r="E3958" s="43" t="s">
        <v>92</v>
      </c>
      <c r="F3958" s="42" t="s">
        <v>11469</v>
      </c>
      <c r="G3958" t="s">
        <v>13197</v>
      </c>
    </row>
    <row r="3959" spans="1:7" x14ac:dyDescent="0.3">
      <c r="A3959" s="42" t="s">
        <v>4058</v>
      </c>
      <c r="B3959" s="42" t="s">
        <v>4134</v>
      </c>
      <c r="C3959" s="42" t="s">
        <v>9696</v>
      </c>
      <c r="D3959" s="43" t="s">
        <v>230</v>
      </c>
      <c r="E3959" s="43" t="s">
        <v>92</v>
      </c>
      <c r="F3959" s="42" t="s">
        <v>11469</v>
      </c>
      <c r="G3959" t="s">
        <v>13197</v>
      </c>
    </row>
    <row r="3960" spans="1:7" x14ac:dyDescent="0.3">
      <c r="A3960" s="42" t="s">
        <v>4058</v>
      </c>
      <c r="B3960" s="42" t="s">
        <v>4135</v>
      </c>
      <c r="C3960" s="42" t="s">
        <v>9697</v>
      </c>
      <c r="D3960" s="43" t="s">
        <v>230</v>
      </c>
      <c r="E3960" s="43" t="s">
        <v>92</v>
      </c>
      <c r="F3960" s="42" t="s">
        <v>11469</v>
      </c>
      <c r="G3960" t="s">
        <v>13197</v>
      </c>
    </row>
    <row r="3961" spans="1:7" x14ac:dyDescent="0.3">
      <c r="A3961" s="42" t="s">
        <v>4058</v>
      </c>
      <c r="B3961" s="42" t="s">
        <v>4136</v>
      </c>
      <c r="C3961" s="42" t="s">
        <v>9698</v>
      </c>
      <c r="D3961" s="43" t="s">
        <v>230</v>
      </c>
      <c r="E3961" s="43" t="s">
        <v>92</v>
      </c>
      <c r="F3961" s="42" t="s">
        <v>11469</v>
      </c>
      <c r="G3961" t="s">
        <v>13197</v>
      </c>
    </row>
    <row r="3962" spans="1:7" x14ac:dyDescent="0.3">
      <c r="A3962" s="42" t="s">
        <v>4058</v>
      </c>
      <c r="B3962" s="42" t="s">
        <v>4137</v>
      </c>
      <c r="C3962" s="42" t="s">
        <v>9699</v>
      </c>
      <c r="D3962" s="43" t="s">
        <v>230</v>
      </c>
      <c r="E3962" s="43" t="s">
        <v>92</v>
      </c>
      <c r="F3962" s="42" t="s">
        <v>11469</v>
      </c>
      <c r="G3962" t="s">
        <v>13197</v>
      </c>
    </row>
    <row r="3963" spans="1:7" x14ac:dyDescent="0.3">
      <c r="A3963" s="42" t="s">
        <v>4058</v>
      </c>
      <c r="B3963" s="42" t="s">
        <v>4138</v>
      </c>
      <c r="C3963" s="42" t="s">
        <v>9700</v>
      </c>
      <c r="D3963" s="43" t="s">
        <v>230</v>
      </c>
      <c r="E3963" s="43" t="s">
        <v>92</v>
      </c>
      <c r="F3963" s="42" t="s">
        <v>11469</v>
      </c>
      <c r="G3963" t="s">
        <v>13197</v>
      </c>
    </row>
    <row r="3964" spans="1:7" x14ac:dyDescent="0.3">
      <c r="A3964" s="42" t="s">
        <v>4058</v>
      </c>
      <c r="B3964" s="42" t="s">
        <v>4139</v>
      </c>
      <c r="C3964" s="42" t="s">
        <v>9701</v>
      </c>
      <c r="D3964" s="43" t="s">
        <v>230</v>
      </c>
      <c r="E3964" s="43" t="s">
        <v>92</v>
      </c>
      <c r="F3964" s="42" t="s">
        <v>11469</v>
      </c>
      <c r="G3964" t="s">
        <v>13197</v>
      </c>
    </row>
    <row r="3965" spans="1:7" x14ac:dyDescent="0.3">
      <c r="A3965" s="42" t="s">
        <v>4058</v>
      </c>
      <c r="B3965" s="42" t="s">
        <v>4140</v>
      </c>
      <c r="C3965" s="42" t="s">
        <v>9702</v>
      </c>
      <c r="D3965" s="43" t="s">
        <v>230</v>
      </c>
      <c r="E3965" s="43" t="s">
        <v>92</v>
      </c>
      <c r="F3965" s="42" t="s">
        <v>11469</v>
      </c>
      <c r="G3965" t="s">
        <v>13197</v>
      </c>
    </row>
    <row r="3966" spans="1:7" x14ac:dyDescent="0.3">
      <c r="A3966" s="42" t="s">
        <v>4058</v>
      </c>
      <c r="B3966" s="42" t="s">
        <v>4141</v>
      </c>
      <c r="C3966" s="42" t="s">
        <v>9703</v>
      </c>
      <c r="D3966" s="43" t="s">
        <v>230</v>
      </c>
      <c r="E3966" s="43" t="s">
        <v>92</v>
      </c>
      <c r="F3966" s="42" t="s">
        <v>11469</v>
      </c>
      <c r="G3966" t="s">
        <v>13197</v>
      </c>
    </row>
    <row r="3967" spans="1:7" x14ac:dyDescent="0.3">
      <c r="A3967" s="42" t="s">
        <v>4058</v>
      </c>
      <c r="B3967" s="42" t="s">
        <v>4142</v>
      </c>
      <c r="C3967" s="42" t="s">
        <v>9704</v>
      </c>
      <c r="D3967" s="43" t="s">
        <v>230</v>
      </c>
      <c r="E3967" s="43" t="s">
        <v>92</v>
      </c>
      <c r="F3967" s="42" t="s">
        <v>11469</v>
      </c>
      <c r="G3967" t="s">
        <v>13197</v>
      </c>
    </row>
    <row r="3968" spans="1:7" x14ac:dyDescent="0.3">
      <c r="A3968" s="42" t="s">
        <v>4058</v>
      </c>
      <c r="B3968" s="42" t="s">
        <v>4143</v>
      </c>
      <c r="C3968" s="42" t="s">
        <v>9705</v>
      </c>
      <c r="D3968" s="43" t="s">
        <v>230</v>
      </c>
      <c r="E3968" s="43" t="s">
        <v>92</v>
      </c>
      <c r="F3968" s="42" t="s">
        <v>192</v>
      </c>
      <c r="G3968" t="s">
        <v>13196</v>
      </c>
    </row>
    <row r="3969" spans="1:7" x14ac:dyDescent="0.3">
      <c r="A3969" s="42" t="s">
        <v>4058</v>
      </c>
      <c r="B3969" s="42" t="s">
        <v>4144</v>
      </c>
      <c r="C3969" s="42" t="s">
        <v>9706</v>
      </c>
      <c r="D3969" s="43" t="s">
        <v>230</v>
      </c>
      <c r="E3969" s="43" t="s">
        <v>92</v>
      </c>
      <c r="F3969" s="42" t="s">
        <v>11469</v>
      </c>
      <c r="G3969" t="s">
        <v>13197</v>
      </c>
    </row>
    <row r="3970" spans="1:7" x14ac:dyDescent="0.3">
      <c r="A3970" s="42" t="s">
        <v>4058</v>
      </c>
      <c r="B3970" s="42" t="s">
        <v>4145</v>
      </c>
      <c r="C3970" s="42" t="s">
        <v>9707</v>
      </c>
      <c r="D3970" s="43" t="s">
        <v>230</v>
      </c>
      <c r="E3970" s="43" t="s">
        <v>92</v>
      </c>
      <c r="F3970" s="42" t="s">
        <v>11469</v>
      </c>
      <c r="G3970" t="s">
        <v>13197</v>
      </c>
    </row>
    <row r="3971" spans="1:7" x14ac:dyDescent="0.3">
      <c r="A3971" s="42" t="s">
        <v>4058</v>
      </c>
      <c r="B3971" s="42" t="s">
        <v>4146</v>
      </c>
      <c r="C3971" s="42" t="s">
        <v>9708</v>
      </c>
      <c r="D3971" s="43" t="s">
        <v>230</v>
      </c>
      <c r="E3971" s="43" t="s">
        <v>92</v>
      </c>
      <c r="F3971" s="42" t="s">
        <v>11469</v>
      </c>
      <c r="G3971" t="s">
        <v>13197</v>
      </c>
    </row>
    <row r="3972" spans="1:7" x14ac:dyDescent="0.3">
      <c r="A3972" s="42" t="s">
        <v>4058</v>
      </c>
      <c r="B3972" s="42" t="s">
        <v>4147</v>
      </c>
      <c r="C3972" s="42" t="s">
        <v>9709</v>
      </c>
      <c r="D3972" s="43" t="s">
        <v>230</v>
      </c>
      <c r="E3972" s="43" t="s">
        <v>92</v>
      </c>
      <c r="F3972" s="42" t="s">
        <v>192</v>
      </c>
      <c r="G3972" t="s">
        <v>13196</v>
      </c>
    </row>
    <row r="3973" spans="1:7" x14ac:dyDescent="0.3">
      <c r="A3973" s="42" t="s">
        <v>4058</v>
      </c>
      <c r="B3973" s="42" t="s">
        <v>4148</v>
      </c>
      <c r="C3973" s="42" t="s">
        <v>9710</v>
      </c>
      <c r="D3973" s="43" t="s">
        <v>230</v>
      </c>
      <c r="E3973" s="43" t="s">
        <v>92</v>
      </c>
      <c r="F3973" s="42" t="s">
        <v>11469</v>
      </c>
      <c r="G3973" t="s">
        <v>13197</v>
      </c>
    </row>
    <row r="3974" spans="1:7" x14ac:dyDescent="0.3">
      <c r="A3974" s="42" t="s">
        <v>4058</v>
      </c>
      <c r="B3974" s="42" t="s">
        <v>4149</v>
      </c>
      <c r="C3974" s="42" t="s">
        <v>9711</v>
      </c>
      <c r="D3974" s="43" t="s">
        <v>230</v>
      </c>
      <c r="E3974" s="43" t="s">
        <v>92</v>
      </c>
      <c r="F3974" s="42" t="s">
        <v>11469</v>
      </c>
      <c r="G3974" t="s">
        <v>13197</v>
      </c>
    </row>
    <row r="3975" spans="1:7" x14ac:dyDescent="0.3">
      <c r="A3975" s="42" t="s">
        <v>4058</v>
      </c>
      <c r="B3975" s="42" t="s">
        <v>4150</v>
      </c>
      <c r="C3975" s="42" t="s">
        <v>9712</v>
      </c>
      <c r="D3975" s="43" t="s">
        <v>230</v>
      </c>
      <c r="E3975" s="43" t="s">
        <v>92</v>
      </c>
      <c r="F3975" s="42" t="s">
        <v>11469</v>
      </c>
      <c r="G3975" t="s">
        <v>13197</v>
      </c>
    </row>
    <row r="3976" spans="1:7" x14ac:dyDescent="0.3">
      <c r="A3976" s="42" t="s">
        <v>4058</v>
      </c>
      <c r="B3976" s="42" t="s">
        <v>4151</v>
      </c>
      <c r="C3976" s="42" t="s">
        <v>9713</v>
      </c>
      <c r="D3976" s="43" t="s">
        <v>230</v>
      </c>
      <c r="E3976" s="43" t="s">
        <v>92</v>
      </c>
      <c r="F3976" s="42" t="s">
        <v>11469</v>
      </c>
      <c r="G3976" t="s">
        <v>13197</v>
      </c>
    </row>
    <row r="3977" spans="1:7" x14ac:dyDescent="0.3">
      <c r="A3977" s="42" t="s">
        <v>4058</v>
      </c>
      <c r="B3977" s="42" t="s">
        <v>4152</v>
      </c>
      <c r="C3977" s="42" t="s">
        <v>9714</v>
      </c>
      <c r="D3977" s="43" t="s">
        <v>230</v>
      </c>
      <c r="E3977" s="43" t="s">
        <v>92</v>
      </c>
      <c r="F3977" s="42" t="s">
        <v>11469</v>
      </c>
      <c r="G3977" t="s">
        <v>13197</v>
      </c>
    </row>
    <row r="3978" spans="1:7" x14ac:dyDescent="0.3">
      <c r="A3978" s="42" t="s">
        <v>4058</v>
      </c>
      <c r="B3978" s="42" t="s">
        <v>4153</v>
      </c>
      <c r="C3978" s="42" t="s">
        <v>9715</v>
      </c>
      <c r="D3978" s="43" t="s">
        <v>230</v>
      </c>
      <c r="E3978" s="43" t="s">
        <v>92</v>
      </c>
      <c r="F3978" s="42" t="s">
        <v>11469</v>
      </c>
      <c r="G3978" t="s">
        <v>13197</v>
      </c>
    </row>
    <row r="3979" spans="1:7" x14ac:dyDescent="0.3">
      <c r="A3979" s="42" t="s">
        <v>4058</v>
      </c>
      <c r="B3979" s="42" t="s">
        <v>4154</v>
      </c>
      <c r="C3979" s="42" t="s">
        <v>9716</v>
      </c>
      <c r="D3979" s="43" t="s">
        <v>230</v>
      </c>
      <c r="E3979" s="43" t="s">
        <v>92</v>
      </c>
      <c r="F3979" s="42" t="s">
        <v>11469</v>
      </c>
      <c r="G3979" t="s">
        <v>13197</v>
      </c>
    </row>
    <row r="3980" spans="1:7" x14ac:dyDescent="0.3">
      <c r="A3980" s="42" t="s">
        <v>4058</v>
      </c>
      <c r="B3980" s="42" t="s">
        <v>4155</v>
      </c>
      <c r="C3980" s="42" t="s">
        <v>9717</v>
      </c>
      <c r="D3980" s="43" t="s">
        <v>230</v>
      </c>
      <c r="E3980" s="43" t="s">
        <v>92</v>
      </c>
      <c r="F3980" s="42" t="s">
        <v>11469</v>
      </c>
      <c r="G3980" t="s">
        <v>13197</v>
      </c>
    </row>
    <row r="3981" spans="1:7" x14ac:dyDescent="0.3">
      <c r="A3981" s="42" t="s">
        <v>4058</v>
      </c>
      <c r="B3981" s="42" t="s">
        <v>4156</v>
      </c>
      <c r="C3981" s="42" t="s">
        <v>9718</v>
      </c>
      <c r="D3981" s="43" t="s">
        <v>230</v>
      </c>
      <c r="E3981" s="43" t="s">
        <v>92</v>
      </c>
      <c r="F3981" s="42" t="s">
        <v>11469</v>
      </c>
      <c r="G3981" t="s">
        <v>13197</v>
      </c>
    </row>
    <row r="3982" spans="1:7" x14ac:dyDescent="0.3">
      <c r="A3982" s="42" t="s">
        <v>4058</v>
      </c>
      <c r="B3982" s="42" t="s">
        <v>4157</v>
      </c>
      <c r="C3982" s="42" t="s">
        <v>9719</v>
      </c>
      <c r="D3982" s="43" t="s">
        <v>230</v>
      </c>
      <c r="E3982" s="43" t="s">
        <v>92</v>
      </c>
      <c r="F3982" s="42" t="s">
        <v>11469</v>
      </c>
      <c r="G3982" t="s">
        <v>13197</v>
      </c>
    </row>
    <row r="3983" spans="1:7" x14ac:dyDescent="0.3">
      <c r="A3983" s="42" t="s">
        <v>4058</v>
      </c>
      <c r="B3983" s="42" t="s">
        <v>4158</v>
      </c>
      <c r="C3983" s="42" t="s">
        <v>9720</v>
      </c>
      <c r="D3983" s="43" t="s">
        <v>230</v>
      </c>
      <c r="E3983" s="43" t="s">
        <v>92</v>
      </c>
      <c r="F3983" s="42" t="s">
        <v>11469</v>
      </c>
      <c r="G3983" t="s">
        <v>13197</v>
      </c>
    </row>
    <row r="3984" spans="1:7" x14ac:dyDescent="0.3">
      <c r="A3984" s="42" t="s">
        <v>4058</v>
      </c>
      <c r="B3984" s="42" t="s">
        <v>4159</v>
      </c>
      <c r="C3984" s="42" t="s">
        <v>9721</v>
      </c>
      <c r="D3984" s="43" t="s">
        <v>230</v>
      </c>
      <c r="E3984" s="43" t="s">
        <v>92</v>
      </c>
      <c r="F3984" s="42" t="s">
        <v>11469</v>
      </c>
      <c r="G3984" t="s">
        <v>13197</v>
      </c>
    </row>
    <row r="3985" spans="1:7" x14ac:dyDescent="0.3">
      <c r="A3985" s="42" t="s">
        <v>4058</v>
      </c>
      <c r="B3985" s="42" t="s">
        <v>4160</v>
      </c>
      <c r="C3985" s="42" t="s">
        <v>9722</v>
      </c>
      <c r="D3985" s="43" t="s">
        <v>230</v>
      </c>
      <c r="E3985" s="43" t="s">
        <v>92</v>
      </c>
      <c r="F3985" s="42" t="s">
        <v>11469</v>
      </c>
      <c r="G3985" t="s">
        <v>13197</v>
      </c>
    </row>
    <row r="3986" spans="1:7" x14ac:dyDescent="0.3">
      <c r="A3986" s="42" t="s">
        <v>4058</v>
      </c>
      <c r="B3986" s="42" t="s">
        <v>4161</v>
      </c>
      <c r="C3986" s="42" t="s">
        <v>9723</v>
      </c>
      <c r="D3986" s="43" t="s">
        <v>230</v>
      </c>
      <c r="E3986" s="43" t="s">
        <v>92</v>
      </c>
      <c r="F3986" s="42" t="s">
        <v>137</v>
      </c>
      <c r="G3986" t="s">
        <v>13197</v>
      </c>
    </row>
    <row r="3987" spans="1:7" x14ac:dyDescent="0.3">
      <c r="A3987" s="42" t="s">
        <v>4058</v>
      </c>
      <c r="B3987" s="42" t="s">
        <v>4162</v>
      </c>
      <c r="C3987" s="42" t="s">
        <v>9724</v>
      </c>
      <c r="D3987" s="43" t="s">
        <v>230</v>
      </c>
      <c r="E3987" s="43" t="s">
        <v>92</v>
      </c>
      <c r="F3987" s="42" t="s">
        <v>192</v>
      </c>
      <c r="G3987" t="s">
        <v>13196</v>
      </c>
    </row>
    <row r="3988" spans="1:7" x14ac:dyDescent="0.3">
      <c r="A3988" s="42" t="s">
        <v>4058</v>
      </c>
      <c r="B3988" s="42" t="s">
        <v>4163</v>
      </c>
      <c r="C3988" s="42" t="s">
        <v>9725</v>
      </c>
      <c r="D3988" s="43" t="s">
        <v>230</v>
      </c>
      <c r="E3988" s="43" t="s">
        <v>92</v>
      </c>
      <c r="F3988" s="42" t="s">
        <v>11469</v>
      </c>
      <c r="G3988" t="s">
        <v>13197</v>
      </c>
    </row>
    <row r="3989" spans="1:7" x14ac:dyDescent="0.3">
      <c r="A3989" s="42" t="s">
        <v>4058</v>
      </c>
      <c r="B3989" s="42" t="s">
        <v>4164</v>
      </c>
      <c r="C3989" s="42" t="s">
        <v>9726</v>
      </c>
      <c r="D3989" s="43" t="s">
        <v>230</v>
      </c>
      <c r="E3989" s="43" t="s">
        <v>92</v>
      </c>
      <c r="F3989" s="42" t="s">
        <v>11469</v>
      </c>
      <c r="G3989" t="s">
        <v>13197</v>
      </c>
    </row>
    <row r="3990" spans="1:7" x14ac:dyDescent="0.3">
      <c r="A3990" s="42" t="s">
        <v>4058</v>
      </c>
      <c r="B3990" s="42" t="s">
        <v>4165</v>
      </c>
      <c r="C3990" s="42" t="s">
        <v>9727</v>
      </c>
      <c r="D3990" s="43" t="s">
        <v>230</v>
      </c>
      <c r="E3990" s="43" t="s">
        <v>92</v>
      </c>
      <c r="F3990" s="42" t="s">
        <v>11469</v>
      </c>
      <c r="G3990" t="s">
        <v>13197</v>
      </c>
    </row>
    <row r="3991" spans="1:7" x14ac:dyDescent="0.3">
      <c r="A3991" s="42" t="s">
        <v>4058</v>
      </c>
      <c r="B3991" s="42" t="s">
        <v>4166</v>
      </c>
      <c r="C3991" s="42" t="s">
        <v>9728</v>
      </c>
      <c r="D3991" s="43" t="s">
        <v>230</v>
      </c>
      <c r="E3991" s="43" t="s">
        <v>92</v>
      </c>
      <c r="F3991" s="42" t="s">
        <v>11469</v>
      </c>
      <c r="G3991" t="s">
        <v>13197</v>
      </c>
    </row>
    <row r="3992" spans="1:7" x14ac:dyDescent="0.3">
      <c r="A3992" s="42" t="s">
        <v>4058</v>
      </c>
      <c r="B3992" s="42" t="s">
        <v>4167</v>
      </c>
      <c r="C3992" s="42" t="s">
        <v>9729</v>
      </c>
      <c r="D3992" s="43" t="s">
        <v>230</v>
      </c>
      <c r="E3992" s="43" t="s">
        <v>92</v>
      </c>
      <c r="F3992" s="42" t="s">
        <v>11469</v>
      </c>
      <c r="G3992" t="s">
        <v>13197</v>
      </c>
    </row>
    <row r="3993" spans="1:7" x14ac:dyDescent="0.3">
      <c r="A3993" s="42" t="s">
        <v>4058</v>
      </c>
      <c r="B3993" s="42" t="s">
        <v>4168</v>
      </c>
      <c r="C3993" s="42" t="s">
        <v>9730</v>
      </c>
      <c r="D3993" s="43" t="s">
        <v>230</v>
      </c>
      <c r="E3993" s="43" t="s">
        <v>92</v>
      </c>
      <c r="F3993" s="42" t="s">
        <v>11469</v>
      </c>
      <c r="G3993" t="s">
        <v>13197</v>
      </c>
    </row>
    <row r="3994" spans="1:7" x14ac:dyDescent="0.3">
      <c r="A3994" s="42" t="s">
        <v>4058</v>
      </c>
      <c r="B3994" s="42" t="s">
        <v>4169</v>
      </c>
      <c r="C3994" s="42" t="s">
        <v>9731</v>
      </c>
      <c r="D3994" s="43" t="s">
        <v>230</v>
      </c>
      <c r="E3994" s="43" t="s">
        <v>92</v>
      </c>
      <c r="F3994" s="42" t="s">
        <v>11469</v>
      </c>
      <c r="G3994" t="s">
        <v>13197</v>
      </c>
    </row>
    <row r="3995" spans="1:7" x14ac:dyDescent="0.3">
      <c r="A3995" s="42" t="s">
        <v>4058</v>
      </c>
      <c r="B3995" s="42" t="s">
        <v>4170</v>
      </c>
      <c r="C3995" s="42" t="s">
        <v>9732</v>
      </c>
      <c r="D3995" s="43" t="s">
        <v>230</v>
      </c>
      <c r="E3995" s="43" t="s">
        <v>92</v>
      </c>
      <c r="F3995" s="42" t="s">
        <v>11469</v>
      </c>
      <c r="G3995" t="s">
        <v>13197</v>
      </c>
    </row>
    <row r="3996" spans="1:7" x14ac:dyDescent="0.3">
      <c r="A3996" s="42" t="s">
        <v>4058</v>
      </c>
      <c r="B3996" s="42" t="s">
        <v>4171</v>
      </c>
      <c r="C3996" s="42" t="s">
        <v>9733</v>
      </c>
      <c r="D3996" s="43" t="s">
        <v>230</v>
      </c>
      <c r="E3996" s="43" t="s">
        <v>92</v>
      </c>
      <c r="F3996" s="42" t="s">
        <v>11469</v>
      </c>
      <c r="G3996" t="s">
        <v>13197</v>
      </c>
    </row>
    <row r="3997" spans="1:7" x14ac:dyDescent="0.3">
      <c r="A3997" s="42" t="s">
        <v>4058</v>
      </c>
      <c r="B3997" s="42" t="s">
        <v>4172</v>
      </c>
      <c r="C3997" s="42" t="s">
        <v>9734</v>
      </c>
      <c r="D3997" s="43" t="s">
        <v>230</v>
      </c>
      <c r="E3997" s="43" t="s">
        <v>92</v>
      </c>
      <c r="F3997" s="42" t="s">
        <v>11469</v>
      </c>
      <c r="G3997" t="s">
        <v>13197</v>
      </c>
    </row>
    <row r="3998" spans="1:7" x14ac:dyDescent="0.3">
      <c r="A3998" s="42" t="s">
        <v>4058</v>
      </c>
      <c r="B3998" s="42" t="s">
        <v>4173</v>
      </c>
      <c r="C3998" s="42" t="s">
        <v>9735</v>
      </c>
      <c r="D3998" s="43" t="s">
        <v>230</v>
      </c>
      <c r="E3998" s="43" t="s">
        <v>92</v>
      </c>
      <c r="F3998" s="42" t="s">
        <v>11469</v>
      </c>
      <c r="G3998" t="s">
        <v>13197</v>
      </c>
    </row>
    <row r="3999" spans="1:7" x14ac:dyDescent="0.3">
      <c r="A3999" s="42" t="s">
        <v>4058</v>
      </c>
      <c r="B3999" s="42" t="s">
        <v>4174</v>
      </c>
      <c r="C3999" s="42" t="s">
        <v>9736</v>
      </c>
      <c r="D3999" s="43" t="s">
        <v>230</v>
      </c>
      <c r="E3999" s="43" t="s">
        <v>92</v>
      </c>
      <c r="F3999" s="42" t="s">
        <v>11469</v>
      </c>
      <c r="G3999" t="s">
        <v>13197</v>
      </c>
    </row>
    <row r="4000" spans="1:7" x14ac:dyDescent="0.3">
      <c r="A4000" s="42" t="s">
        <v>4058</v>
      </c>
      <c r="B4000" s="42" t="s">
        <v>4175</v>
      </c>
      <c r="C4000" s="42" t="s">
        <v>9737</v>
      </c>
      <c r="D4000" s="43" t="s">
        <v>230</v>
      </c>
      <c r="E4000" s="43" t="s">
        <v>92</v>
      </c>
      <c r="F4000" s="42" t="s">
        <v>11469</v>
      </c>
      <c r="G4000" t="s">
        <v>13197</v>
      </c>
    </row>
    <row r="4001" spans="1:7" x14ac:dyDescent="0.3">
      <c r="A4001" s="42" t="s">
        <v>4058</v>
      </c>
      <c r="B4001" s="42" t="s">
        <v>4176</v>
      </c>
      <c r="C4001" s="42" t="s">
        <v>9738</v>
      </c>
      <c r="D4001" s="43" t="s">
        <v>230</v>
      </c>
      <c r="E4001" s="43" t="s">
        <v>92</v>
      </c>
      <c r="F4001" s="42" t="s">
        <v>11469</v>
      </c>
      <c r="G4001" t="s">
        <v>13197</v>
      </c>
    </row>
    <row r="4002" spans="1:7" x14ac:dyDescent="0.3">
      <c r="A4002" s="42" t="s">
        <v>4058</v>
      </c>
      <c r="B4002" s="42" t="s">
        <v>4177</v>
      </c>
      <c r="C4002" s="42" t="s">
        <v>9739</v>
      </c>
      <c r="D4002" s="43" t="s">
        <v>230</v>
      </c>
      <c r="E4002" s="43" t="s">
        <v>92</v>
      </c>
      <c r="F4002" s="42" t="s">
        <v>11469</v>
      </c>
      <c r="G4002" t="s">
        <v>13197</v>
      </c>
    </row>
    <row r="4003" spans="1:7" x14ac:dyDescent="0.3">
      <c r="A4003" s="42" t="s">
        <v>4058</v>
      </c>
      <c r="B4003" s="42" t="s">
        <v>4178</v>
      </c>
      <c r="C4003" s="42" t="s">
        <v>9740</v>
      </c>
      <c r="D4003" s="43" t="s">
        <v>230</v>
      </c>
      <c r="E4003" s="43" t="s">
        <v>92</v>
      </c>
      <c r="F4003" s="42" t="s">
        <v>11469</v>
      </c>
      <c r="G4003" t="s">
        <v>13197</v>
      </c>
    </row>
    <row r="4004" spans="1:7" x14ac:dyDescent="0.3">
      <c r="A4004" s="42" t="s">
        <v>4058</v>
      </c>
      <c r="B4004" s="42" t="s">
        <v>4179</v>
      </c>
      <c r="C4004" s="42" t="s">
        <v>9741</v>
      </c>
      <c r="D4004" s="43" t="s">
        <v>230</v>
      </c>
      <c r="E4004" s="43" t="s">
        <v>92</v>
      </c>
      <c r="F4004" s="42" t="s">
        <v>11469</v>
      </c>
      <c r="G4004" t="s">
        <v>13197</v>
      </c>
    </row>
    <row r="4005" spans="1:7" x14ac:dyDescent="0.3">
      <c r="A4005" s="42" t="s">
        <v>4058</v>
      </c>
      <c r="B4005" s="42" t="s">
        <v>624</v>
      </c>
      <c r="C4005" s="42" t="s">
        <v>9742</v>
      </c>
      <c r="D4005" s="43" t="s">
        <v>230</v>
      </c>
      <c r="E4005" s="43" t="s">
        <v>92</v>
      </c>
      <c r="F4005" s="42" t="s">
        <v>11469</v>
      </c>
      <c r="G4005" t="s">
        <v>13197</v>
      </c>
    </row>
    <row r="4006" spans="1:7" x14ac:dyDescent="0.3">
      <c r="A4006" s="42" t="s">
        <v>4058</v>
      </c>
      <c r="B4006" s="42" t="s">
        <v>4180</v>
      </c>
      <c r="C4006" s="42" t="s">
        <v>9743</v>
      </c>
      <c r="D4006" s="43" t="s">
        <v>230</v>
      </c>
      <c r="E4006" s="43" t="s">
        <v>92</v>
      </c>
      <c r="F4006" s="42" t="s">
        <v>11469</v>
      </c>
      <c r="G4006" t="s">
        <v>13197</v>
      </c>
    </row>
    <row r="4007" spans="1:7" x14ac:dyDescent="0.3">
      <c r="A4007" s="42" t="s">
        <v>4058</v>
      </c>
      <c r="B4007" s="42" t="s">
        <v>4181</v>
      </c>
      <c r="C4007" s="42" t="s">
        <v>9744</v>
      </c>
      <c r="D4007" s="43" t="s">
        <v>230</v>
      </c>
      <c r="E4007" s="43" t="s">
        <v>92</v>
      </c>
      <c r="F4007" s="42" t="s">
        <v>11469</v>
      </c>
      <c r="G4007" t="s">
        <v>13197</v>
      </c>
    </row>
    <row r="4008" spans="1:7" x14ac:dyDescent="0.3">
      <c r="A4008" s="42" t="s">
        <v>4058</v>
      </c>
      <c r="B4008" s="42" t="s">
        <v>4182</v>
      </c>
      <c r="C4008" s="42" t="s">
        <v>9745</v>
      </c>
      <c r="D4008" s="43" t="s">
        <v>230</v>
      </c>
      <c r="E4008" s="43" t="s">
        <v>92</v>
      </c>
      <c r="F4008" s="42" t="s">
        <v>11469</v>
      </c>
      <c r="G4008" t="s">
        <v>13197</v>
      </c>
    </row>
    <row r="4009" spans="1:7" x14ac:dyDescent="0.3">
      <c r="A4009" s="42" t="s">
        <v>4058</v>
      </c>
      <c r="B4009" s="42" t="s">
        <v>4183</v>
      </c>
      <c r="C4009" s="42" t="s">
        <v>9746</v>
      </c>
      <c r="D4009" s="43" t="s">
        <v>230</v>
      </c>
      <c r="E4009" s="43" t="s">
        <v>92</v>
      </c>
      <c r="F4009" s="42" t="s">
        <v>11469</v>
      </c>
      <c r="G4009" t="s">
        <v>13197</v>
      </c>
    </row>
    <row r="4010" spans="1:7" x14ac:dyDescent="0.3">
      <c r="A4010" s="42" t="s">
        <v>4058</v>
      </c>
      <c r="B4010" s="42" t="s">
        <v>4184</v>
      </c>
      <c r="C4010" s="42" t="s">
        <v>9747</v>
      </c>
      <c r="D4010" s="43" t="s">
        <v>230</v>
      </c>
      <c r="E4010" s="43" t="s">
        <v>92</v>
      </c>
      <c r="F4010" s="42" t="s">
        <v>11469</v>
      </c>
      <c r="G4010" t="s">
        <v>13197</v>
      </c>
    </row>
    <row r="4011" spans="1:7" x14ac:dyDescent="0.3">
      <c r="A4011" s="42" t="s">
        <v>4058</v>
      </c>
      <c r="B4011" s="42" t="s">
        <v>4185</v>
      </c>
      <c r="C4011" s="42" t="s">
        <v>9748</v>
      </c>
      <c r="D4011" s="43" t="s">
        <v>230</v>
      </c>
      <c r="E4011" s="43" t="s">
        <v>92</v>
      </c>
      <c r="F4011" s="42" t="s">
        <v>11469</v>
      </c>
      <c r="G4011" t="s">
        <v>13197</v>
      </c>
    </row>
    <row r="4012" spans="1:7" x14ac:dyDescent="0.3">
      <c r="A4012" s="42" t="s">
        <v>4058</v>
      </c>
      <c r="B4012" s="42" t="s">
        <v>4186</v>
      </c>
      <c r="C4012" s="42" t="s">
        <v>9749</v>
      </c>
      <c r="D4012" s="43" t="s">
        <v>230</v>
      </c>
      <c r="E4012" s="43" t="s">
        <v>92</v>
      </c>
      <c r="F4012" s="42" t="s">
        <v>11469</v>
      </c>
      <c r="G4012" t="s">
        <v>13197</v>
      </c>
    </row>
    <row r="4013" spans="1:7" x14ac:dyDescent="0.3">
      <c r="A4013" s="42" t="s">
        <v>4058</v>
      </c>
      <c r="B4013" s="42" t="s">
        <v>4187</v>
      </c>
      <c r="C4013" s="42" t="s">
        <v>9750</v>
      </c>
      <c r="D4013" s="43" t="s">
        <v>230</v>
      </c>
      <c r="E4013" s="43" t="s">
        <v>92</v>
      </c>
      <c r="F4013" s="42" t="s">
        <v>11469</v>
      </c>
      <c r="G4013" t="s">
        <v>13197</v>
      </c>
    </row>
    <row r="4014" spans="1:7" x14ac:dyDescent="0.3">
      <c r="A4014" s="42" t="s">
        <v>4058</v>
      </c>
      <c r="B4014" s="42" t="s">
        <v>4188</v>
      </c>
      <c r="C4014" s="42" t="s">
        <v>9751</v>
      </c>
      <c r="D4014" s="43" t="s">
        <v>230</v>
      </c>
      <c r="E4014" s="43" t="s">
        <v>92</v>
      </c>
      <c r="F4014" s="42" t="s">
        <v>137</v>
      </c>
      <c r="G4014" t="s">
        <v>13197</v>
      </c>
    </row>
    <row r="4015" spans="1:7" x14ac:dyDescent="0.3">
      <c r="A4015" s="42" t="s">
        <v>4058</v>
      </c>
      <c r="B4015" s="42" t="s">
        <v>4189</v>
      </c>
      <c r="C4015" s="42" t="s">
        <v>9752</v>
      </c>
      <c r="D4015" s="43" t="s">
        <v>230</v>
      </c>
      <c r="E4015" s="43" t="s">
        <v>92</v>
      </c>
      <c r="F4015" s="42" t="s">
        <v>11469</v>
      </c>
      <c r="G4015" t="s">
        <v>13197</v>
      </c>
    </row>
    <row r="4016" spans="1:7" x14ac:dyDescent="0.3">
      <c r="A4016" s="42" t="s">
        <v>4058</v>
      </c>
      <c r="B4016" s="42" t="s">
        <v>4190</v>
      </c>
      <c r="C4016" s="42" t="s">
        <v>9753</v>
      </c>
      <c r="D4016" s="43" t="s">
        <v>230</v>
      </c>
      <c r="E4016" s="43" t="s">
        <v>92</v>
      </c>
      <c r="F4016" s="42" t="s">
        <v>11469</v>
      </c>
      <c r="G4016" t="s">
        <v>13197</v>
      </c>
    </row>
    <row r="4017" spans="1:7" x14ac:dyDescent="0.3">
      <c r="A4017" s="42" t="s">
        <v>4058</v>
      </c>
      <c r="B4017" s="42" t="s">
        <v>4191</v>
      </c>
      <c r="C4017" s="42" t="s">
        <v>9754</v>
      </c>
      <c r="D4017" s="43" t="s">
        <v>230</v>
      </c>
      <c r="E4017" s="43" t="s">
        <v>92</v>
      </c>
      <c r="F4017" s="42" t="s">
        <v>11469</v>
      </c>
      <c r="G4017" t="s">
        <v>13197</v>
      </c>
    </row>
    <row r="4018" spans="1:7" x14ac:dyDescent="0.3">
      <c r="A4018" s="42" t="s">
        <v>4058</v>
      </c>
      <c r="B4018" s="42" t="s">
        <v>4192</v>
      </c>
      <c r="C4018" s="42" t="s">
        <v>9755</v>
      </c>
      <c r="D4018" s="43" t="s">
        <v>230</v>
      </c>
      <c r="E4018" s="43" t="s">
        <v>92</v>
      </c>
      <c r="F4018" s="42" t="s">
        <v>11469</v>
      </c>
      <c r="G4018" t="s">
        <v>13197</v>
      </c>
    </row>
    <row r="4019" spans="1:7" x14ac:dyDescent="0.3">
      <c r="A4019" s="42" t="s">
        <v>4058</v>
      </c>
      <c r="B4019" s="42" t="s">
        <v>4193</v>
      </c>
      <c r="C4019" s="42" t="s">
        <v>9756</v>
      </c>
      <c r="D4019" s="43" t="s">
        <v>230</v>
      </c>
      <c r="E4019" s="43" t="s">
        <v>92</v>
      </c>
      <c r="F4019" s="42" t="s">
        <v>11469</v>
      </c>
      <c r="G4019" t="s">
        <v>13197</v>
      </c>
    </row>
    <row r="4020" spans="1:7" x14ac:dyDescent="0.3">
      <c r="A4020" s="42" t="s">
        <v>4058</v>
      </c>
      <c r="B4020" s="42" t="s">
        <v>4194</v>
      </c>
      <c r="C4020" s="42" t="s">
        <v>9757</v>
      </c>
      <c r="D4020" s="43" t="s">
        <v>230</v>
      </c>
      <c r="E4020" s="43" t="s">
        <v>92</v>
      </c>
      <c r="F4020" s="42" t="s">
        <v>11469</v>
      </c>
      <c r="G4020" t="s">
        <v>13197</v>
      </c>
    </row>
    <row r="4021" spans="1:7" x14ac:dyDescent="0.3">
      <c r="A4021" s="42" t="s">
        <v>4058</v>
      </c>
      <c r="B4021" s="42" t="s">
        <v>4195</v>
      </c>
      <c r="C4021" s="42" t="s">
        <v>9758</v>
      </c>
      <c r="D4021" s="43" t="s">
        <v>230</v>
      </c>
      <c r="E4021" s="43" t="s">
        <v>92</v>
      </c>
      <c r="F4021" s="42" t="s">
        <v>11469</v>
      </c>
      <c r="G4021" t="s">
        <v>13197</v>
      </c>
    </row>
    <row r="4022" spans="1:7" x14ac:dyDescent="0.3">
      <c r="A4022" s="42" t="s">
        <v>4058</v>
      </c>
      <c r="B4022" s="42" t="s">
        <v>4196</v>
      </c>
      <c r="C4022" s="42" t="s">
        <v>9759</v>
      </c>
      <c r="D4022" s="43" t="s">
        <v>230</v>
      </c>
      <c r="E4022" s="43" t="s">
        <v>92</v>
      </c>
      <c r="F4022" s="42" t="s">
        <v>11469</v>
      </c>
      <c r="G4022" t="s">
        <v>13197</v>
      </c>
    </row>
    <row r="4023" spans="1:7" x14ac:dyDescent="0.3">
      <c r="A4023" s="42" t="s">
        <v>4058</v>
      </c>
      <c r="B4023" s="42" t="s">
        <v>4197</v>
      </c>
      <c r="C4023" s="42" t="s">
        <v>9760</v>
      </c>
      <c r="D4023" s="43" t="s">
        <v>230</v>
      </c>
      <c r="E4023" s="43" t="s">
        <v>92</v>
      </c>
      <c r="F4023" s="42" t="s">
        <v>11469</v>
      </c>
      <c r="G4023" t="s">
        <v>13197</v>
      </c>
    </row>
    <row r="4024" spans="1:7" x14ac:dyDescent="0.3">
      <c r="A4024" s="42" t="s">
        <v>4058</v>
      </c>
      <c r="B4024" s="42" t="s">
        <v>4198</v>
      </c>
      <c r="C4024" s="42" t="s">
        <v>9761</v>
      </c>
      <c r="D4024" s="43" t="s">
        <v>230</v>
      </c>
      <c r="E4024" s="43" t="s">
        <v>92</v>
      </c>
      <c r="F4024" s="42" t="s">
        <v>11469</v>
      </c>
      <c r="G4024" t="s">
        <v>13197</v>
      </c>
    </row>
    <row r="4025" spans="1:7" x14ac:dyDescent="0.3">
      <c r="A4025" s="42" t="s">
        <v>4058</v>
      </c>
      <c r="B4025" s="42" t="s">
        <v>4199</v>
      </c>
      <c r="C4025" s="42" t="s">
        <v>9762</v>
      </c>
      <c r="D4025" s="43" t="s">
        <v>230</v>
      </c>
      <c r="E4025" s="43" t="s">
        <v>92</v>
      </c>
      <c r="F4025" s="42" t="s">
        <v>11469</v>
      </c>
      <c r="G4025" t="s">
        <v>13197</v>
      </c>
    </row>
    <row r="4026" spans="1:7" x14ac:dyDescent="0.3">
      <c r="A4026" s="42" t="s">
        <v>4058</v>
      </c>
      <c r="B4026" s="42" t="s">
        <v>4200</v>
      </c>
      <c r="C4026" s="42" t="s">
        <v>9763</v>
      </c>
      <c r="D4026" s="43" t="s">
        <v>230</v>
      </c>
      <c r="E4026" s="43" t="s">
        <v>92</v>
      </c>
      <c r="F4026" s="42" t="s">
        <v>11469</v>
      </c>
      <c r="G4026" t="s">
        <v>13197</v>
      </c>
    </row>
    <row r="4027" spans="1:7" x14ac:dyDescent="0.3">
      <c r="A4027" s="42" t="s">
        <v>4058</v>
      </c>
      <c r="B4027" s="42" t="s">
        <v>4201</v>
      </c>
      <c r="C4027" s="42" t="s">
        <v>9764</v>
      </c>
      <c r="D4027" s="43" t="s">
        <v>230</v>
      </c>
      <c r="E4027" s="43" t="s">
        <v>92</v>
      </c>
      <c r="F4027" s="42" t="s">
        <v>11469</v>
      </c>
      <c r="G4027" t="s">
        <v>13197</v>
      </c>
    </row>
    <row r="4028" spans="1:7" x14ac:dyDescent="0.3">
      <c r="A4028" s="42" t="s">
        <v>4058</v>
      </c>
      <c r="B4028" s="42" t="s">
        <v>4202</v>
      </c>
      <c r="C4028" s="42" t="s">
        <v>9765</v>
      </c>
      <c r="D4028" s="43" t="s">
        <v>230</v>
      </c>
      <c r="E4028" s="43" t="s">
        <v>92</v>
      </c>
      <c r="F4028" s="42" t="s">
        <v>11469</v>
      </c>
      <c r="G4028" t="s">
        <v>13197</v>
      </c>
    </row>
    <row r="4029" spans="1:7" x14ac:dyDescent="0.3">
      <c r="A4029" s="42" t="s">
        <v>4058</v>
      </c>
      <c r="B4029" s="42" t="s">
        <v>4203</v>
      </c>
      <c r="C4029" s="42" t="s">
        <v>9766</v>
      </c>
      <c r="D4029" s="43" t="s">
        <v>230</v>
      </c>
      <c r="E4029" s="43" t="s">
        <v>92</v>
      </c>
      <c r="F4029" s="42" t="s">
        <v>11469</v>
      </c>
      <c r="G4029" t="s">
        <v>13197</v>
      </c>
    </row>
    <row r="4030" spans="1:7" x14ac:dyDescent="0.3">
      <c r="A4030" s="42" t="s">
        <v>4058</v>
      </c>
      <c r="B4030" s="42" t="s">
        <v>4204</v>
      </c>
      <c r="C4030" s="42" t="s">
        <v>9767</v>
      </c>
      <c r="D4030" s="43" t="s">
        <v>230</v>
      </c>
      <c r="E4030" s="43" t="s">
        <v>92</v>
      </c>
      <c r="F4030" s="42" t="s">
        <v>11469</v>
      </c>
      <c r="G4030" t="s">
        <v>13200</v>
      </c>
    </row>
    <row r="4031" spans="1:7" x14ac:dyDescent="0.3">
      <c r="A4031" s="42" t="s">
        <v>4058</v>
      </c>
      <c r="B4031" s="42" t="s">
        <v>4205</v>
      </c>
      <c r="C4031" s="42" t="s">
        <v>9768</v>
      </c>
      <c r="D4031" s="43" t="s">
        <v>230</v>
      </c>
      <c r="E4031" s="43" t="s">
        <v>92</v>
      </c>
      <c r="F4031" s="42" t="s">
        <v>11469</v>
      </c>
      <c r="G4031" t="s">
        <v>13197</v>
      </c>
    </row>
    <row r="4032" spans="1:7" x14ac:dyDescent="0.3">
      <c r="A4032" s="42" t="s">
        <v>4058</v>
      </c>
      <c r="B4032" s="42" t="s">
        <v>4206</v>
      </c>
      <c r="C4032" s="42" t="s">
        <v>9769</v>
      </c>
      <c r="D4032" s="43" t="s">
        <v>230</v>
      </c>
      <c r="E4032" s="43" t="s">
        <v>92</v>
      </c>
      <c r="F4032" s="42" t="s">
        <v>11469</v>
      </c>
      <c r="G4032" t="s">
        <v>13197</v>
      </c>
    </row>
    <row r="4033" spans="1:7" x14ac:dyDescent="0.3">
      <c r="A4033" s="42" t="s">
        <v>4058</v>
      </c>
      <c r="B4033" s="42" t="s">
        <v>4207</v>
      </c>
      <c r="C4033" s="42" t="s">
        <v>9770</v>
      </c>
      <c r="D4033" s="43" t="s">
        <v>230</v>
      </c>
      <c r="E4033" s="43" t="s">
        <v>92</v>
      </c>
      <c r="F4033" s="42" t="s">
        <v>192</v>
      </c>
      <c r="G4033" t="s">
        <v>13196</v>
      </c>
    </row>
    <row r="4034" spans="1:7" x14ac:dyDescent="0.3">
      <c r="A4034" s="42" t="s">
        <v>4058</v>
      </c>
      <c r="B4034" s="42" t="s">
        <v>4208</v>
      </c>
      <c r="C4034" s="42" t="s">
        <v>9771</v>
      </c>
      <c r="D4034" s="43" t="s">
        <v>230</v>
      </c>
      <c r="E4034" s="43" t="s">
        <v>92</v>
      </c>
      <c r="F4034" s="42" t="s">
        <v>11469</v>
      </c>
      <c r="G4034" t="s">
        <v>13197</v>
      </c>
    </row>
    <row r="4035" spans="1:7" x14ac:dyDescent="0.3">
      <c r="A4035" s="42" t="s">
        <v>4058</v>
      </c>
      <c r="B4035" s="42" t="s">
        <v>4209</v>
      </c>
      <c r="C4035" s="42" t="s">
        <v>9772</v>
      </c>
      <c r="D4035" s="43" t="s">
        <v>230</v>
      </c>
      <c r="E4035" s="43" t="s">
        <v>92</v>
      </c>
      <c r="F4035" s="42" t="s">
        <v>11469</v>
      </c>
      <c r="G4035" t="s">
        <v>13197</v>
      </c>
    </row>
    <row r="4036" spans="1:7" x14ac:dyDescent="0.3">
      <c r="A4036" s="42" t="s">
        <v>4058</v>
      </c>
      <c r="B4036" s="42" t="s">
        <v>4210</v>
      </c>
      <c r="C4036" s="42" t="s">
        <v>9773</v>
      </c>
      <c r="D4036" s="43" t="s">
        <v>230</v>
      </c>
      <c r="E4036" s="43" t="s">
        <v>92</v>
      </c>
      <c r="F4036" s="42" t="s">
        <v>11469</v>
      </c>
      <c r="G4036" t="s">
        <v>13197</v>
      </c>
    </row>
    <row r="4037" spans="1:7" x14ac:dyDescent="0.3">
      <c r="A4037" s="42" t="s">
        <v>4058</v>
      </c>
      <c r="B4037" s="42" t="s">
        <v>4211</v>
      </c>
      <c r="C4037" s="42" t="s">
        <v>9774</v>
      </c>
      <c r="D4037" s="43" t="s">
        <v>230</v>
      </c>
      <c r="E4037" s="43" t="s">
        <v>92</v>
      </c>
      <c r="F4037" s="42" t="s">
        <v>11469</v>
      </c>
      <c r="G4037" t="s">
        <v>13197</v>
      </c>
    </row>
    <row r="4038" spans="1:7" x14ac:dyDescent="0.3">
      <c r="A4038" s="42" t="s">
        <v>4058</v>
      </c>
      <c r="B4038" s="42" t="s">
        <v>4212</v>
      </c>
      <c r="C4038" s="42" t="s">
        <v>9775</v>
      </c>
      <c r="D4038" s="43" t="s">
        <v>230</v>
      </c>
      <c r="E4038" s="43" t="s">
        <v>92</v>
      </c>
      <c r="F4038" s="42" t="s">
        <v>11469</v>
      </c>
      <c r="G4038" t="s">
        <v>13197</v>
      </c>
    </row>
    <row r="4039" spans="1:7" x14ac:dyDescent="0.3">
      <c r="A4039" s="42" t="s">
        <v>4058</v>
      </c>
      <c r="B4039" s="42" t="s">
        <v>4213</v>
      </c>
      <c r="C4039" s="42" t="s">
        <v>9776</v>
      </c>
      <c r="D4039" s="43" t="s">
        <v>230</v>
      </c>
      <c r="E4039" s="43" t="s">
        <v>92</v>
      </c>
      <c r="F4039" s="42" t="s">
        <v>11469</v>
      </c>
      <c r="G4039" t="s">
        <v>13197</v>
      </c>
    </row>
    <row r="4040" spans="1:7" x14ac:dyDescent="0.3">
      <c r="A4040" s="42" t="s">
        <v>4058</v>
      </c>
      <c r="B4040" s="42" t="s">
        <v>4214</v>
      </c>
      <c r="C4040" s="42" t="s">
        <v>9777</v>
      </c>
      <c r="D4040" s="43" t="s">
        <v>230</v>
      </c>
      <c r="E4040" s="43" t="s">
        <v>92</v>
      </c>
      <c r="F4040" s="42" t="s">
        <v>11469</v>
      </c>
      <c r="G4040" t="s">
        <v>13197</v>
      </c>
    </row>
    <row r="4041" spans="1:7" x14ac:dyDescent="0.3">
      <c r="A4041" s="42" t="s">
        <v>4058</v>
      </c>
      <c r="B4041" s="42" t="s">
        <v>4215</v>
      </c>
      <c r="C4041" s="42" t="s">
        <v>9778</v>
      </c>
      <c r="D4041" s="43" t="s">
        <v>230</v>
      </c>
      <c r="E4041" s="43" t="s">
        <v>92</v>
      </c>
      <c r="F4041" s="42" t="s">
        <v>11469</v>
      </c>
      <c r="G4041" t="s">
        <v>13197</v>
      </c>
    </row>
    <row r="4042" spans="1:7" x14ac:dyDescent="0.3">
      <c r="A4042" s="42" t="s">
        <v>4058</v>
      </c>
      <c r="B4042" s="42" t="s">
        <v>4216</v>
      </c>
      <c r="C4042" s="42" t="s">
        <v>9779</v>
      </c>
      <c r="D4042" s="43" t="s">
        <v>230</v>
      </c>
      <c r="E4042" s="43" t="s">
        <v>92</v>
      </c>
      <c r="F4042" s="42" t="s">
        <v>11469</v>
      </c>
      <c r="G4042" t="s">
        <v>13197</v>
      </c>
    </row>
    <row r="4043" spans="1:7" x14ac:dyDescent="0.3">
      <c r="A4043" s="42" t="s">
        <v>4058</v>
      </c>
      <c r="B4043" s="42" t="s">
        <v>4217</v>
      </c>
      <c r="C4043" s="42" t="s">
        <v>9780</v>
      </c>
      <c r="D4043" s="43" t="s">
        <v>230</v>
      </c>
      <c r="E4043" s="43" t="s">
        <v>92</v>
      </c>
      <c r="F4043" s="42" t="s">
        <v>11469</v>
      </c>
      <c r="G4043" t="s">
        <v>13197</v>
      </c>
    </row>
    <row r="4044" spans="1:7" x14ac:dyDescent="0.3">
      <c r="A4044" s="42" t="s">
        <v>4058</v>
      </c>
      <c r="B4044" s="42" t="s">
        <v>4218</v>
      </c>
      <c r="C4044" s="42" t="s">
        <v>9781</v>
      </c>
      <c r="D4044" s="43" t="s">
        <v>230</v>
      </c>
      <c r="E4044" s="43" t="s">
        <v>92</v>
      </c>
      <c r="F4044" s="42" t="s">
        <v>11469</v>
      </c>
      <c r="G4044" t="s">
        <v>13197</v>
      </c>
    </row>
    <row r="4045" spans="1:7" x14ac:dyDescent="0.3">
      <c r="A4045" s="42" t="s">
        <v>4058</v>
      </c>
      <c r="B4045" s="42" t="s">
        <v>4219</v>
      </c>
      <c r="C4045" s="42" t="s">
        <v>9782</v>
      </c>
      <c r="D4045" s="43" t="s">
        <v>230</v>
      </c>
      <c r="E4045" s="43" t="s">
        <v>92</v>
      </c>
      <c r="F4045" s="42" t="s">
        <v>11469</v>
      </c>
      <c r="G4045" t="s">
        <v>13197</v>
      </c>
    </row>
    <row r="4046" spans="1:7" x14ac:dyDescent="0.3">
      <c r="A4046" s="42" t="s">
        <v>4058</v>
      </c>
      <c r="B4046" s="42" t="s">
        <v>4220</v>
      </c>
      <c r="C4046" s="42" t="s">
        <v>9783</v>
      </c>
      <c r="D4046" s="43" t="s">
        <v>230</v>
      </c>
      <c r="E4046" s="43" t="s">
        <v>92</v>
      </c>
      <c r="F4046" s="42" t="s">
        <v>11469</v>
      </c>
      <c r="G4046" t="s">
        <v>13197</v>
      </c>
    </row>
    <row r="4047" spans="1:7" x14ac:dyDescent="0.3">
      <c r="A4047" s="42" t="s">
        <v>4058</v>
      </c>
      <c r="B4047" s="42" t="s">
        <v>4221</v>
      </c>
      <c r="C4047" s="42" t="s">
        <v>9784</v>
      </c>
      <c r="D4047" s="43" t="s">
        <v>230</v>
      </c>
      <c r="E4047" s="43" t="s">
        <v>92</v>
      </c>
      <c r="F4047" s="42" t="s">
        <v>11469</v>
      </c>
      <c r="G4047" t="s">
        <v>13197</v>
      </c>
    </row>
    <row r="4048" spans="1:7" x14ac:dyDescent="0.3">
      <c r="A4048" s="42" t="s">
        <v>4058</v>
      </c>
      <c r="B4048" s="42" t="s">
        <v>4222</v>
      </c>
      <c r="C4048" s="42" t="s">
        <v>9785</v>
      </c>
      <c r="D4048" s="43" t="s">
        <v>230</v>
      </c>
      <c r="E4048" s="43" t="s">
        <v>92</v>
      </c>
      <c r="F4048" s="42" t="s">
        <v>11469</v>
      </c>
      <c r="G4048" t="s">
        <v>13197</v>
      </c>
    </row>
    <row r="4049" spans="1:7" x14ac:dyDescent="0.3">
      <c r="A4049" s="42" t="s">
        <v>4058</v>
      </c>
      <c r="B4049" s="42" t="s">
        <v>4223</v>
      </c>
      <c r="C4049" s="42" t="s">
        <v>9786</v>
      </c>
      <c r="D4049" s="43" t="s">
        <v>230</v>
      </c>
      <c r="E4049" s="43" t="s">
        <v>92</v>
      </c>
      <c r="F4049" s="42" t="s">
        <v>137</v>
      </c>
      <c r="G4049" t="s">
        <v>13197</v>
      </c>
    </row>
    <row r="4050" spans="1:7" x14ac:dyDescent="0.3">
      <c r="A4050" s="42" t="s">
        <v>4058</v>
      </c>
      <c r="B4050" s="42" t="s">
        <v>4224</v>
      </c>
      <c r="C4050" s="42" t="s">
        <v>9787</v>
      </c>
      <c r="D4050" s="43" t="s">
        <v>230</v>
      </c>
      <c r="E4050" s="43" t="s">
        <v>92</v>
      </c>
      <c r="F4050" s="42" t="s">
        <v>11469</v>
      </c>
      <c r="G4050" t="s">
        <v>13197</v>
      </c>
    </row>
    <row r="4051" spans="1:7" x14ac:dyDescent="0.3">
      <c r="A4051" s="42" t="s">
        <v>4058</v>
      </c>
      <c r="B4051" s="42" t="s">
        <v>4225</v>
      </c>
      <c r="C4051" s="42" t="s">
        <v>9788</v>
      </c>
      <c r="D4051" s="43" t="s">
        <v>230</v>
      </c>
      <c r="E4051" s="43" t="s">
        <v>92</v>
      </c>
      <c r="F4051" s="42" t="s">
        <v>11469</v>
      </c>
      <c r="G4051" t="s">
        <v>13197</v>
      </c>
    </row>
    <row r="4052" spans="1:7" x14ac:dyDescent="0.3">
      <c r="A4052" s="42" t="s">
        <v>4058</v>
      </c>
      <c r="B4052" s="42" t="s">
        <v>4226</v>
      </c>
      <c r="C4052" s="42" t="s">
        <v>9789</v>
      </c>
      <c r="D4052" s="43" t="s">
        <v>230</v>
      </c>
      <c r="E4052" s="43" t="s">
        <v>92</v>
      </c>
      <c r="F4052" s="42" t="s">
        <v>11469</v>
      </c>
      <c r="G4052" t="s">
        <v>13197</v>
      </c>
    </row>
    <row r="4053" spans="1:7" x14ac:dyDescent="0.3">
      <c r="A4053" s="42" t="s">
        <v>4058</v>
      </c>
      <c r="B4053" s="42" t="s">
        <v>4227</v>
      </c>
      <c r="C4053" s="42" t="s">
        <v>9790</v>
      </c>
      <c r="D4053" s="43" t="s">
        <v>230</v>
      </c>
      <c r="E4053" s="43" t="s">
        <v>92</v>
      </c>
      <c r="F4053" s="42" t="s">
        <v>192</v>
      </c>
      <c r="G4053" t="s">
        <v>13196</v>
      </c>
    </row>
    <row r="4054" spans="1:7" x14ac:dyDescent="0.3">
      <c r="A4054" s="42" t="s">
        <v>4058</v>
      </c>
      <c r="B4054" s="42" t="s">
        <v>4228</v>
      </c>
      <c r="C4054" s="42" t="s">
        <v>9791</v>
      </c>
      <c r="D4054" s="43" t="s">
        <v>230</v>
      </c>
      <c r="E4054" s="43" t="s">
        <v>92</v>
      </c>
      <c r="F4054" s="42" t="s">
        <v>11469</v>
      </c>
      <c r="G4054" t="s">
        <v>13197</v>
      </c>
    </row>
    <row r="4055" spans="1:7" x14ac:dyDescent="0.3">
      <c r="A4055" s="42" t="s">
        <v>4058</v>
      </c>
      <c r="B4055" s="42" t="s">
        <v>4229</v>
      </c>
      <c r="C4055" s="42" t="s">
        <v>9792</v>
      </c>
      <c r="D4055" s="43" t="s">
        <v>230</v>
      </c>
      <c r="E4055" s="43" t="s">
        <v>92</v>
      </c>
      <c r="F4055" s="42" t="s">
        <v>137</v>
      </c>
      <c r="G4055" t="s">
        <v>13197</v>
      </c>
    </row>
    <row r="4056" spans="1:7" x14ac:dyDescent="0.3">
      <c r="A4056" s="42" t="s">
        <v>4058</v>
      </c>
      <c r="B4056" s="42" t="s">
        <v>4230</v>
      </c>
      <c r="C4056" s="42" t="s">
        <v>9793</v>
      </c>
      <c r="D4056" s="43" t="s">
        <v>230</v>
      </c>
      <c r="E4056" s="43" t="s">
        <v>92</v>
      </c>
      <c r="F4056" s="42" t="s">
        <v>11469</v>
      </c>
      <c r="G4056" t="s">
        <v>13197</v>
      </c>
    </row>
    <row r="4057" spans="1:7" x14ac:dyDescent="0.3">
      <c r="A4057" s="42" t="s">
        <v>4058</v>
      </c>
      <c r="B4057" s="42" t="s">
        <v>4231</v>
      </c>
      <c r="C4057" s="42" t="s">
        <v>9794</v>
      </c>
      <c r="D4057" s="43" t="s">
        <v>230</v>
      </c>
      <c r="E4057" s="43" t="s">
        <v>92</v>
      </c>
      <c r="F4057" s="42" t="s">
        <v>11469</v>
      </c>
      <c r="G4057" t="s">
        <v>13197</v>
      </c>
    </row>
    <row r="4058" spans="1:7" x14ac:dyDescent="0.3">
      <c r="A4058" s="42" t="s">
        <v>4058</v>
      </c>
      <c r="B4058" s="42" t="s">
        <v>4232</v>
      </c>
      <c r="C4058" s="42" t="s">
        <v>9795</v>
      </c>
      <c r="D4058" s="43" t="s">
        <v>230</v>
      </c>
      <c r="E4058" s="43" t="s">
        <v>92</v>
      </c>
      <c r="F4058" s="42" t="s">
        <v>11469</v>
      </c>
      <c r="G4058" t="s">
        <v>13197</v>
      </c>
    </row>
    <row r="4059" spans="1:7" x14ac:dyDescent="0.3">
      <c r="A4059" s="42" t="s">
        <v>4058</v>
      </c>
      <c r="B4059" s="42" t="s">
        <v>4233</v>
      </c>
      <c r="C4059" s="42" t="s">
        <v>9796</v>
      </c>
      <c r="D4059" s="43" t="s">
        <v>230</v>
      </c>
      <c r="E4059" s="43" t="s">
        <v>92</v>
      </c>
      <c r="F4059" s="42" t="s">
        <v>11469</v>
      </c>
      <c r="G4059" t="s">
        <v>13197</v>
      </c>
    </row>
    <row r="4060" spans="1:7" x14ac:dyDescent="0.3">
      <c r="A4060" s="42" t="s">
        <v>4058</v>
      </c>
      <c r="B4060" s="42" t="s">
        <v>4234</v>
      </c>
      <c r="C4060" s="42" t="s">
        <v>9797</v>
      </c>
      <c r="D4060" s="43" t="s">
        <v>230</v>
      </c>
      <c r="E4060" s="43" t="s">
        <v>92</v>
      </c>
      <c r="F4060" s="42" t="s">
        <v>11469</v>
      </c>
      <c r="G4060" t="s">
        <v>13197</v>
      </c>
    </row>
    <row r="4061" spans="1:7" x14ac:dyDescent="0.3">
      <c r="A4061" s="42" t="s">
        <v>4058</v>
      </c>
      <c r="B4061" s="42" t="s">
        <v>4235</v>
      </c>
      <c r="C4061" s="42" t="s">
        <v>9798</v>
      </c>
      <c r="D4061" s="43" t="s">
        <v>230</v>
      </c>
      <c r="E4061" s="43" t="s">
        <v>92</v>
      </c>
      <c r="F4061" s="42" t="s">
        <v>11469</v>
      </c>
      <c r="G4061" t="s">
        <v>13197</v>
      </c>
    </row>
    <row r="4062" spans="1:7" x14ac:dyDescent="0.3">
      <c r="A4062" s="42" t="s">
        <v>4058</v>
      </c>
      <c r="B4062" s="42" t="s">
        <v>2534</v>
      </c>
      <c r="C4062" s="42" t="s">
        <v>9799</v>
      </c>
      <c r="D4062" s="43" t="s">
        <v>230</v>
      </c>
      <c r="E4062" s="43" t="s">
        <v>92</v>
      </c>
      <c r="F4062" s="42" t="s">
        <v>11469</v>
      </c>
      <c r="G4062" t="s">
        <v>13197</v>
      </c>
    </row>
    <row r="4063" spans="1:7" x14ac:dyDescent="0.3">
      <c r="A4063" s="42" t="s">
        <v>4058</v>
      </c>
      <c r="B4063" s="42" t="s">
        <v>4236</v>
      </c>
      <c r="C4063" s="42" t="s">
        <v>9800</v>
      </c>
      <c r="D4063" s="43" t="s">
        <v>230</v>
      </c>
      <c r="E4063" s="43" t="s">
        <v>92</v>
      </c>
      <c r="F4063" s="42" t="s">
        <v>137</v>
      </c>
      <c r="G4063" t="s">
        <v>13197</v>
      </c>
    </row>
    <row r="4064" spans="1:7" x14ac:dyDescent="0.3">
      <c r="A4064" s="42" t="s">
        <v>4058</v>
      </c>
      <c r="B4064" s="42" t="s">
        <v>4237</v>
      </c>
      <c r="C4064" s="42" t="s">
        <v>9801</v>
      </c>
      <c r="D4064" s="43" t="s">
        <v>230</v>
      </c>
      <c r="E4064" s="43" t="s">
        <v>92</v>
      </c>
      <c r="F4064" s="42" t="s">
        <v>11469</v>
      </c>
      <c r="G4064" t="s">
        <v>13197</v>
      </c>
    </row>
    <row r="4065" spans="1:7" x14ac:dyDescent="0.3">
      <c r="A4065" s="42" t="s">
        <v>4058</v>
      </c>
      <c r="B4065" s="42" t="s">
        <v>4238</v>
      </c>
      <c r="C4065" s="42" t="s">
        <v>9802</v>
      </c>
      <c r="D4065" s="43" t="s">
        <v>230</v>
      </c>
      <c r="E4065" s="43" t="s">
        <v>92</v>
      </c>
      <c r="F4065" s="42" t="s">
        <v>11469</v>
      </c>
      <c r="G4065" t="s">
        <v>13197</v>
      </c>
    </row>
    <row r="4066" spans="1:7" x14ac:dyDescent="0.3">
      <c r="A4066" s="42" t="s">
        <v>4058</v>
      </c>
      <c r="B4066" s="42" t="s">
        <v>4239</v>
      </c>
      <c r="C4066" s="42" t="s">
        <v>9803</v>
      </c>
      <c r="D4066" s="43" t="s">
        <v>230</v>
      </c>
      <c r="E4066" s="43" t="s">
        <v>92</v>
      </c>
      <c r="F4066" s="42" t="s">
        <v>11469</v>
      </c>
      <c r="G4066" t="s">
        <v>13197</v>
      </c>
    </row>
    <row r="4067" spans="1:7" x14ac:dyDescent="0.3">
      <c r="A4067" s="42" t="s">
        <v>4058</v>
      </c>
      <c r="B4067" s="42" t="s">
        <v>4240</v>
      </c>
      <c r="C4067" s="42" t="s">
        <v>9804</v>
      </c>
      <c r="D4067" s="43" t="s">
        <v>230</v>
      </c>
      <c r="E4067" s="43" t="s">
        <v>92</v>
      </c>
      <c r="F4067" s="42" t="s">
        <v>11469</v>
      </c>
      <c r="G4067" t="s">
        <v>13197</v>
      </c>
    </row>
    <row r="4068" spans="1:7" x14ac:dyDescent="0.3">
      <c r="A4068" s="42" t="s">
        <v>4058</v>
      </c>
      <c r="B4068" s="42" t="s">
        <v>4241</v>
      </c>
      <c r="C4068" s="42" t="s">
        <v>9805</v>
      </c>
      <c r="D4068" s="43" t="s">
        <v>230</v>
      </c>
      <c r="E4068" s="43" t="s">
        <v>92</v>
      </c>
      <c r="F4068" s="42" t="s">
        <v>11469</v>
      </c>
      <c r="G4068" t="s">
        <v>13197</v>
      </c>
    </row>
    <row r="4069" spans="1:7" x14ac:dyDescent="0.3">
      <c r="A4069" s="42" t="s">
        <v>4058</v>
      </c>
      <c r="B4069" s="42" t="s">
        <v>4242</v>
      </c>
      <c r="C4069" s="42" t="s">
        <v>9806</v>
      </c>
      <c r="D4069" s="43" t="s">
        <v>230</v>
      </c>
      <c r="E4069" s="43" t="s">
        <v>92</v>
      </c>
      <c r="F4069" s="42" t="s">
        <v>11469</v>
      </c>
      <c r="G4069" t="s">
        <v>13197</v>
      </c>
    </row>
    <row r="4070" spans="1:7" x14ac:dyDescent="0.3">
      <c r="A4070" s="42" t="s">
        <v>4058</v>
      </c>
      <c r="B4070" s="42" t="s">
        <v>4243</v>
      </c>
      <c r="C4070" s="42" t="s">
        <v>9807</v>
      </c>
      <c r="D4070" s="43" t="s">
        <v>230</v>
      </c>
      <c r="E4070" s="43" t="s">
        <v>92</v>
      </c>
      <c r="F4070" s="42" t="s">
        <v>11469</v>
      </c>
      <c r="G4070" t="s">
        <v>13197</v>
      </c>
    </row>
    <row r="4071" spans="1:7" x14ac:dyDescent="0.3">
      <c r="A4071" s="42" t="s">
        <v>4058</v>
      </c>
      <c r="B4071" s="42" t="s">
        <v>4244</v>
      </c>
      <c r="C4071" s="42" t="s">
        <v>9808</v>
      </c>
      <c r="D4071" s="43" t="s">
        <v>230</v>
      </c>
      <c r="E4071" s="43" t="s">
        <v>92</v>
      </c>
      <c r="F4071" s="42" t="s">
        <v>11469</v>
      </c>
      <c r="G4071" t="s">
        <v>13197</v>
      </c>
    </row>
    <row r="4072" spans="1:7" x14ac:dyDescent="0.3">
      <c r="A4072" s="42" t="s">
        <v>4058</v>
      </c>
      <c r="B4072" s="42" t="s">
        <v>4245</v>
      </c>
      <c r="C4072" s="42" t="s">
        <v>9809</v>
      </c>
      <c r="D4072" s="43" t="s">
        <v>230</v>
      </c>
      <c r="E4072" s="43" t="s">
        <v>92</v>
      </c>
      <c r="F4072" s="42" t="s">
        <v>11469</v>
      </c>
      <c r="G4072" t="s">
        <v>13197</v>
      </c>
    </row>
    <row r="4073" spans="1:7" x14ac:dyDescent="0.3">
      <c r="A4073" s="42" t="s">
        <v>4058</v>
      </c>
      <c r="B4073" s="42" t="s">
        <v>4246</v>
      </c>
      <c r="C4073" s="42" t="s">
        <v>9810</v>
      </c>
      <c r="D4073" s="43" t="s">
        <v>230</v>
      </c>
      <c r="E4073" s="43" t="s">
        <v>92</v>
      </c>
      <c r="F4073" s="42" t="s">
        <v>11469</v>
      </c>
      <c r="G4073" t="s">
        <v>13197</v>
      </c>
    </row>
    <row r="4074" spans="1:7" x14ac:dyDescent="0.3">
      <c r="A4074" s="42" t="s">
        <v>4058</v>
      </c>
      <c r="B4074" s="42" t="s">
        <v>4247</v>
      </c>
      <c r="C4074" s="42" t="s">
        <v>9811</v>
      </c>
      <c r="D4074" s="43" t="s">
        <v>230</v>
      </c>
      <c r="E4074" s="43" t="s">
        <v>92</v>
      </c>
      <c r="F4074" s="42" t="s">
        <v>11469</v>
      </c>
      <c r="G4074" t="s">
        <v>13197</v>
      </c>
    </row>
    <row r="4075" spans="1:7" x14ac:dyDescent="0.3">
      <c r="A4075" s="42" t="s">
        <v>4058</v>
      </c>
      <c r="B4075" s="42" t="s">
        <v>4248</v>
      </c>
      <c r="C4075" s="42" t="s">
        <v>9812</v>
      </c>
      <c r="D4075" s="43" t="s">
        <v>230</v>
      </c>
      <c r="E4075" s="43" t="s">
        <v>92</v>
      </c>
      <c r="F4075" s="42" t="s">
        <v>11469</v>
      </c>
      <c r="G4075" t="s">
        <v>13197</v>
      </c>
    </row>
    <row r="4076" spans="1:7" x14ac:dyDescent="0.3">
      <c r="A4076" s="42" t="s">
        <v>4058</v>
      </c>
      <c r="B4076" s="42" t="s">
        <v>4249</v>
      </c>
      <c r="C4076" s="42" t="s">
        <v>9813</v>
      </c>
      <c r="D4076" s="43" t="s">
        <v>230</v>
      </c>
      <c r="E4076" s="43" t="s">
        <v>92</v>
      </c>
      <c r="F4076" s="42" t="s">
        <v>11469</v>
      </c>
      <c r="G4076" t="s">
        <v>13197</v>
      </c>
    </row>
    <row r="4077" spans="1:7" x14ac:dyDescent="0.3">
      <c r="A4077" s="42" t="s">
        <v>4058</v>
      </c>
      <c r="B4077" s="42" t="s">
        <v>4250</v>
      </c>
      <c r="C4077" s="42" t="s">
        <v>9814</v>
      </c>
      <c r="D4077" s="43" t="s">
        <v>230</v>
      </c>
      <c r="E4077" s="43" t="s">
        <v>92</v>
      </c>
      <c r="F4077" s="42" t="s">
        <v>11469</v>
      </c>
      <c r="G4077" t="s">
        <v>13197</v>
      </c>
    </row>
    <row r="4078" spans="1:7" x14ac:dyDescent="0.3">
      <c r="A4078" s="42" t="s">
        <v>4058</v>
      </c>
      <c r="B4078" s="42" t="s">
        <v>4251</v>
      </c>
      <c r="C4078" s="42" t="s">
        <v>9815</v>
      </c>
      <c r="D4078" s="43" t="s">
        <v>230</v>
      </c>
      <c r="E4078" s="43" t="s">
        <v>92</v>
      </c>
      <c r="F4078" s="42" t="s">
        <v>11469</v>
      </c>
      <c r="G4078" t="s">
        <v>13197</v>
      </c>
    </row>
    <row r="4079" spans="1:7" x14ac:dyDescent="0.3">
      <c r="A4079" s="42" t="s">
        <v>4058</v>
      </c>
      <c r="B4079" s="42" t="s">
        <v>4252</v>
      </c>
      <c r="C4079" s="42" t="s">
        <v>9816</v>
      </c>
      <c r="D4079" s="43" t="s">
        <v>230</v>
      </c>
      <c r="E4079" s="43" t="s">
        <v>92</v>
      </c>
      <c r="F4079" s="42" t="s">
        <v>192</v>
      </c>
      <c r="G4079" t="s">
        <v>13196</v>
      </c>
    </row>
    <row r="4080" spans="1:7" x14ac:dyDescent="0.3">
      <c r="A4080" s="42" t="s">
        <v>4058</v>
      </c>
      <c r="B4080" s="42" t="s">
        <v>4253</v>
      </c>
      <c r="C4080" s="42" t="s">
        <v>9817</v>
      </c>
      <c r="D4080" s="43" t="s">
        <v>230</v>
      </c>
      <c r="E4080" s="43" t="s">
        <v>92</v>
      </c>
      <c r="F4080" s="42" t="s">
        <v>11469</v>
      </c>
      <c r="G4080" t="s">
        <v>13197</v>
      </c>
    </row>
    <row r="4081" spans="1:7" x14ac:dyDescent="0.3">
      <c r="A4081" s="42" t="s">
        <v>4058</v>
      </c>
      <c r="B4081" s="42" t="s">
        <v>4254</v>
      </c>
      <c r="C4081" s="42" t="s">
        <v>9818</v>
      </c>
      <c r="D4081" s="43" t="s">
        <v>230</v>
      </c>
      <c r="E4081" s="43" t="s">
        <v>92</v>
      </c>
      <c r="F4081" s="42" t="s">
        <v>137</v>
      </c>
      <c r="G4081" t="s">
        <v>13197</v>
      </c>
    </row>
    <row r="4082" spans="1:7" x14ac:dyDescent="0.3">
      <c r="A4082" s="42" t="s">
        <v>4058</v>
      </c>
      <c r="B4082" s="42" t="s">
        <v>4255</v>
      </c>
      <c r="C4082" s="42" t="s">
        <v>9819</v>
      </c>
      <c r="D4082" s="43" t="s">
        <v>230</v>
      </c>
      <c r="E4082" s="43" t="s">
        <v>92</v>
      </c>
      <c r="F4082" s="42" t="s">
        <v>11469</v>
      </c>
      <c r="G4082" t="s">
        <v>13197</v>
      </c>
    </row>
    <row r="4083" spans="1:7" x14ac:dyDescent="0.3">
      <c r="A4083" s="42" t="s">
        <v>4058</v>
      </c>
      <c r="B4083" s="42" t="s">
        <v>4256</v>
      </c>
      <c r="C4083" s="42" t="s">
        <v>9820</v>
      </c>
      <c r="D4083" s="43" t="s">
        <v>230</v>
      </c>
      <c r="E4083" s="43" t="s">
        <v>92</v>
      </c>
      <c r="F4083" s="42" t="s">
        <v>192</v>
      </c>
      <c r="G4083" t="s">
        <v>13196</v>
      </c>
    </row>
    <row r="4084" spans="1:7" x14ac:dyDescent="0.3">
      <c r="A4084" s="42" t="s">
        <v>4058</v>
      </c>
      <c r="B4084" s="42" t="s">
        <v>4257</v>
      </c>
      <c r="C4084" s="42" t="s">
        <v>9821</v>
      </c>
      <c r="D4084" s="43" t="s">
        <v>230</v>
      </c>
      <c r="E4084" s="43" t="s">
        <v>92</v>
      </c>
      <c r="F4084" s="42" t="s">
        <v>11469</v>
      </c>
      <c r="G4084" t="s">
        <v>13197</v>
      </c>
    </row>
    <row r="4085" spans="1:7" x14ac:dyDescent="0.3">
      <c r="A4085" s="42" t="s">
        <v>4058</v>
      </c>
      <c r="B4085" s="42" t="s">
        <v>4258</v>
      </c>
      <c r="C4085" s="42" t="s">
        <v>9822</v>
      </c>
      <c r="D4085" s="43" t="s">
        <v>230</v>
      </c>
      <c r="E4085" s="43" t="s">
        <v>92</v>
      </c>
      <c r="F4085" s="42" t="s">
        <v>11469</v>
      </c>
      <c r="G4085" t="s">
        <v>13197</v>
      </c>
    </row>
    <row r="4086" spans="1:7" x14ac:dyDescent="0.3">
      <c r="A4086" s="42" t="s">
        <v>4058</v>
      </c>
      <c r="B4086" s="42" t="s">
        <v>4259</v>
      </c>
      <c r="C4086" s="42" t="s">
        <v>9823</v>
      </c>
      <c r="D4086" s="43" t="s">
        <v>230</v>
      </c>
      <c r="E4086" s="43" t="s">
        <v>92</v>
      </c>
      <c r="F4086" s="42" t="s">
        <v>11469</v>
      </c>
      <c r="G4086" t="s">
        <v>13197</v>
      </c>
    </row>
    <row r="4087" spans="1:7" x14ac:dyDescent="0.3">
      <c r="A4087" s="42" t="s">
        <v>4058</v>
      </c>
      <c r="B4087" s="42" t="s">
        <v>4260</v>
      </c>
      <c r="C4087" s="42" t="s">
        <v>9824</v>
      </c>
      <c r="D4087" s="43" t="s">
        <v>230</v>
      </c>
      <c r="E4087" s="43" t="s">
        <v>92</v>
      </c>
      <c r="F4087" s="42" t="s">
        <v>11469</v>
      </c>
      <c r="G4087" t="s">
        <v>13197</v>
      </c>
    </row>
    <row r="4088" spans="1:7" x14ac:dyDescent="0.3">
      <c r="A4088" s="42" t="s">
        <v>4058</v>
      </c>
      <c r="B4088" s="42" t="s">
        <v>4261</v>
      </c>
      <c r="C4088" s="42" t="s">
        <v>9825</v>
      </c>
      <c r="D4088" s="43" t="s">
        <v>230</v>
      </c>
      <c r="E4088" s="43" t="s">
        <v>92</v>
      </c>
      <c r="F4088" s="42" t="s">
        <v>11469</v>
      </c>
      <c r="G4088" t="s">
        <v>13197</v>
      </c>
    </row>
    <row r="4089" spans="1:7" x14ac:dyDescent="0.3">
      <c r="A4089" s="42" t="s">
        <v>4058</v>
      </c>
      <c r="B4089" s="42" t="s">
        <v>4262</v>
      </c>
      <c r="C4089" s="42" t="s">
        <v>9826</v>
      </c>
      <c r="D4089" s="43" t="s">
        <v>230</v>
      </c>
      <c r="E4089" s="43" t="s">
        <v>92</v>
      </c>
      <c r="F4089" s="42" t="s">
        <v>11469</v>
      </c>
      <c r="G4089" t="s">
        <v>13197</v>
      </c>
    </row>
    <row r="4090" spans="1:7" x14ac:dyDescent="0.3">
      <c r="A4090" s="42" t="s">
        <v>4058</v>
      </c>
      <c r="B4090" s="42" t="s">
        <v>4263</v>
      </c>
      <c r="C4090" s="42" t="s">
        <v>9827</v>
      </c>
      <c r="D4090" s="43" t="s">
        <v>230</v>
      </c>
      <c r="E4090" s="43" t="s">
        <v>92</v>
      </c>
      <c r="F4090" s="42" t="s">
        <v>11469</v>
      </c>
      <c r="G4090" t="s">
        <v>13197</v>
      </c>
    </row>
    <row r="4091" spans="1:7" x14ac:dyDescent="0.3">
      <c r="A4091" s="42" t="s">
        <v>4058</v>
      </c>
      <c r="B4091" s="42" t="s">
        <v>4264</v>
      </c>
      <c r="C4091" s="42" t="s">
        <v>9828</v>
      </c>
      <c r="D4091" s="43" t="s">
        <v>230</v>
      </c>
      <c r="E4091" s="43" t="s">
        <v>92</v>
      </c>
      <c r="F4091" s="42" t="s">
        <v>11469</v>
      </c>
      <c r="G4091" t="s">
        <v>13197</v>
      </c>
    </row>
    <row r="4092" spans="1:7" x14ac:dyDescent="0.3">
      <c r="A4092" s="42" t="s">
        <v>4058</v>
      </c>
      <c r="B4092" s="42" t="s">
        <v>4265</v>
      </c>
      <c r="C4092" s="42" t="s">
        <v>9829</v>
      </c>
      <c r="D4092" s="43" t="s">
        <v>230</v>
      </c>
      <c r="E4092" s="43" t="s">
        <v>92</v>
      </c>
      <c r="F4092" s="42" t="s">
        <v>11469</v>
      </c>
      <c r="G4092" t="s">
        <v>13197</v>
      </c>
    </row>
    <row r="4093" spans="1:7" x14ac:dyDescent="0.3">
      <c r="A4093" s="42" t="s">
        <v>4058</v>
      </c>
      <c r="B4093" s="42" t="s">
        <v>4266</v>
      </c>
      <c r="C4093" s="42" t="s">
        <v>9830</v>
      </c>
      <c r="D4093" s="43" t="s">
        <v>230</v>
      </c>
      <c r="E4093" s="43" t="s">
        <v>92</v>
      </c>
      <c r="F4093" s="42" t="s">
        <v>11469</v>
      </c>
      <c r="G4093" t="s">
        <v>13197</v>
      </c>
    </row>
    <row r="4094" spans="1:7" x14ac:dyDescent="0.3">
      <c r="A4094" s="42" t="s">
        <v>4058</v>
      </c>
      <c r="B4094" s="42" t="s">
        <v>4267</v>
      </c>
      <c r="C4094" s="42" t="s">
        <v>9831</v>
      </c>
      <c r="D4094" s="43" t="s">
        <v>230</v>
      </c>
      <c r="E4094" s="43" t="s">
        <v>92</v>
      </c>
      <c r="F4094" s="42" t="s">
        <v>11469</v>
      </c>
      <c r="G4094" t="s">
        <v>13197</v>
      </c>
    </row>
    <row r="4095" spans="1:7" x14ac:dyDescent="0.3">
      <c r="A4095" s="42" t="s">
        <v>4058</v>
      </c>
      <c r="B4095" s="42" t="s">
        <v>4268</v>
      </c>
      <c r="C4095" s="42" t="s">
        <v>9832</v>
      </c>
      <c r="D4095" s="43" t="s">
        <v>230</v>
      </c>
      <c r="E4095" s="43" t="s">
        <v>92</v>
      </c>
      <c r="F4095" s="42" t="s">
        <v>11469</v>
      </c>
      <c r="G4095" t="s">
        <v>13197</v>
      </c>
    </row>
    <row r="4096" spans="1:7" x14ac:dyDescent="0.3">
      <c r="A4096" s="42" t="s">
        <v>4058</v>
      </c>
      <c r="B4096" s="42" t="s">
        <v>4269</v>
      </c>
      <c r="C4096" s="42" t="s">
        <v>9833</v>
      </c>
      <c r="D4096" s="43" t="s">
        <v>230</v>
      </c>
      <c r="E4096" s="43" t="s">
        <v>92</v>
      </c>
      <c r="F4096" s="42" t="s">
        <v>11469</v>
      </c>
      <c r="G4096" t="s">
        <v>13197</v>
      </c>
    </row>
    <row r="4097" spans="1:7" x14ac:dyDescent="0.3">
      <c r="A4097" s="42" t="s">
        <v>4058</v>
      </c>
      <c r="B4097" s="42" t="s">
        <v>4270</v>
      </c>
      <c r="C4097" s="42" t="s">
        <v>9834</v>
      </c>
      <c r="D4097" s="43" t="s">
        <v>230</v>
      </c>
      <c r="E4097" s="43" t="s">
        <v>92</v>
      </c>
      <c r="F4097" s="42" t="s">
        <v>11469</v>
      </c>
      <c r="G4097" t="s">
        <v>13197</v>
      </c>
    </row>
    <row r="4098" spans="1:7" x14ac:dyDescent="0.3">
      <c r="A4098" s="42" t="s">
        <v>4058</v>
      </c>
      <c r="B4098" s="42" t="s">
        <v>4271</v>
      </c>
      <c r="C4098" s="42" t="s">
        <v>9835</v>
      </c>
      <c r="D4098" s="43" t="s">
        <v>230</v>
      </c>
      <c r="E4098" s="43" t="s">
        <v>92</v>
      </c>
      <c r="F4098" s="42" t="s">
        <v>11469</v>
      </c>
      <c r="G4098" t="s">
        <v>13197</v>
      </c>
    </row>
    <row r="4099" spans="1:7" x14ac:dyDescent="0.3">
      <c r="A4099" s="42" t="s">
        <v>4058</v>
      </c>
      <c r="B4099" s="42" t="s">
        <v>4272</v>
      </c>
      <c r="C4099" s="42" t="s">
        <v>9836</v>
      </c>
      <c r="D4099" s="43" t="s">
        <v>230</v>
      </c>
      <c r="E4099" s="43" t="s">
        <v>92</v>
      </c>
      <c r="F4099" s="42" t="s">
        <v>11469</v>
      </c>
      <c r="G4099" t="s">
        <v>13197</v>
      </c>
    </row>
    <row r="4100" spans="1:7" x14ac:dyDescent="0.3">
      <c r="A4100" s="42" t="s">
        <v>4058</v>
      </c>
      <c r="B4100" s="42" t="s">
        <v>4273</v>
      </c>
      <c r="C4100" s="42" t="s">
        <v>9837</v>
      </c>
      <c r="D4100" s="43" t="s">
        <v>230</v>
      </c>
      <c r="E4100" s="43" t="s">
        <v>92</v>
      </c>
      <c r="F4100" s="42" t="s">
        <v>11469</v>
      </c>
      <c r="G4100" t="s">
        <v>13197</v>
      </c>
    </row>
    <row r="4101" spans="1:7" x14ac:dyDescent="0.3">
      <c r="A4101" s="42" t="s">
        <v>4058</v>
      </c>
      <c r="B4101" s="42" t="s">
        <v>4274</v>
      </c>
      <c r="C4101" s="42" t="s">
        <v>9838</v>
      </c>
      <c r="D4101" s="43" t="s">
        <v>230</v>
      </c>
      <c r="E4101" s="43" t="s">
        <v>92</v>
      </c>
      <c r="F4101" s="42" t="s">
        <v>11469</v>
      </c>
      <c r="G4101" t="s">
        <v>13197</v>
      </c>
    </row>
    <row r="4102" spans="1:7" x14ac:dyDescent="0.3">
      <c r="A4102" s="42" t="s">
        <v>4058</v>
      </c>
      <c r="B4102" s="42" t="s">
        <v>4275</v>
      </c>
      <c r="C4102" s="42" t="s">
        <v>9839</v>
      </c>
      <c r="D4102" s="43" t="s">
        <v>230</v>
      </c>
      <c r="E4102" s="43" t="s">
        <v>92</v>
      </c>
      <c r="F4102" s="42" t="s">
        <v>11469</v>
      </c>
      <c r="G4102" t="s">
        <v>13197</v>
      </c>
    </row>
    <row r="4103" spans="1:7" x14ac:dyDescent="0.3">
      <c r="A4103" s="42" t="s">
        <v>4058</v>
      </c>
      <c r="B4103" s="42" t="s">
        <v>4276</v>
      </c>
      <c r="C4103" s="42" t="s">
        <v>9840</v>
      </c>
      <c r="D4103" s="43" t="s">
        <v>230</v>
      </c>
      <c r="E4103" s="43" t="s">
        <v>92</v>
      </c>
      <c r="F4103" s="42" t="s">
        <v>11469</v>
      </c>
      <c r="G4103" t="s">
        <v>13197</v>
      </c>
    </row>
    <row r="4104" spans="1:7" x14ac:dyDescent="0.3">
      <c r="A4104" s="42" t="s">
        <v>4058</v>
      </c>
      <c r="B4104" s="42" t="s">
        <v>4277</v>
      </c>
      <c r="C4104" s="42" t="s">
        <v>9841</v>
      </c>
      <c r="D4104" s="43" t="s">
        <v>230</v>
      </c>
      <c r="E4104" s="43" t="s">
        <v>92</v>
      </c>
      <c r="F4104" s="42" t="s">
        <v>11469</v>
      </c>
      <c r="G4104" t="s">
        <v>13197</v>
      </c>
    </row>
    <row r="4105" spans="1:7" x14ac:dyDescent="0.3">
      <c r="A4105" s="42" t="s">
        <v>4058</v>
      </c>
      <c r="B4105" s="42" t="s">
        <v>3781</v>
      </c>
      <c r="C4105" s="42" t="s">
        <v>9842</v>
      </c>
      <c r="D4105" s="43" t="s">
        <v>230</v>
      </c>
      <c r="E4105" s="43" t="s">
        <v>92</v>
      </c>
      <c r="F4105" s="42" t="s">
        <v>11469</v>
      </c>
      <c r="G4105" t="s">
        <v>13197</v>
      </c>
    </row>
    <row r="4106" spans="1:7" x14ac:dyDescent="0.3">
      <c r="A4106" s="42" t="s">
        <v>4058</v>
      </c>
      <c r="B4106" s="42" t="s">
        <v>4278</v>
      </c>
      <c r="C4106" s="42" t="s">
        <v>9843</v>
      </c>
      <c r="D4106" s="43" t="s">
        <v>230</v>
      </c>
      <c r="E4106" s="43" t="s">
        <v>92</v>
      </c>
      <c r="F4106" s="42" t="s">
        <v>11469</v>
      </c>
      <c r="G4106" t="s">
        <v>13197</v>
      </c>
    </row>
    <row r="4107" spans="1:7" x14ac:dyDescent="0.3">
      <c r="A4107" s="42" t="s">
        <v>4058</v>
      </c>
      <c r="B4107" s="42" t="s">
        <v>4279</v>
      </c>
      <c r="C4107" s="42" t="s">
        <v>9844</v>
      </c>
      <c r="D4107" s="43" t="s">
        <v>230</v>
      </c>
      <c r="E4107" s="43" t="s">
        <v>92</v>
      </c>
      <c r="F4107" s="42" t="s">
        <v>11469</v>
      </c>
      <c r="G4107" t="s">
        <v>13197</v>
      </c>
    </row>
    <row r="4108" spans="1:7" x14ac:dyDescent="0.3">
      <c r="A4108" s="42" t="s">
        <v>4058</v>
      </c>
      <c r="B4108" s="42" t="s">
        <v>4280</v>
      </c>
      <c r="C4108" s="42" t="s">
        <v>9845</v>
      </c>
      <c r="D4108" s="43" t="s">
        <v>230</v>
      </c>
      <c r="E4108" s="43" t="s">
        <v>92</v>
      </c>
      <c r="F4108" s="42" t="s">
        <v>11469</v>
      </c>
      <c r="G4108" t="s">
        <v>13197</v>
      </c>
    </row>
    <row r="4109" spans="1:7" x14ac:dyDescent="0.3">
      <c r="A4109" s="42" t="s">
        <v>4058</v>
      </c>
      <c r="B4109" s="42" t="s">
        <v>4281</v>
      </c>
      <c r="C4109" s="42" t="s">
        <v>9846</v>
      </c>
      <c r="D4109" s="43" t="s">
        <v>230</v>
      </c>
      <c r="E4109" s="43" t="s">
        <v>92</v>
      </c>
      <c r="F4109" s="42" t="s">
        <v>11469</v>
      </c>
      <c r="G4109" t="s">
        <v>13197</v>
      </c>
    </row>
    <row r="4110" spans="1:7" x14ac:dyDescent="0.3">
      <c r="A4110" s="42" t="s">
        <v>4058</v>
      </c>
      <c r="B4110" s="42" t="s">
        <v>4282</v>
      </c>
      <c r="C4110" s="42" t="s">
        <v>9847</v>
      </c>
      <c r="D4110" s="43" t="s">
        <v>230</v>
      </c>
      <c r="E4110" s="43" t="s">
        <v>92</v>
      </c>
      <c r="F4110" s="42" t="s">
        <v>11469</v>
      </c>
      <c r="G4110" t="s">
        <v>13197</v>
      </c>
    </row>
    <row r="4111" spans="1:7" x14ac:dyDescent="0.3">
      <c r="A4111" s="42" t="s">
        <v>4058</v>
      </c>
      <c r="B4111" s="42" t="s">
        <v>4283</v>
      </c>
      <c r="C4111" s="42" t="s">
        <v>9848</v>
      </c>
      <c r="D4111" s="43" t="s">
        <v>230</v>
      </c>
      <c r="E4111" s="43" t="s">
        <v>92</v>
      </c>
      <c r="F4111" s="42" t="s">
        <v>11469</v>
      </c>
      <c r="G4111" t="s">
        <v>13198</v>
      </c>
    </row>
    <row r="4112" spans="1:7" x14ac:dyDescent="0.3">
      <c r="A4112" s="42" t="s">
        <v>4058</v>
      </c>
      <c r="B4112" s="42" t="s">
        <v>4284</v>
      </c>
      <c r="C4112" s="42" t="s">
        <v>9849</v>
      </c>
      <c r="D4112" s="43" t="s">
        <v>230</v>
      </c>
      <c r="E4112" s="43" t="s">
        <v>92</v>
      </c>
      <c r="F4112" s="42" t="s">
        <v>11469</v>
      </c>
      <c r="G4112" t="s">
        <v>13197</v>
      </c>
    </row>
    <row r="4113" spans="1:7" x14ac:dyDescent="0.3">
      <c r="A4113" s="42" t="s">
        <v>4058</v>
      </c>
      <c r="B4113" s="42" t="s">
        <v>4285</v>
      </c>
      <c r="C4113" s="42" t="s">
        <v>9850</v>
      </c>
      <c r="D4113" s="43" t="s">
        <v>230</v>
      </c>
      <c r="E4113" s="43" t="s">
        <v>92</v>
      </c>
      <c r="F4113" s="42" t="s">
        <v>11469</v>
      </c>
      <c r="G4113" t="s">
        <v>13197</v>
      </c>
    </row>
    <row r="4114" spans="1:7" x14ac:dyDescent="0.3">
      <c r="A4114" s="42" t="s">
        <v>4058</v>
      </c>
      <c r="B4114" s="42" t="s">
        <v>4286</v>
      </c>
      <c r="C4114" s="42" t="s">
        <v>9851</v>
      </c>
      <c r="D4114" s="43" t="s">
        <v>230</v>
      </c>
      <c r="E4114" s="43" t="s">
        <v>92</v>
      </c>
      <c r="F4114" s="42" t="s">
        <v>11469</v>
      </c>
      <c r="G4114" t="s">
        <v>13197</v>
      </c>
    </row>
    <row r="4115" spans="1:7" x14ac:dyDescent="0.3">
      <c r="A4115" s="42" t="s">
        <v>4058</v>
      </c>
      <c r="B4115" s="42" t="s">
        <v>4287</v>
      </c>
      <c r="C4115" s="42" t="s">
        <v>9852</v>
      </c>
      <c r="D4115" s="43" t="s">
        <v>230</v>
      </c>
      <c r="E4115" s="43" t="s">
        <v>92</v>
      </c>
      <c r="F4115" s="42" t="s">
        <v>11469</v>
      </c>
      <c r="G4115" t="s">
        <v>13197</v>
      </c>
    </row>
    <row r="4116" spans="1:7" x14ac:dyDescent="0.3">
      <c r="A4116" s="42" t="s">
        <v>4058</v>
      </c>
      <c r="B4116" s="42" t="s">
        <v>4288</v>
      </c>
      <c r="C4116" s="42" t="s">
        <v>9853</v>
      </c>
      <c r="D4116" s="43" t="s">
        <v>230</v>
      </c>
      <c r="E4116" s="43" t="s">
        <v>92</v>
      </c>
      <c r="F4116" s="42" t="s">
        <v>11469</v>
      </c>
      <c r="G4116" t="s">
        <v>13197</v>
      </c>
    </row>
    <row r="4117" spans="1:7" x14ac:dyDescent="0.3">
      <c r="A4117" s="42" t="s">
        <v>4058</v>
      </c>
      <c r="B4117" s="42" t="s">
        <v>4289</v>
      </c>
      <c r="C4117" s="42" t="s">
        <v>9854</v>
      </c>
      <c r="D4117" s="43" t="s">
        <v>230</v>
      </c>
      <c r="E4117" s="43" t="s">
        <v>92</v>
      </c>
      <c r="F4117" s="42" t="s">
        <v>192</v>
      </c>
      <c r="G4117" t="s">
        <v>13196</v>
      </c>
    </row>
    <row r="4118" spans="1:7" x14ac:dyDescent="0.3">
      <c r="A4118" s="42" t="s">
        <v>4058</v>
      </c>
      <c r="B4118" s="42" t="s">
        <v>4290</v>
      </c>
      <c r="C4118" s="42" t="s">
        <v>9855</v>
      </c>
      <c r="D4118" s="43" t="s">
        <v>230</v>
      </c>
      <c r="E4118" s="43" t="s">
        <v>92</v>
      </c>
      <c r="F4118" s="42" t="s">
        <v>11469</v>
      </c>
      <c r="G4118" t="s">
        <v>13197</v>
      </c>
    </row>
    <row r="4119" spans="1:7" x14ac:dyDescent="0.3">
      <c r="A4119" s="42" t="s">
        <v>4058</v>
      </c>
      <c r="B4119" s="42" t="s">
        <v>4291</v>
      </c>
      <c r="C4119" s="42" t="s">
        <v>9856</v>
      </c>
      <c r="D4119" s="43" t="s">
        <v>230</v>
      </c>
      <c r="E4119" s="43" t="s">
        <v>92</v>
      </c>
      <c r="F4119" s="42" t="s">
        <v>192</v>
      </c>
      <c r="G4119" t="s">
        <v>13196</v>
      </c>
    </row>
    <row r="4120" spans="1:7" x14ac:dyDescent="0.3">
      <c r="A4120" s="42" t="s">
        <v>4058</v>
      </c>
      <c r="B4120" s="42" t="s">
        <v>4292</v>
      </c>
      <c r="C4120" s="42" t="s">
        <v>9857</v>
      </c>
      <c r="D4120" s="43" t="s">
        <v>230</v>
      </c>
      <c r="E4120" s="43" t="s">
        <v>92</v>
      </c>
      <c r="F4120" s="42" t="s">
        <v>137</v>
      </c>
      <c r="G4120" t="s">
        <v>13197</v>
      </c>
    </row>
    <row r="4121" spans="1:7" x14ac:dyDescent="0.3">
      <c r="A4121" s="42" t="s">
        <v>4058</v>
      </c>
      <c r="B4121" s="42" t="s">
        <v>4293</v>
      </c>
      <c r="C4121" s="42" t="s">
        <v>9858</v>
      </c>
      <c r="D4121" s="43" t="s">
        <v>230</v>
      </c>
      <c r="E4121" s="43" t="s">
        <v>92</v>
      </c>
      <c r="F4121" s="42" t="s">
        <v>11469</v>
      </c>
      <c r="G4121" t="s">
        <v>13197</v>
      </c>
    </row>
    <row r="4122" spans="1:7" x14ac:dyDescent="0.3">
      <c r="A4122" s="42" t="s">
        <v>4058</v>
      </c>
      <c r="B4122" s="42" t="s">
        <v>4294</v>
      </c>
      <c r="C4122" s="42" t="s">
        <v>9859</v>
      </c>
      <c r="D4122" s="43" t="s">
        <v>230</v>
      </c>
      <c r="E4122" s="43" t="s">
        <v>92</v>
      </c>
      <c r="F4122" s="42" t="s">
        <v>11469</v>
      </c>
      <c r="G4122" t="s">
        <v>13197</v>
      </c>
    </row>
    <row r="4123" spans="1:7" x14ac:dyDescent="0.3">
      <c r="A4123" s="42" t="s">
        <v>4295</v>
      </c>
      <c r="B4123" s="42" t="s">
        <v>4296</v>
      </c>
      <c r="C4123" s="42" t="s">
        <v>9860</v>
      </c>
      <c r="D4123" s="43" t="s">
        <v>229</v>
      </c>
      <c r="E4123" s="43" t="s">
        <v>92</v>
      </c>
      <c r="F4123" s="42" t="s">
        <v>11469</v>
      </c>
      <c r="G4123" t="s">
        <v>13197</v>
      </c>
    </row>
    <row r="4124" spans="1:7" x14ac:dyDescent="0.3">
      <c r="A4124" s="42" t="s">
        <v>4295</v>
      </c>
      <c r="B4124" s="42" t="s">
        <v>4297</v>
      </c>
      <c r="C4124" s="42" t="s">
        <v>9861</v>
      </c>
      <c r="D4124" s="43" t="s">
        <v>229</v>
      </c>
      <c r="E4124" s="43" t="s">
        <v>92</v>
      </c>
      <c r="F4124" s="42" t="s">
        <v>192</v>
      </c>
      <c r="G4124" t="s">
        <v>13196</v>
      </c>
    </row>
    <row r="4125" spans="1:7" x14ac:dyDescent="0.3">
      <c r="A4125" s="42" t="s">
        <v>4295</v>
      </c>
      <c r="B4125" s="42" t="s">
        <v>4298</v>
      </c>
      <c r="C4125" s="42" t="s">
        <v>9862</v>
      </c>
      <c r="D4125" s="43" t="s">
        <v>229</v>
      </c>
      <c r="E4125" s="43" t="s">
        <v>92</v>
      </c>
      <c r="F4125" s="42" t="s">
        <v>11469</v>
      </c>
      <c r="G4125" t="s">
        <v>13197</v>
      </c>
    </row>
    <row r="4126" spans="1:7" x14ac:dyDescent="0.3">
      <c r="A4126" s="42" t="s">
        <v>4295</v>
      </c>
      <c r="B4126" s="42" t="s">
        <v>4299</v>
      </c>
      <c r="C4126" s="42" t="s">
        <v>9863</v>
      </c>
      <c r="D4126" s="43" t="s">
        <v>229</v>
      </c>
      <c r="E4126" s="43" t="s">
        <v>92</v>
      </c>
      <c r="F4126" s="42" t="s">
        <v>11469</v>
      </c>
      <c r="G4126" t="s">
        <v>13197</v>
      </c>
    </row>
    <row r="4127" spans="1:7" x14ac:dyDescent="0.3">
      <c r="A4127" s="42" t="s">
        <v>4295</v>
      </c>
      <c r="B4127" s="42" t="s">
        <v>4300</v>
      </c>
      <c r="C4127" s="42" t="s">
        <v>9864</v>
      </c>
      <c r="D4127" s="43" t="s">
        <v>229</v>
      </c>
      <c r="E4127" s="43" t="s">
        <v>92</v>
      </c>
      <c r="F4127" s="42" t="s">
        <v>11469</v>
      </c>
      <c r="G4127" t="s">
        <v>13197</v>
      </c>
    </row>
    <row r="4128" spans="1:7" x14ac:dyDescent="0.3">
      <c r="A4128" s="42" t="s">
        <v>4295</v>
      </c>
      <c r="B4128" s="42" t="s">
        <v>4301</v>
      </c>
      <c r="C4128" s="42" t="s">
        <v>9865</v>
      </c>
      <c r="D4128" s="43" t="s">
        <v>229</v>
      </c>
      <c r="E4128" s="43" t="s">
        <v>92</v>
      </c>
      <c r="F4128" s="42" t="s">
        <v>11469</v>
      </c>
      <c r="G4128" t="s">
        <v>13197</v>
      </c>
    </row>
    <row r="4129" spans="1:7" x14ac:dyDescent="0.3">
      <c r="A4129" s="42" t="s">
        <v>4295</v>
      </c>
      <c r="B4129" s="42" t="s">
        <v>4302</v>
      </c>
      <c r="C4129" s="42" t="s">
        <v>9866</v>
      </c>
      <c r="D4129" s="43" t="s">
        <v>229</v>
      </c>
      <c r="E4129" s="43" t="s">
        <v>92</v>
      </c>
      <c r="F4129" s="42" t="s">
        <v>11469</v>
      </c>
      <c r="G4129" t="s">
        <v>13197</v>
      </c>
    </row>
    <row r="4130" spans="1:7" x14ac:dyDescent="0.3">
      <c r="A4130" s="42" t="s">
        <v>4295</v>
      </c>
      <c r="B4130" s="42" t="s">
        <v>4303</v>
      </c>
      <c r="C4130" s="42" t="s">
        <v>9867</v>
      </c>
      <c r="D4130" s="43" t="s">
        <v>229</v>
      </c>
      <c r="E4130" s="43" t="s">
        <v>92</v>
      </c>
      <c r="F4130" s="42" t="s">
        <v>11469</v>
      </c>
      <c r="G4130" t="s">
        <v>13197</v>
      </c>
    </row>
    <row r="4131" spans="1:7" x14ac:dyDescent="0.3">
      <c r="A4131" s="42" t="s">
        <v>4295</v>
      </c>
      <c r="B4131" s="42" t="s">
        <v>4304</v>
      </c>
      <c r="C4131" s="42" t="s">
        <v>9868</v>
      </c>
      <c r="D4131" s="43" t="s">
        <v>229</v>
      </c>
      <c r="E4131" s="43" t="s">
        <v>92</v>
      </c>
      <c r="F4131" s="42" t="s">
        <v>11469</v>
      </c>
      <c r="G4131" t="s">
        <v>13197</v>
      </c>
    </row>
    <row r="4132" spans="1:7" x14ac:dyDescent="0.3">
      <c r="A4132" s="42" t="s">
        <v>4295</v>
      </c>
      <c r="B4132" s="42" t="s">
        <v>4305</v>
      </c>
      <c r="C4132" s="42" t="s">
        <v>9869</v>
      </c>
      <c r="D4132" s="43" t="s">
        <v>229</v>
      </c>
      <c r="E4132" s="43" t="s">
        <v>92</v>
      </c>
      <c r="F4132" s="42" t="s">
        <v>11469</v>
      </c>
      <c r="G4132" t="s">
        <v>13197</v>
      </c>
    </row>
    <row r="4133" spans="1:7" x14ac:dyDescent="0.3">
      <c r="A4133" s="42" t="s">
        <v>4295</v>
      </c>
      <c r="B4133" s="42" t="s">
        <v>4306</v>
      </c>
      <c r="C4133" s="42" t="s">
        <v>9870</v>
      </c>
      <c r="D4133" s="43" t="s">
        <v>229</v>
      </c>
      <c r="E4133" s="43" t="s">
        <v>92</v>
      </c>
      <c r="F4133" s="42" t="s">
        <v>11469</v>
      </c>
      <c r="G4133" t="s">
        <v>13197</v>
      </c>
    </row>
    <row r="4134" spans="1:7" x14ac:dyDescent="0.3">
      <c r="A4134" s="42" t="s">
        <v>4295</v>
      </c>
      <c r="B4134" s="42" t="s">
        <v>4307</v>
      </c>
      <c r="C4134" s="42" t="s">
        <v>9871</v>
      </c>
      <c r="D4134" s="43" t="s">
        <v>229</v>
      </c>
      <c r="E4134" s="43" t="s">
        <v>92</v>
      </c>
      <c r="F4134" s="42" t="s">
        <v>11469</v>
      </c>
      <c r="G4134" t="s">
        <v>13197</v>
      </c>
    </row>
    <row r="4135" spans="1:7" x14ac:dyDescent="0.3">
      <c r="A4135" s="42" t="s">
        <v>4295</v>
      </c>
      <c r="B4135" s="42" t="s">
        <v>4308</v>
      </c>
      <c r="C4135" s="42" t="s">
        <v>9872</v>
      </c>
      <c r="D4135" s="43" t="s">
        <v>229</v>
      </c>
      <c r="E4135" s="43" t="s">
        <v>92</v>
      </c>
      <c r="F4135" s="42" t="s">
        <v>11469</v>
      </c>
      <c r="G4135" t="s">
        <v>13197</v>
      </c>
    </row>
    <row r="4136" spans="1:7" x14ac:dyDescent="0.3">
      <c r="A4136" s="42" t="s">
        <v>4295</v>
      </c>
      <c r="B4136" s="42" t="s">
        <v>4309</v>
      </c>
      <c r="C4136" s="42" t="s">
        <v>9873</v>
      </c>
      <c r="D4136" s="43" t="s">
        <v>229</v>
      </c>
      <c r="E4136" s="43" t="s">
        <v>92</v>
      </c>
      <c r="F4136" s="42" t="s">
        <v>11469</v>
      </c>
      <c r="G4136" t="s">
        <v>13197</v>
      </c>
    </row>
    <row r="4137" spans="1:7" x14ac:dyDescent="0.3">
      <c r="A4137" s="42" t="s">
        <v>4295</v>
      </c>
      <c r="B4137" s="42" t="s">
        <v>4310</v>
      </c>
      <c r="C4137" s="42" t="s">
        <v>9874</v>
      </c>
      <c r="D4137" s="43" t="s">
        <v>229</v>
      </c>
      <c r="E4137" s="43" t="s">
        <v>92</v>
      </c>
      <c r="F4137" s="42" t="s">
        <v>11469</v>
      </c>
      <c r="G4137" t="s">
        <v>13197</v>
      </c>
    </row>
    <row r="4138" spans="1:7" x14ac:dyDescent="0.3">
      <c r="A4138" s="42" t="s">
        <v>4295</v>
      </c>
      <c r="B4138" s="42" t="s">
        <v>4311</v>
      </c>
      <c r="C4138" s="42" t="s">
        <v>9875</v>
      </c>
      <c r="D4138" s="43" t="s">
        <v>229</v>
      </c>
      <c r="E4138" s="43" t="s">
        <v>92</v>
      </c>
      <c r="F4138" s="42" t="s">
        <v>11469</v>
      </c>
      <c r="G4138" t="s">
        <v>13197</v>
      </c>
    </row>
    <row r="4139" spans="1:7" x14ac:dyDescent="0.3">
      <c r="A4139" s="42" t="s">
        <v>4295</v>
      </c>
      <c r="B4139" s="42" t="s">
        <v>4312</v>
      </c>
      <c r="C4139" s="42" t="s">
        <v>9876</v>
      </c>
      <c r="D4139" s="43" t="s">
        <v>229</v>
      </c>
      <c r="E4139" s="43" t="s">
        <v>92</v>
      </c>
      <c r="F4139" s="42" t="s">
        <v>11469</v>
      </c>
      <c r="G4139" t="s">
        <v>13197</v>
      </c>
    </row>
    <row r="4140" spans="1:7" x14ac:dyDescent="0.3">
      <c r="A4140" s="42" t="s">
        <v>4295</v>
      </c>
      <c r="B4140" s="42" t="s">
        <v>4313</v>
      </c>
      <c r="C4140" s="42" t="s">
        <v>9877</v>
      </c>
      <c r="D4140" s="43" t="s">
        <v>229</v>
      </c>
      <c r="E4140" s="43" t="s">
        <v>92</v>
      </c>
      <c r="F4140" s="42" t="s">
        <v>11469</v>
      </c>
      <c r="G4140" t="s">
        <v>13197</v>
      </c>
    </row>
    <row r="4141" spans="1:7" x14ac:dyDescent="0.3">
      <c r="A4141" s="42" t="s">
        <v>4295</v>
      </c>
      <c r="B4141" s="42" t="s">
        <v>4314</v>
      </c>
      <c r="C4141" s="42" t="s">
        <v>9878</v>
      </c>
      <c r="D4141" s="43" t="s">
        <v>229</v>
      </c>
      <c r="E4141" s="43" t="s">
        <v>92</v>
      </c>
      <c r="F4141" s="42" t="s">
        <v>11469</v>
      </c>
      <c r="G4141" t="s">
        <v>13197</v>
      </c>
    </row>
    <row r="4142" spans="1:7" x14ac:dyDescent="0.3">
      <c r="A4142" s="42" t="s">
        <v>4295</v>
      </c>
      <c r="B4142" s="42" t="s">
        <v>4315</v>
      </c>
      <c r="C4142" s="42" t="s">
        <v>9879</v>
      </c>
      <c r="D4142" s="43" t="s">
        <v>229</v>
      </c>
      <c r="E4142" s="43" t="s">
        <v>92</v>
      </c>
      <c r="F4142" s="42" t="s">
        <v>11469</v>
      </c>
      <c r="G4142" t="s">
        <v>13197</v>
      </c>
    </row>
    <row r="4143" spans="1:7" x14ac:dyDescent="0.3">
      <c r="A4143" s="42" t="s">
        <v>4295</v>
      </c>
      <c r="B4143" s="42" t="s">
        <v>4316</v>
      </c>
      <c r="C4143" s="42" t="s">
        <v>9880</v>
      </c>
      <c r="D4143" s="43" t="s">
        <v>229</v>
      </c>
      <c r="E4143" s="43" t="s">
        <v>92</v>
      </c>
      <c r="F4143" s="42" t="s">
        <v>11469</v>
      </c>
      <c r="G4143" t="s">
        <v>13197</v>
      </c>
    </row>
    <row r="4144" spans="1:7" x14ac:dyDescent="0.3">
      <c r="A4144" s="42" t="s">
        <v>4295</v>
      </c>
      <c r="B4144" s="42" t="s">
        <v>4317</v>
      </c>
      <c r="C4144" s="42" t="s">
        <v>9881</v>
      </c>
      <c r="D4144" s="43" t="s">
        <v>229</v>
      </c>
      <c r="E4144" s="43" t="s">
        <v>92</v>
      </c>
      <c r="F4144" s="42" t="s">
        <v>11469</v>
      </c>
      <c r="G4144" t="s">
        <v>13197</v>
      </c>
    </row>
    <row r="4145" spans="1:7" x14ac:dyDescent="0.3">
      <c r="A4145" s="42" t="s">
        <v>4295</v>
      </c>
      <c r="B4145" s="42" t="s">
        <v>4318</v>
      </c>
      <c r="C4145" s="42" t="s">
        <v>9882</v>
      </c>
      <c r="D4145" s="43" t="s">
        <v>229</v>
      </c>
      <c r="E4145" s="43" t="s">
        <v>92</v>
      </c>
      <c r="F4145" s="42" t="s">
        <v>11469</v>
      </c>
      <c r="G4145" t="s">
        <v>13197</v>
      </c>
    </row>
    <row r="4146" spans="1:7" x14ac:dyDescent="0.3">
      <c r="A4146" s="42" t="s">
        <v>4295</v>
      </c>
      <c r="B4146" s="42" t="s">
        <v>4319</v>
      </c>
      <c r="C4146" s="42" t="s">
        <v>9883</v>
      </c>
      <c r="D4146" s="43" t="s">
        <v>229</v>
      </c>
      <c r="E4146" s="43" t="s">
        <v>92</v>
      </c>
      <c r="F4146" s="42" t="s">
        <v>11469</v>
      </c>
      <c r="G4146" t="s">
        <v>13197</v>
      </c>
    </row>
    <row r="4147" spans="1:7" x14ac:dyDescent="0.3">
      <c r="A4147" s="42" t="s">
        <v>4295</v>
      </c>
      <c r="B4147" s="42" t="s">
        <v>4320</v>
      </c>
      <c r="C4147" s="42" t="s">
        <v>9884</v>
      </c>
      <c r="D4147" s="43" t="s">
        <v>229</v>
      </c>
      <c r="E4147" s="43" t="s">
        <v>92</v>
      </c>
      <c r="F4147" s="42" t="s">
        <v>11469</v>
      </c>
      <c r="G4147" t="s">
        <v>13197</v>
      </c>
    </row>
    <row r="4148" spans="1:7" x14ac:dyDescent="0.3">
      <c r="A4148" s="42" t="s">
        <v>4295</v>
      </c>
      <c r="B4148" s="42" t="s">
        <v>4321</v>
      </c>
      <c r="C4148" s="42" t="s">
        <v>9885</v>
      </c>
      <c r="D4148" s="43" t="s">
        <v>229</v>
      </c>
      <c r="E4148" s="43" t="s">
        <v>92</v>
      </c>
      <c r="F4148" s="42" t="s">
        <v>192</v>
      </c>
      <c r="G4148" t="s">
        <v>13196</v>
      </c>
    </row>
    <row r="4149" spans="1:7" x14ac:dyDescent="0.3">
      <c r="A4149" s="42" t="s">
        <v>4295</v>
      </c>
      <c r="B4149" s="42" t="s">
        <v>4322</v>
      </c>
      <c r="C4149" s="42" t="s">
        <v>9886</v>
      </c>
      <c r="D4149" s="43" t="s">
        <v>229</v>
      </c>
      <c r="E4149" s="43" t="s">
        <v>92</v>
      </c>
      <c r="F4149" s="42" t="s">
        <v>11469</v>
      </c>
      <c r="G4149" t="s">
        <v>13197</v>
      </c>
    </row>
    <row r="4150" spans="1:7" x14ac:dyDescent="0.3">
      <c r="A4150" s="42" t="s">
        <v>4295</v>
      </c>
      <c r="B4150" s="42" t="s">
        <v>4323</v>
      </c>
      <c r="C4150" s="42" t="s">
        <v>9887</v>
      </c>
      <c r="D4150" s="43" t="s">
        <v>229</v>
      </c>
      <c r="E4150" s="43" t="s">
        <v>92</v>
      </c>
      <c r="F4150" s="42" t="s">
        <v>11469</v>
      </c>
      <c r="G4150" t="s">
        <v>13197</v>
      </c>
    </row>
    <row r="4151" spans="1:7" x14ac:dyDescent="0.3">
      <c r="A4151" s="42" t="s">
        <v>4295</v>
      </c>
      <c r="B4151" s="42" t="s">
        <v>4324</v>
      </c>
      <c r="C4151" s="42" t="s">
        <v>9888</v>
      </c>
      <c r="D4151" s="43" t="s">
        <v>229</v>
      </c>
      <c r="E4151" s="43" t="s">
        <v>92</v>
      </c>
      <c r="F4151" s="42" t="s">
        <v>11469</v>
      </c>
      <c r="G4151" t="s">
        <v>13197</v>
      </c>
    </row>
    <row r="4152" spans="1:7" x14ac:dyDescent="0.3">
      <c r="A4152" s="42" t="s">
        <v>4295</v>
      </c>
      <c r="B4152" s="42" t="s">
        <v>4325</v>
      </c>
      <c r="C4152" s="42" t="s">
        <v>9889</v>
      </c>
      <c r="D4152" s="43" t="s">
        <v>229</v>
      </c>
      <c r="E4152" s="43" t="s">
        <v>92</v>
      </c>
      <c r="F4152" s="42" t="s">
        <v>11469</v>
      </c>
      <c r="G4152" t="s">
        <v>13197</v>
      </c>
    </row>
    <row r="4153" spans="1:7" x14ac:dyDescent="0.3">
      <c r="A4153" s="42" t="s">
        <v>4295</v>
      </c>
      <c r="B4153" s="42" t="s">
        <v>4326</v>
      </c>
      <c r="C4153" s="42" t="s">
        <v>9890</v>
      </c>
      <c r="D4153" s="43" t="s">
        <v>229</v>
      </c>
      <c r="E4153" s="43" t="s">
        <v>92</v>
      </c>
      <c r="F4153" s="42" t="s">
        <v>192</v>
      </c>
      <c r="G4153" t="s">
        <v>13196</v>
      </c>
    </row>
    <row r="4154" spans="1:7" x14ac:dyDescent="0.3">
      <c r="A4154" s="42" t="s">
        <v>4295</v>
      </c>
      <c r="B4154" s="42" t="s">
        <v>4327</v>
      </c>
      <c r="C4154" s="42" t="s">
        <v>9891</v>
      </c>
      <c r="D4154" s="43" t="s">
        <v>229</v>
      </c>
      <c r="E4154" s="43" t="s">
        <v>92</v>
      </c>
      <c r="F4154" s="42" t="s">
        <v>11469</v>
      </c>
      <c r="G4154" t="s">
        <v>13197</v>
      </c>
    </row>
    <row r="4155" spans="1:7" x14ac:dyDescent="0.3">
      <c r="A4155" s="42" t="s">
        <v>4295</v>
      </c>
      <c r="B4155" s="42" t="s">
        <v>4328</v>
      </c>
      <c r="C4155" s="42" t="s">
        <v>9892</v>
      </c>
      <c r="D4155" s="43" t="s">
        <v>229</v>
      </c>
      <c r="E4155" s="43" t="s">
        <v>92</v>
      </c>
      <c r="F4155" s="42" t="s">
        <v>11469</v>
      </c>
      <c r="G4155" t="s">
        <v>13197</v>
      </c>
    </row>
    <row r="4156" spans="1:7" x14ac:dyDescent="0.3">
      <c r="A4156" s="42" t="s">
        <v>4295</v>
      </c>
      <c r="B4156" s="42" t="s">
        <v>4329</v>
      </c>
      <c r="C4156" s="42" t="s">
        <v>9893</v>
      </c>
      <c r="D4156" s="43" t="s">
        <v>229</v>
      </c>
      <c r="E4156" s="43" t="s">
        <v>92</v>
      </c>
      <c r="F4156" s="42" t="s">
        <v>11469</v>
      </c>
      <c r="G4156" t="s">
        <v>13197</v>
      </c>
    </row>
    <row r="4157" spans="1:7" x14ac:dyDescent="0.3">
      <c r="A4157" s="42" t="s">
        <v>4295</v>
      </c>
      <c r="B4157" s="42" t="s">
        <v>4330</v>
      </c>
      <c r="C4157" s="42" t="s">
        <v>9894</v>
      </c>
      <c r="D4157" s="43" t="s">
        <v>229</v>
      </c>
      <c r="E4157" s="43" t="s">
        <v>92</v>
      </c>
      <c r="F4157" s="42" t="s">
        <v>11469</v>
      </c>
      <c r="G4157" t="s">
        <v>13197</v>
      </c>
    </row>
    <row r="4158" spans="1:7" x14ac:dyDescent="0.3">
      <c r="A4158" s="42" t="s">
        <v>4295</v>
      </c>
      <c r="B4158" s="42" t="s">
        <v>4331</v>
      </c>
      <c r="C4158" s="42" t="s">
        <v>9895</v>
      </c>
      <c r="D4158" s="43" t="s">
        <v>229</v>
      </c>
      <c r="E4158" s="43" t="s">
        <v>92</v>
      </c>
      <c r="F4158" s="42" t="s">
        <v>11469</v>
      </c>
      <c r="G4158" t="s">
        <v>13197</v>
      </c>
    </row>
    <row r="4159" spans="1:7" x14ac:dyDescent="0.3">
      <c r="A4159" s="42" t="s">
        <v>4295</v>
      </c>
      <c r="B4159" s="42" t="s">
        <v>4332</v>
      </c>
      <c r="C4159" s="42" t="s">
        <v>9896</v>
      </c>
      <c r="D4159" s="43" t="s">
        <v>229</v>
      </c>
      <c r="E4159" s="43" t="s">
        <v>92</v>
      </c>
      <c r="F4159" s="42" t="s">
        <v>11469</v>
      </c>
      <c r="G4159" t="s">
        <v>13197</v>
      </c>
    </row>
    <row r="4160" spans="1:7" x14ac:dyDescent="0.3">
      <c r="A4160" s="42" t="s">
        <v>4295</v>
      </c>
      <c r="B4160" s="42" t="s">
        <v>4333</v>
      </c>
      <c r="C4160" s="42" t="s">
        <v>9897</v>
      </c>
      <c r="D4160" s="43" t="s">
        <v>229</v>
      </c>
      <c r="E4160" s="43" t="s">
        <v>92</v>
      </c>
      <c r="F4160" s="42" t="s">
        <v>11469</v>
      </c>
      <c r="G4160" t="s">
        <v>13197</v>
      </c>
    </row>
    <row r="4161" spans="1:7" x14ac:dyDescent="0.3">
      <c r="A4161" s="42" t="s">
        <v>4295</v>
      </c>
      <c r="B4161" s="42" t="s">
        <v>4334</v>
      </c>
      <c r="C4161" s="42" t="s">
        <v>9898</v>
      </c>
      <c r="D4161" s="43" t="s">
        <v>229</v>
      </c>
      <c r="E4161" s="43" t="s">
        <v>92</v>
      </c>
      <c r="F4161" s="42" t="s">
        <v>11469</v>
      </c>
      <c r="G4161" t="s">
        <v>13197</v>
      </c>
    </row>
    <row r="4162" spans="1:7" x14ac:dyDescent="0.3">
      <c r="A4162" s="42" t="s">
        <v>4295</v>
      </c>
      <c r="B4162" s="42" t="s">
        <v>4335</v>
      </c>
      <c r="C4162" s="42" t="s">
        <v>9899</v>
      </c>
      <c r="D4162" s="43" t="s">
        <v>229</v>
      </c>
      <c r="E4162" s="43" t="s">
        <v>92</v>
      </c>
      <c r="F4162" s="42" t="s">
        <v>11469</v>
      </c>
      <c r="G4162" t="s">
        <v>13197</v>
      </c>
    </row>
    <row r="4163" spans="1:7" x14ac:dyDescent="0.3">
      <c r="A4163" s="42" t="s">
        <v>4295</v>
      </c>
      <c r="B4163" s="42" t="s">
        <v>4336</v>
      </c>
      <c r="C4163" s="42" t="s">
        <v>9900</v>
      </c>
      <c r="D4163" s="43" t="s">
        <v>229</v>
      </c>
      <c r="E4163" s="43" t="s">
        <v>92</v>
      </c>
      <c r="F4163" s="42" t="s">
        <v>11469</v>
      </c>
      <c r="G4163" t="s">
        <v>13197</v>
      </c>
    </row>
    <row r="4164" spans="1:7" x14ac:dyDescent="0.3">
      <c r="A4164" s="42" t="s">
        <v>4295</v>
      </c>
      <c r="B4164" s="42" t="s">
        <v>4337</v>
      </c>
      <c r="C4164" s="42" t="s">
        <v>9901</v>
      </c>
      <c r="D4164" s="43" t="s">
        <v>229</v>
      </c>
      <c r="E4164" s="43" t="s">
        <v>92</v>
      </c>
      <c r="F4164" s="42" t="s">
        <v>11469</v>
      </c>
      <c r="G4164" t="s">
        <v>13197</v>
      </c>
    </row>
    <row r="4165" spans="1:7" x14ac:dyDescent="0.3">
      <c r="A4165" s="42" t="s">
        <v>4295</v>
      </c>
      <c r="B4165" s="42" t="s">
        <v>4338</v>
      </c>
      <c r="C4165" s="42" t="s">
        <v>9902</v>
      </c>
      <c r="D4165" s="43" t="s">
        <v>229</v>
      </c>
      <c r="E4165" s="43" t="s">
        <v>92</v>
      </c>
      <c r="F4165" s="42" t="s">
        <v>11469</v>
      </c>
      <c r="G4165" t="s">
        <v>13197</v>
      </c>
    </row>
    <row r="4166" spans="1:7" x14ac:dyDescent="0.3">
      <c r="A4166" s="42" t="s">
        <v>4295</v>
      </c>
      <c r="B4166" s="42" t="s">
        <v>4339</v>
      </c>
      <c r="C4166" s="42" t="s">
        <v>9903</v>
      </c>
      <c r="D4166" s="43" t="s">
        <v>229</v>
      </c>
      <c r="E4166" s="43" t="s">
        <v>92</v>
      </c>
      <c r="F4166" s="42" t="s">
        <v>11469</v>
      </c>
      <c r="G4166" t="s">
        <v>13197</v>
      </c>
    </row>
    <row r="4167" spans="1:7" x14ac:dyDescent="0.3">
      <c r="A4167" s="42" t="s">
        <v>4295</v>
      </c>
      <c r="B4167" s="42" t="s">
        <v>4340</v>
      </c>
      <c r="C4167" s="42" t="s">
        <v>9904</v>
      </c>
      <c r="D4167" s="43" t="s">
        <v>229</v>
      </c>
      <c r="E4167" s="43" t="s">
        <v>92</v>
      </c>
      <c r="F4167" s="42" t="s">
        <v>11469</v>
      </c>
      <c r="G4167" t="s">
        <v>13197</v>
      </c>
    </row>
    <row r="4168" spans="1:7" x14ac:dyDescent="0.3">
      <c r="A4168" s="42" t="s">
        <v>4295</v>
      </c>
      <c r="B4168" s="42" t="s">
        <v>4341</v>
      </c>
      <c r="C4168" s="42" t="s">
        <v>9905</v>
      </c>
      <c r="D4168" s="43" t="s">
        <v>229</v>
      </c>
      <c r="E4168" s="43" t="s">
        <v>92</v>
      </c>
      <c r="F4168" s="42" t="s">
        <v>11469</v>
      </c>
      <c r="G4168" t="s">
        <v>13197</v>
      </c>
    </row>
    <row r="4169" spans="1:7" x14ac:dyDescent="0.3">
      <c r="A4169" s="42" t="s">
        <v>4295</v>
      </c>
      <c r="B4169" s="42" t="s">
        <v>4342</v>
      </c>
      <c r="C4169" s="42" t="s">
        <v>9906</v>
      </c>
      <c r="D4169" s="43" t="s">
        <v>229</v>
      </c>
      <c r="E4169" s="43" t="s">
        <v>92</v>
      </c>
      <c r="F4169" s="42" t="s">
        <v>11469</v>
      </c>
      <c r="G4169" t="s">
        <v>13197</v>
      </c>
    </row>
    <row r="4170" spans="1:7" x14ac:dyDescent="0.3">
      <c r="A4170" s="42" t="s">
        <v>4295</v>
      </c>
      <c r="B4170" s="42" t="s">
        <v>4343</v>
      </c>
      <c r="C4170" s="42" t="s">
        <v>9907</v>
      </c>
      <c r="D4170" s="43" t="s">
        <v>229</v>
      </c>
      <c r="E4170" s="43" t="s">
        <v>92</v>
      </c>
      <c r="F4170" s="42" t="s">
        <v>11469</v>
      </c>
      <c r="G4170" t="s">
        <v>13197</v>
      </c>
    </row>
    <row r="4171" spans="1:7" x14ac:dyDescent="0.3">
      <c r="A4171" s="42" t="s">
        <v>4295</v>
      </c>
      <c r="B4171" s="42" t="s">
        <v>4344</v>
      </c>
      <c r="C4171" s="42" t="s">
        <v>9908</v>
      </c>
      <c r="D4171" s="43" t="s">
        <v>229</v>
      </c>
      <c r="E4171" s="43" t="s">
        <v>92</v>
      </c>
      <c r="F4171" s="42" t="s">
        <v>11469</v>
      </c>
      <c r="G4171" t="s">
        <v>13197</v>
      </c>
    </row>
    <row r="4172" spans="1:7" x14ac:dyDescent="0.3">
      <c r="A4172" s="42" t="s">
        <v>4295</v>
      </c>
      <c r="B4172" s="42" t="s">
        <v>4345</v>
      </c>
      <c r="C4172" s="42" t="s">
        <v>9909</v>
      </c>
      <c r="D4172" s="43" t="s">
        <v>229</v>
      </c>
      <c r="E4172" s="43" t="s">
        <v>92</v>
      </c>
      <c r="F4172" s="42" t="s">
        <v>11469</v>
      </c>
      <c r="G4172" t="s">
        <v>13197</v>
      </c>
    </row>
    <row r="4173" spans="1:7" x14ac:dyDescent="0.3">
      <c r="A4173" s="42" t="s">
        <v>4295</v>
      </c>
      <c r="B4173" s="42" t="s">
        <v>4346</v>
      </c>
      <c r="C4173" s="42" t="s">
        <v>9910</v>
      </c>
      <c r="D4173" s="43" t="s">
        <v>229</v>
      </c>
      <c r="E4173" s="43" t="s">
        <v>92</v>
      </c>
      <c r="F4173" s="42" t="s">
        <v>11469</v>
      </c>
      <c r="G4173" t="s">
        <v>13197</v>
      </c>
    </row>
    <row r="4174" spans="1:7" x14ac:dyDescent="0.3">
      <c r="A4174" s="42" t="s">
        <v>4295</v>
      </c>
      <c r="B4174" s="42" t="s">
        <v>4347</v>
      </c>
      <c r="C4174" s="42" t="s">
        <v>9911</v>
      </c>
      <c r="D4174" s="43" t="s">
        <v>229</v>
      </c>
      <c r="E4174" s="43" t="s">
        <v>92</v>
      </c>
      <c r="F4174" s="42" t="s">
        <v>11469</v>
      </c>
      <c r="G4174" t="s">
        <v>13197</v>
      </c>
    </row>
    <row r="4175" spans="1:7" x14ac:dyDescent="0.3">
      <c r="A4175" s="42" t="s">
        <v>4295</v>
      </c>
      <c r="B4175" s="42" t="s">
        <v>4348</v>
      </c>
      <c r="C4175" s="42" t="s">
        <v>9912</v>
      </c>
      <c r="D4175" s="43" t="s">
        <v>229</v>
      </c>
      <c r="E4175" s="43" t="s">
        <v>92</v>
      </c>
      <c r="F4175" s="42" t="s">
        <v>11469</v>
      </c>
      <c r="G4175" t="s">
        <v>13197</v>
      </c>
    </row>
    <row r="4176" spans="1:7" x14ac:dyDescent="0.3">
      <c r="A4176" s="42" t="s">
        <v>4295</v>
      </c>
      <c r="B4176" s="42" t="s">
        <v>4349</v>
      </c>
      <c r="C4176" s="42" t="s">
        <v>9913</v>
      </c>
      <c r="D4176" s="43" t="s">
        <v>229</v>
      </c>
      <c r="E4176" s="43" t="s">
        <v>92</v>
      </c>
      <c r="F4176" s="42" t="s">
        <v>11469</v>
      </c>
      <c r="G4176" t="s">
        <v>13197</v>
      </c>
    </row>
    <row r="4177" spans="1:7" x14ac:dyDescent="0.3">
      <c r="A4177" s="42" t="s">
        <v>4295</v>
      </c>
      <c r="B4177" s="42" t="s">
        <v>4350</v>
      </c>
      <c r="C4177" s="42" t="s">
        <v>9914</v>
      </c>
      <c r="D4177" s="43" t="s">
        <v>229</v>
      </c>
      <c r="E4177" s="43" t="s">
        <v>92</v>
      </c>
      <c r="F4177" s="42" t="s">
        <v>11469</v>
      </c>
      <c r="G4177" t="s">
        <v>13197</v>
      </c>
    </row>
    <row r="4178" spans="1:7" x14ac:dyDescent="0.3">
      <c r="A4178" s="42" t="s">
        <v>4295</v>
      </c>
      <c r="B4178" s="42" t="s">
        <v>4351</v>
      </c>
      <c r="C4178" s="42" t="s">
        <v>9915</v>
      </c>
      <c r="D4178" s="43" t="s">
        <v>229</v>
      </c>
      <c r="E4178" s="43" t="s">
        <v>92</v>
      </c>
      <c r="F4178" s="42" t="s">
        <v>11469</v>
      </c>
      <c r="G4178" t="s">
        <v>13197</v>
      </c>
    </row>
    <row r="4179" spans="1:7" x14ac:dyDescent="0.3">
      <c r="A4179" s="42" t="s">
        <v>4295</v>
      </c>
      <c r="B4179" s="42" t="s">
        <v>4352</v>
      </c>
      <c r="C4179" s="42" t="s">
        <v>9916</v>
      </c>
      <c r="D4179" s="43" t="s">
        <v>229</v>
      </c>
      <c r="E4179" s="43" t="s">
        <v>92</v>
      </c>
      <c r="F4179" s="42" t="s">
        <v>11469</v>
      </c>
      <c r="G4179" t="s">
        <v>13197</v>
      </c>
    </row>
    <row r="4180" spans="1:7" x14ac:dyDescent="0.3">
      <c r="A4180" s="42" t="s">
        <v>4295</v>
      </c>
      <c r="B4180" s="42" t="s">
        <v>4353</v>
      </c>
      <c r="C4180" s="42" t="s">
        <v>9917</v>
      </c>
      <c r="D4180" s="43" t="s">
        <v>229</v>
      </c>
      <c r="E4180" s="43" t="s">
        <v>92</v>
      </c>
      <c r="F4180" s="42" t="s">
        <v>11469</v>
      </c>
      <c r="G4180" t="s">
        <v>13197</v>
      </c>
    </row>
    <row r="4181" spans="1:7" x14ac:dyDescent="0.3">
      <c r="A4181" s="42" t="s">
        <v>4295</v>
      </c>
      <c r="B4181" s="42" t="s">
        <v>4354</v>
      </c>
      <c r="C4181" s="42" t="s">
        <v>9918</v>
      </c>
      <c r="D4181" s="43" t="s">
        <v>229</v>
      </c>
      <c r="E4181" s="43" t="s">
        <v>92</v>
      </c>
      <c r="F4181" s="42" t="s">
        <v>11469</v>
      </c>
      <c r="G4181" t="s">
        <v>13197</v>
      </c>
    </row>
    <row r="4182" spans="1:7" x14ac:dyDescent="0.3">
      <c r="A4182" s="42" t="s">
        <v>4295</v>
      </c>
      <c r="B4182" s="42" t="s">
        <v>4355</v>
      </c>
      <c r="C4182" s="42" t="s">
        <v>9919</v>
      </c>
      <c r="D4182" s="43" t="s">
        <v>229</v>
      </c>
      <c r="E4182" s="43" t="s">
        <v>92</v>
      </c>
      <c r="F4182" s="42" t="s">
        <v>11469</v>
      </c>
      <c r="G4182" t="s">
        <v>13197</v>
      </c>
    </row>
    <row r="4183" spans="1:7" x14ac:dyDescent="0.3">
      <c r="A4183" s="42" t="s">
        <v>4295</v>
      </c>
      <c r="B4183" s="42" t="s">
        <v>4356</v>
      </c>
      <c r="C4183" s="42" t="s">
        <v>9920</v>
      </c>
      <c r="D4183" s="43" t="s">
        <v>229</v>
      </c>
      <c r="E4183" s="43" t="s">
        <v>92</v>
      </c>
      <c r="F4183" s="42" t="s">
        <v>11469</v>
      </c>
      <c r="G4183" t="s">
        <v>13197</v>
      </c>
    </row>
    <row r="4184" spans="1:7" x14ac:dyDescent="0.3">
      <c r="A4184" s="42" t="s">
        <v>4295</v>
      </c>
      <c r="B4184" s="42" t="s">
        <v>4357</v>
      </c>
      <c r="C4184" s="42" t="s">
        <v>9921</v>
      </c>
      <c r="D4184" s="43" t="s">
        <v>229</v>
      </c>
      <c r="E4184" s="43" t="s">
        <v>92</v>
      </c>
      <c r="F4184" s="42" t="s">
        <v>11469</v>
      </c>
      <c r="G4184" t="s">
        <v>13197</v>
      </c>
    </row>
    <row r="4185" spans="1:7" x14ac:dyDescent="0.3">
      <c r="A4185" s="42" t="s">
        <v>4295</v>
      </c>
      <c r="B4185" s="42" t="s">
        <v>4358</v>
      </c>
      <c r="C4185" s="42" t="s">
        <v>9922</v>
      </c>
      <c r="D4185" s="43" t="s">
        <v>229</v>
      </c>
      <c r="E4185" s="43" t="s">
        <v>92</v>
      </c>
      <c r="F4185" s="42" t="s">
        <v>11469</v>
      </c>
      <c r="G4185" t="s">
        <v>13197</v>
      </c>
    </row>
    <row r="4186" spans="1:7" x14ac:dyDescent="0.3">
      <c r="A4186" s="42" t="s">
        <v>4295</v>
      </c>
      <c r="B4186" s="42" t="s">
        <v>4359</v>
      </c>
      <c r="C4186" s="42" t="s">
        <v>9923</v>
      </c>
      <c r="D4186" s="43" t="s">
        <v>229</v>
      </c>
      <c r="E4186" s="43" t="s">
        <v>92</v>
      </c>
      <c r="F4186" s="42" t="s">
        <v>11469</v>
      </c>
      <c r="G4186" t="s">
        <v>13197</v>
      </c>
    </row>
    <row r="4187" spans="1:7" x14ac:dyDescent="0.3">
      <c r="A4187" s="42" t="s">
        <v>4295</v>
      </c>
      <c r="B4187" s="42" t="s">
        <v>4360</v>
      </c>
      <c r="C4187" s="42" t="s">
        <v>9924</v>
      </c>
      <c r="D4187" s="43" t="s">
        <v>229</v>
      </c>
      <c r="E4187" s="43" t="s">
        <v>92</v>
      </c>
      <c r="F4187" s="42" t="s">
        <v>11469</v>
      </c>
      <c r="G4187" t="s">
        <v>13197</v>
      </c>
    </row>
    <row r="4188" spans="1:7" x14ac:dyDescent="0.3">
      <c r="A4188" s="42" t="s">
        <v>4295</v>
      </c>
      <c r="B4188" s="42" t="s">
        <v>4361</v>
      </c>
      <c r="C4188" s="42" t="s">
        <v>9925</v>
      </c>
      <c r="D4188" s="43" t="s">
        <v>229</v>
      </c>
      <c r="E4188" s="43" t="s">
        <v>92</v>
      </c>
      <c r="F4188" s="42" t="s">
        <v>11469</v>
      </c>
      <c r="G4188" t="s">
        <v>13197</v>
      </c>
    </row>
    <row r="4189" spans="1:7" x14ac:dyDescent="0.3">
      <c r="A4189" s="42" t="s">
        <v>4295</v>
      </c>
      <c r="B4189" s="42" t="s">
        <v>4362</v>
      </c>
      <c r="C4189" s="42" t="s">
        <v>9926</v>
      </c>
      <c r="D4189" s="43" t="s">
        <v>229</v>
      </c>
      <c r="E4189" s="43" t="s">
        <v>92</v>
      </c>
      <c r="F4189" s="42" t="s">
        <v>11469</v>
      </c>
      <c r="G4189" t="s">
        <v>13197</v>
      </c>
    </row>
    <row r="4190" spans="1:7" x14ac:dyDescent="0.3">
      <c r="A4190" s="42" t="s">
        <v>4295</v>
      </c>
      <c r="B4190" s="42" t="s">
        <v>4363</v>
      </c>
      <c r="C4190" s="42" t="s">
        <v>9927</v>
      </c>
      <c r="D4190" s="43" t="s">
        <v>229</v>
      </c>
      <c r="E4190" s="43" t="s">
        <v>92</v>
      </c>
      <c r="F4190" s="42" t="s">
        <v>11469</v>
      </c>
      <c r="G4190" t="s">
        <v>13197</v>
      </c>
    </row>
    <row r="4191" spans="1:7" x14ac:dyDescent="0.3">
      <c r="A4191" s="42" t="s">
        <v>4295</v>
      </c>
      <c r="B4191" s="42" t="s">
        <v>4096</v>
      </c>
      <c r="C4191" s="42" t="s">
        <v>9928</v>
      </c>
      <c r="D4191" s="43" t="s">
        <v>229</v>
      </c>
      <c r="E4191" s="43" t="s">
        <v>92</v>
      </c>
      <c r="F4191" s="42" t="s">
        <v>137</v>
      </c>
      <c r="G4191" t="s">
        <v>13197</v>
      </c>
    </row>
    <row r="4192" spans="1:7" x14ac:dyDescent="0.3">
      <c r="A4192" s="42" t="s">
        <v>4295</v>
      </c>
      <c r="B4192" s="42" t="s">
        <v>4364</v>
      </c>
      <c r="C4192" s="42" t="s">
        <v>9929</v>
      </c>
      <c r="D4192" s="43" t="s">
        <v>229</v>
      </c>
      <c r="E4192" s="43" t="s">
        <v>92</v>
      </c>
      <c r="F4192" s="42" t="s">
        <v>11469</v>
      </c>
      <c r="G4192" t="s">
        <v>13197</v>
      </c>
    </row>
    <row r="4193" spans="1:7" x14ac:dyDescent="0.3">
      <c r="A4193" s="42" t="s">
        <v>4295</v>
      </c>
      <c r="B4193" s="42" t="s">
        <v>4365</v>
      </c>
      <c r="C4193" s="42" t="s">
        <v>9930</v>
      </c>
      <c r="D4193" s="43" t="s">
        <v>229</v>
      </c>
      <c r="E4193" s="43" t="s">
        <v>92</v>
      </c>
      <c r="F4193" s="42" t="s">
        <v>11469</v>
      </c>
      <c r="G4193" t="s">
        <v>13197</v>
      </c>
    </row>
    <row r="4194" spans="1:7" x14ac:dyDescent="0.3">
      <c r="A4194" s="42" t="s">
        <v>4295</v>
      </c>
      <c r="B4194" s="42" t="s">
        <v>2905</v>
      </c>
      <c r="C4194" s="42" t="s">
        <v>9931</v>
      </c>
      <c r="D4194" s="43" t="s">
        <v>229</v>
      </c>
      <c r="E4194" s="43" t="s">
        <v>92</v>
      </c>
      <c r="F4194" s="42" t="s">
        <v>11469</v>
      </c>
      <c r="G4194" t="s">
        <v>13197</v>
      </c>
    </row>
    <row r="4195" spans="1:7" x14ac:dyDescent="0.3">
      <c r="A4195" s="42" t="s">
        <v>4295</v>
      </c>
      <c r="B4195" s="42" t="s">
        <v>4366</v>
      </c>
      <c r="C4195" s="42" t="s">
        <v>9932</v>
      </c>
      <c r="D4195" s="43" t="s">
        <v>229</v>
      </c>
      <c r="E4195" s="43" t="s">
        <v>92</v>
      </c>
      <c r="F4195" s="42" t="s">
        <v>11469</v>
      </c>
      <c r="G4195" t="s">
        <v>13197</v>
      </c>
    </row>
    <row r="4196" spans="1:7" x14ac:dyDescent="0.3">
      <c r="A4196" s="42" t="s">
        <v>4295</v>
      </c>
      <c r="B4196" s="42" t="s">
        <v>4367</v>
      </c>
      <c r="C4196" s="42" t="s">
        <v>9933</v>
      </c>
      <c r="D4196" s="43" t="s">
        <v>229</v>
      </c>
      <c r="E4196" s="43" t="s">
        <v>92</v>
      </c>
      <c r="F4196" s="42" t="s">
        <v>11469</v>
      </c>
      <c r="G4196" t="s">
        <v>13197</v>
      </c>
    </row>
    <row r="4197" spans="1:7" x14ac:dyDescent="0.3">
      <c r="A4197" s="42" t="s">
        <v>4295</v>
      </c>
      <c r="B4197" s="42" t="s">
        <v>4368</v>
      </c>
      <c r="C4197" s="42" t="s">
        <v>9934</v>
      </c>
      <c r="D4197" s="43" t="s">
        <v>229</v>
      </c>
      <c r="E4197" s="43" t="s">
        <v>92</v>
      </c>
      <c r="F4197" s="42" t="s">
        <v>11469</v>
      </c>
      <c r="G4197" t="s">
        <v>13197</v>
      </c>
    </row>
    <row r="4198" spans="1:7" x14ac:dyDescent="0.3">
      <c r="A4198" s="42" t="s">
        <v>4295</v>
      </c>
      <c r="B4198" s="42" t="s">
        <v>4369</v>
      </c>
      <c r="C4198" s="42" t="s">
        <v>9935</v>
      </c>
      <c r="D4198" s="43" t="s">
        <v>229</v>
      </c>
      <c r="E4198" s="43" t="s">
        <v>92</v>
      </c>
      <c r="F4198" s="42" t="s">
        <v>11469</v>
      </c>
      <c r="G4198" t="s">
        <v>13197</v>
      </c>
    </row>
    <row r="4199" spans="1:7" x14ac:dyDescent="0.3">
      <c r="A4199" s="42" t="s">
        <v>4295</v>
      </c>
      <c r="B4199" s="42" t="s">
        <v>4370</v>
      </c>
      <c r="C4199" s="42" t="s">
        <v>9936</v>
      </c>
      <c r="D4199" s="43" t="s">
        <v>229</v>
      </c>
      <c r="E4199" s="43" t="s">
        <v>92</v>
      </c>
      <c r="F4199" s="42" t="s">
        <v>11469</v>
      </c>
      <c r="G4199" t="s">
        <v>13197</v>
      </c>
    </row>
    <row r="4200" spans="1:7" x14ac:dyDescent="0.3">
      <c r="A4200" s="42" t="s">
        <v>4295</v>
      </c>
      <c r="B4200" s="42" t="s">
        <v>4371</v>
      </c>
      <c r="C4200" s="42" t="s">
        <v>9937</v>
      </c>
      <c r="D4200" s="43" t="s">
        <v>229</v>
      </c>
      <c r="E4200" s="43" t="s">
        <v>92</v>
      </c>
      <c r="F4200" s="42" t="s">
        <v>11469</v>
      </c>
      <c r="G4200" t="s">
        <v>13197</v>
      </c>
    </row>
    <row r="4201" spans="1:7" x14ac:dyDescent="0.3">
      <c r="A4201" s="42" t="s">
        <v>4295</v>
      </c>
      <c r="B4201" s="42" t="s">
        <v>4372</v>
      </c>
      <c r="C4201" s="42" t="s">
        <v>9938</v>
      </c>
      <c r="D4201" s="43" t="s">
        <v>229</v>
      </c>
      <c r="E4201" s="43" t="s">
        <v>92</v>
      </c>
      <c r="F4201" s="42" t="s">
        <v>11469</v>
      </c>
      <c r="G4201" t="s">
        <v>13197</v>
      </c>
    </row>
    <row r="4202" spans="1:7" x14ac:dyDescent="0.3">
      <c r="A4202" s="42" t="s">
        <v>4295</v>
      </c>
      <c r="B4202" s="42" t="s">
        <v>4373</v>
      </c>
      <c r="C4202" s="42" t="s">
        <v>9939</v>
      </c>
      <c r="D4202" s="43" t="s">
        <v>229</v>
      </c>
      <c r="E4202" s="43" t="s">
        <v>92</v>
      </c>
      <c r="F4202" s="42" t="s">
        <v>11469</v>
      </c>
      <c r="G4202" t="s">
        <v>13197</v>
      </c>
    </row>
    <row r="4203" spans="1:7" x14ac:dyDescent="0.3">
      <c r="A4203" s="42" t="s">
        <v>4295</v>
      </c>
      <c r="B4203" s="42" t="s">
        <v>4374</v>
      </c>
      <c r="C4203" s="42" t="s">
        <v>9940</v>
      </c>
      <c r="D4203" s="43" t="s">
        <v>229</v>
      </c>
      <c r="E4203" s="43" t="s">
        <v>92</v>
      </c>
      <c r="F4203" s="42" t="s">
        <v>11469</v>
      </c>
      <c r="G4203" t="s">
        <v>13197</v>
      </c>
    </row>
    <row r="4204" spans="1:7" x14ac:dyDescent="0.3">
      <c r="A4204" s="42" t="s">
        <v>4295</v>
      </c>
      <c r="B4204" s="42" t="s">
        <v>4375</v>
      </c>
      <c r="C4204" s="42" t="s">
        <v>9941</v>
      </c>
      <c r="D4204" s="43" t="s">
        <v>229</v>
      </c>
      <c r="E4204" s="43" t="s">
        <v>92</v>
      </c>
      <c r="F4204" s="42" t="s">
        <v>11469</v>
      </c>
      <c r="G4204" t="s">
        <v>13197</v>
      </c>
    </row>
    <row r="4205" spans="1:7" x14ac:dyDescent="0.3">
      <c r="A4205" s="42" t="s">
        <v>4295</v>
      </c>
      <c r="B4205" s="42" t="s">
        <v>4376</v>
      </c>
      <c r="C4205" s="42" t="s">
        <v>9942</v>
      </c>
      <c r="D4205" s="43" t="s">
        <v>229</v>
      </c>
      <c r="E4205" s="43" t="s">
        <v>92</v>
      </c>
      <c r="F4205" s="42" t="s">
        <v>11469</v>
      </c>
      <c r="G4205" t="s">
        <v>13197</v>
      </c>
    </row>
    <row r="4206" spans="1:7" x14ac:dyDescent="0.3">
      <c r="A4206" s="42" t="s">
        <v>4295</v>
      </c>
      <c r="B4206" s="42" t="s">
        <v>4377</v>
      </c>
      <c r="C4206" s="42" t="s">
        <v>9943</v>
      </c>
      <c r="D4206" s="43" t="s">
        <v>229</v>
      </c>
      <c r="E4206" s="43" t="s">
        <v>92</v>
      </c>
      <c r="F4206" s="42" t="s">
        <v>11469</v>
      </c>
      <c r="G4206" t="s">
        <v>13197</v>
      </c>
    </row>
    <row r="4207" spans="1:7" x14ac:dyDescent="0.3">
      <c r="A4207" s="42" t="s">
        <v>4295</v>
      </c>
      <c r="B4207" s="42" t="s">
        <v>4378</v>
      </c>
      <c r="C4207" s="42" t="s">
        <v>9944</v>
      </c>
      <c r="D4207" s="43" t="s">
        <v>229</v>
      </c>
      <c r="E4207" s="43" t="s">
        <v>92</v>
      </c>
      <c r="F4207" s="42" t="s">
        <v>11469</v>
      </c>
      <c r="G4207" t="s">
        <v>13197</v>
      </c>
    </row>
    <row r="4208" spans="1:7" x14ac:dyDescent="0.3">
      <c r="A4208" s="42" t="s">
        <v>4295</v>
      </c>
      <c r="B4208" s="42" t="s">
        <v>4379</v>
      </c>
      <c r="C4208" s="42" t="s">
        <v>9945</v>
      </c>
      <c r="D4208" s="43" t="s">
        <v>229</v>
      </c>
      <c r="E4208" s="43" t="s">
        <v>92</v>
      </c>
      <c r="F4208" s="42" t="s">
        <v>11469</v>
      </c>
      <c r="G4208" t="s">
        <v>13197</v>
      </c>
    </row>
    <row r="4209" spans="1:7" x14ac:dyDescent="0.3">
      <c r="A4209" s="42" t="s">
        <v>4295</v>
      </c>
      <c r="B4209" s="42" t="s">
        <v>4380</v>
      </c>
      <c r="C4209" s="42" t="s">
        <v>9946</v>
      </c>
      <c r="D4209" s="43" t="s">
        <v>229</v>
      </c>
      <c r="E4209" s="43" t="s">
        <v>92</v>
      </c>
      <c r="F4209" s="42" t="s">
        <v>11469</v>
      </c>
      <c r="G4209" t="s">
        <v>13197</v>
      </c>
    </row>
    <row r="4210" spans="1:7" x14ac:dyDescent="0.3">
      <c r="A4210" s="42" t="s">
        <v>4295</v>
      </c>
      <c r="B4210" s="42" t="s">
        <v>4381</v>
      </c>
      <c r="C4210" s="42" t="s">
        <v>9947</v>
      </c>
      <c r="D4210" s="43" t="s">
        <v>229</v>
      </c>
      <c r="E4210" s="43" t="s">
        <v>92</v>
      </c>
      <c r="F4210" s="42" t="s">
        <v>11469</v>
      </c>
      <c r="G4210" t="s">
        <v>13197</v>
      </c>
    </row>
    <row r="4211" spans="1:7" x14ac:dyDescent="0.3">
      <c r="A4211" s="42" t="s">
        <v>4295</v>
      </c>
      <c r="B4211" s="42" t="s">
        <v>4382</v>
      </c>
      <c r="C4211" s="42" t="s">
        <v>9948</v>
      </c>
      <c r="D4211" s="43" t="s">
        <v>229</v>
      </c>
      <c r="E4211" s="43" t="s">
        <v>92</v>
      </c>
      <c r="F4211" s="42" t="s">
        <v>11469</v>
      </c>
      <c r="G4211" t="s">
        <v>13197</v>
      </c>
    </row>
    <row r="4212" spans="1:7" x14ac:dyDescent="0.3">
      <c r="A4212" s="42" t="s">
        <v>4295</v>
      </c>
      <c r="B4212" s="42" t="s">
        <v>4383</v>
      </c>
      <c r="C4212" s="42" t="s">
        <v>9949</v>
      </c>
      <c r="D4212" s="43" t="s">
        <v>229</v>
      </c>
      <c r="E4212" s="43" t="s">
        <v>92</v>
      </c>
      <c r="F4212" s="42" t="s">
        <v>11469</v>
      </c>
      <c r="G4212" t="s">
        <v>13197</v>
      </c>
    </row>
    <row r="4213" spans="1:7" x14ac:dyDescent="0.3">
      <c r="A4213" s="42" t="s">
        <v>4295</v>
      </c>
      <c r="B4213" s="42" t="s">
        <v>4384</v>
      </c>
      <c r="C4213" s="42" t="s">
        <v>9950</v>
      </c>
      <c r="D4213" s="43" t="s">
        <v>229</v>
      </c>
      <c r="E4213" s="43" t="s">
        <v>92</v>
      </c>
      <c r="F4213" s="42" t="s">
        <v>11469</v>
      </c>
      <c r="G4213" t="s">
        <v>13197</v>
      </c>
    </row>
    <row r="4214" spans="1:7" x14ac:dyDescent="0.3">
      <c r="A4214" s="42" t="s">
        <v>4295</v>
      </c>
      <c r="B4214" s="42" t="s">
        <v>4385</v>
      </c>
      <c r="C4214" s="42" t="s">
        <v>9951</v>
      </c>
      <c r="D4214" s="43" t="s">
        <v>229</v>
      </c>
      <c r="E4214" s="43" t="s">
        <v>92</v>
      </c>
      <c r="F4214" s="42" t="s">
        <v>11469</v>
      </c>
      <c r="G4214" t="s">
        <v>13197</v>
      </c>
    </row>
    <row r="4215" spans="1:7" x14ac:dyDescent="0.3">
      <c r="A4215" s="42" t="s">
        <v>4295</v>
      </c>
      <c r="B4215" s="42" t="s">
        <v>4386</v>
      </c>
      <c r="C4215" s="42" t="s">
        <v>9952</v>
      </c>
      <c r="D4215" s="43" t="s">
        <v>229</v>
      </c>
      <c r="E4215" s="43" t="s">
        <v>92</v>
      </c>
      <c r="F4215" s="42" t="s">
        <v>11469</v>
      </c>
      <c r="G4215" t="s">
        <v>13197</v>
      </c>
    </row>
    <row r="4216" spans="1:7" x14ac:dyDescent="0.3">
      <c r="A4216" s="42" t="s">
        <v>4295</v>
      </c>
      <c r="B4216" s="42" t="s">
        <v>4387</v>
      </c>
      <c r="C4216" s="42" t="s">
        <v>9953</v>
      </c>
      <c r="D4216" s="43" t="s">
        <v>229</v>
      </c>
      <c r="E4216" s="43" t="s">
        <v>92</v>
      </c>
      <c r="F4216" s="42" t="s">
        <v>11469</v>
      </c>
      <c r="G4216" t="s">
        <v>13197</v>
      </c>
    </row>
    <row r="4217" spans="1:7" x14ac:dyDescent="0.3">
      <c r="A4217" s="42" t="s">
        <v>4295</v>
      </c>
      <c r="B4217" s="42" t="s">
        <v>4388</v>
      </c>
      <c r="C4217" s="42" t="s">
        <v>9954</v>
      </c>
      <c r="D4217" s="43" t="s">
        <v>229</v>
      </c>
      <c r="E4217" s="43" t="s">
        <v>92</v>
      </c>
      <c r="F4217" s="42" t="s">
        <v>11469</v>
      </c>
      <c r="G4217" t="s">
        <v>13197</v>
      </c>
    </row>
    <row r="4218" spans="1:7" x14ac:dyDescent="0.3">
      <c r="A4218" s="42" t="s">
        <v>4295</v>
      </c>
      <c r="B4218" s="42" t="s">
        <v>4389</v>
      </c>
      <c r="C4218" s="42" t="s">
        <v>9955</v>
      </c>
      <c r="D4218" s="43" t="s">
        <v>229</v>
      </c>
      <c r="E4218" s="43" t="s">
        <v>92</v>
      </c>
      <c r="F4218" s="42" t="s">
        <v>11469</v>
      </c>
      <c r="G4218" t="s">
        <v>13197</v>
      </c>
    </row>
    <row r="4219" spans="1:7" x14ac:dyDescent="0.3">
      <c r="A4219" s="42" t="s">
        <v>4295</v>
      </c>
      <c r="B4219" s="42" t="s">
        <v>4390</v>
      </c>
      <c r="C4219" s="42" t="s">
        <v>9956</v>
      </c>
      <c r="D4219" s="43" t="s">
        <v>229</v>
      </c>
      <c r="E4219" s="43" t="s">
        <v>92</v>
      </c>
      <c r="F4219" s="42" t="s">
        <v>11469</v>
      </c>
      <c r="G4219" t="s">
        <v>13197</v>
      </c>
    </row>
    <row r="4220" spans="1:7" x14ac:dyDescent="0.3">
      <c r="A4220" s="42" t="s">
        <v>4295</v>
      </c>
      <c r="B4220" s="42" t="s">
        <v>4391</v>
      </c>
      <c r="C4220" s="42" t="s">
        <v>9957</v>
      </c>
      <c r="D4220" s="43" t="s">
        <v>229</v>
      </c>
      <c r="E4220" s="43" t="s">
        <v>92</v>
      </c>
      <c r="F4220" s="42" t="s">
        <v>11469</v>
      </c>
      <c r="G4220" t="s">
        <v>13197</v>
      </c>
    </row>
    <row r="4221" spans="1:7" x14ac:dyDescent="0.3">
      <c r="A4221" s="42" t="s">
        <v>4295</v>
      </c>
      <c r="B4221" s="42" t="s">
        <v>4392</v>
      </c>
      <c r="C4221" s="42" t="s">
        <v>9958</v>
      </c>
      <c r="D4221" s="43" t="s">
        <v>229</v>
      </c>
      <c r="E4221" s="43" t="s">
        <v>92</v>
      </c>
      <c r="F4221" s="42" t="s">
        <v>11469</v>
      </c>
      <c r="G4221" t="s">
        <v>13197</v>
      </c>
    </row>
    <row r="4222" spans="1:7" x14ac:dyDescent="0.3">
      <c r="A4222" s="42" t="s">
        <v>4295</v>
      </c>
      <c r="B4222" s="42" t="s">
        <v>4393</v>
      </c>
      <c r="C4222" s="42" t="s">
        <v>9959</v>
      </c>
      <c r="D4222" s="43" t="s">
        <v>229</v>
      </c>
      <c r="E4222" s="43" t="s">
        <v>92</v>
      </c>
      <c r="F4222" s="42" t="s">
        <v>11469</v>
      </c>
      <c r="G4222" t="s">
        <v>13197</v>
      </c>
    </row>
    <row r="4223" spans="1:7" x14ac:dyDescent="0.3">
      <c r="A4223" s="42" t="s">
        <v>4295</v>
      </c>
      <c r="B4223" s="42" t="s">
        <v>4394</v>
      </c>
      <c r="C4223" s="42" t="s">
        <v>9960</v>
      </c>
      <c r="D4223" s="43" t="s">
        <v>229</v>
      </c>
      <c r="E4223" s="43" t="s">
        <v>92</v>
      </c>
      <c r="F4223" s="42" t="s">
        <v>11469</v>
      </c>
      <c r="G4223" t="s">
        <v>13197</v>
      </c>
    </row>
    <row r="4224" spans="1:7" x14ac:dyDescent="0.3">
      <c r="A4224" s="42" t="s">
        <v>4295</v>
      </c>
      <c r="B4224" s="42" t="s">
        <v>4395</v>
      </c>
      <c r="C4224" s="42" t="s">
        <v>9961</v>
      </c>
      <c r="D4224" s="43" t="s">
        <v>229</v>
      </c>
      <c r="E4224" s="43" t="s">
        <v>92</v>
      </c>
      <c r="F4224" s="42" t="s">
        <v>11469</v>
      </c>
      <c r="G4224" t="s">
        <v>13197</v>
      </c>
    </row>
    <row r="4225" spans="1:7" x14ac:dyDescent="0.3">
      <c r="A4225" s="42" t="s">
        <v>4295</v>
      </c>
      <c r="B4225" s="42" t="s">
        <v>4396</v>
      </c>
      <c r="C4225" s="42" t="s">
        <v>9962</v>
      </c>
      <c r="D4225" s="43" t="s">
        <v>229</v>
      </c>
      <c r="E4225" s="43" t="s">
        <v>92</v>
      </c>
      <c r="F4225" s="42" t="s">
        <v>11469</v>
      </c>
      <c r="G4225" t="s">
        <v>13197</v>
      </c>
    </row>
    <row r="4226" spans="1:7" x14ac:dyDescent="0.3">
      <c r="A4226" s="42" t="s">
        <v>4295</v>
      </c>
      <c r="B4226" s="42" t="s">
        <v>4397</v>
      </c>
      <c r="C4226" s="42" t="s">
        <v>9963</v>
      </c>
      <c r="D4226" s="43" t="s">
        <v>229</v>
      </c>
      <c r="E4226" s="43" t="s">
        <v>92</v>
      </c>
      <c r="F4226" s="42" t="s">
        <v>11469</v>
      </c>
      <c r="G4226" t="s">
        <v>13197</v>
      </c>
    </row>
    <row r="4227" spans="1:7" x14ac:dyDescent="0.3">
      <c r="A4227" s="42" t="s">
        <v>4295</v>
      </c>
      <c r="B4227" s="42" t="s">
        <v>4398</v>
      </c>
      <c r="C4227" s="42" t="s">
        <v>9964</v>
      </c>
      <c r="D4227" s="43" t="s">
        <v>229</v>
      </c>
      <c r="E4227" s="43" t="s">
        <v>92</v>
      </c>
      <c r="F4227" s="42" t="s">
        <v>11469</v>
      </c>
      <c r="G4227" t="s">
        <v>13197</v>
      </c>
    </row>
    <row r="4228" spans="1:7" x14ac:dyDescent="0.3">
      <c r="A4228" s="42" t="s">
        <v>4295</v>
      </c>
      <c r="B4228" s="42" t="s">
        <v>4399</v>
      </c>
      <c r="C4228" s="42" t="s">
        <v>9965</v>
      </c>
      <c r="D4228" s="43" t="s">
        <v>229</v>
      </c>
      <c r="E4228" s="43" t="s">
        <v>92</v>
      </c>
      <c r="F4228" s="42" t="s">
        <v>11469</v>
      </c>
      <c r="G4228" t="s">
        <v>13197</v>
      </c>
    </row>
    <row r="4229" spans="1:7" x14ac:dyDescent="0.3">
      <c r="A4229" s="42" t="s">
        <v>4295</v>
      </c>
      <c r="B4229" s="42" t="s">
        <v>4400</v>
      </c>
      <c r="C4229" s="42" t="s">
        <v>9966</v>
      </c>
      <c r="D4229" s="43" t="s">
        <v>229</v>
      </c>
      <c r="E4229" s="43" t="s">
        <v>92</v>
      </c>
      <c r="F4229" s="42" t="s">
        <v>11469</v>
      </c>
      <c r="G4229" t="s">
        <v>13197</v>
      </c>
    </row>
    <row r="4230" spans="1:7" x14ac:dyDescent="0.3">
      <c r="A4230" s="42" t="s">
        <v>4295</v>
      </c>
      <c r="B4230" s="42" t="s">
        <v>4401</v>
      </c>
      <c r="C4230" s="42" t="s">
        <v>9967</v>
      </c>
      <c r="D4230" s="43" t="s">
        <v>229</v>
      </c>
      <c r="E4230" s="43" t="s">
        <v>92</v>
      </c>
      <c r="F4230" s="42" t="s">
        <v>11469</v>
      </c>
      <c r="G4230" t="s">
        <v>13197</v>
      </c>
    </row>
    <row r="4231" spans="1:7" x14ac:dyDescent="0.3">
      <c r="A4231" s="42" t="s">
        <v>4295</v>
      </c>
      <c r="B4231" s="42" t="s">
        <v>4402</v>
      </c>
      <c r="C4231" s="42" t="s">
        <v>9968</v>
      </c>
      <c r="D4231" s="43" t="s">
        <v>229</v>
      </c>
      <c r="E4231" s="43" t="s">
        <v>92</v>
      </c>
      <c r="F4231" s="42" t="s">
        <v>137</v>
      </c>
      <c r="G4231" t="s">
        <v>13204</v>
      </c>
    </row>
    <row r="4232" spans="1:7" x14ac:dyDescent="0.3">
      <c r="A4232" s="42" t="s">
        <v>4295</v>
      </c>
      <c r="B4232" s="42" t="s">
        <v>4403</v>
      </c>
      <c r="C4232" s="42" t="s">
        <v>9969</v>
      </c>
      <c r="D4232" s="43" t="s">
        <v>229</v>
      </c>
      <c r="E4232" s="43" t="s">
        <v>92</v>
      </c>
      <c r="F4232" s="42" t="s">
        <v>11469</v>
      </c>
      <c r="G4232" t="s">
        <v>13197</v>
      </c>
    </row>
    <row r="4233" spans="1:7" x14ac:dyDescent="0.3">
      <c r="A4233" s="42" t="s">
        <v>4295</v>
      </c>
      <c r="B4233" s="42" t="s">
        <v>4404</v>
      </c>
      <c r="C4233" s="42" t="s">
        <v>9970</v>
      </c>
      <c r="D4233" s="43" t="s">
        <v>229</v>
      </c>
      <c r="E4233" s="43" t="s">
        <v>92</v>
      </c>
      <c r="F4233" s="42" t="s">
        <v>11469</v>
      </c>
      <c r="G4233" t="s">
        <v>13197</v>
      </c>
    </row>
    <row r="4234" spans="1:7" x14ac:dyDescent="0.3">
      <c r="A4234" s="42" t="s">
        <v>4295</v>
      </c>
      <c r="B4234" s="42" t="s">
        <v>4405</v>
      </c>
      <c r="C4234" s="42" t="s">
        <v>9971</v>
      </c>
      <c r="D4234" s="43" t="s">
        <v>229</v>
      </c>
      <c r="E4234" s="43" t="s">
        <v>92</v>
      </c>
      <c r="F4234" s="42" t="s">
        <v>11469</v>
      </c>
      <c r="G4234" t="s">
        <v>13197</v>
      </c>
    </row>
    <row r="4235" spans="1:7" x14ac:dyDescent="0.3">
      <c r="A4235" s="42" t="s">
        <v>4295</v>
      </c>
      <c r="B4235" s="42" t="s">
        <v>4406</v>
      </c>
      <c r="C4235" s="42" t="s">
        <v>9972</v>
      </c>
      <c r="D4235" s="43" t="s">
        <v>229</v>
      </c>
      <c r="E4235" s="43" t="s">
        <v>92</v>
      </c>
      <c r="F4235" s="42" t="s">
        <v>11469</v>
      </c>
      <c r="G4235" t="s">
        <v>13197</v>
      </c>
    </row>
    <row r="4236" spans="1:7" x14ac:dyDescent="0.3">
      <c r="A4236" s="42" t="s">
        <v>4295</v>
      </c>
      <c r="B4236" s="42" t="s">
        <v>4407</v>
      </c>
      <c r="C4236" s="42" t="s">
        <v>9973</v>
      </c>
      <c r="D4236" s="43" t="s">
        <v>229</v>
      </c>
      <c r="E4236" s="43" t="s">
        <v>92</v>
      </c>
      <c r="F4236" s="42" t="s">
        <v>11469</v>
      </c>
      <c r="G4236" t="s">
        <v>13197</v>
      </c>
    </row>
    <row r="4237" spans="1:7" x14ac:dyDescent="0.3">
      <c r="A4237" s="42" t="s">
        <v>4295</v>
      </c>
      <c r="B4237" s="42" t="s">
        <v>4408</v>
      </c>
      <c r="C4237" s="42" t="s">
        <v>9974</v>
      </c>
      <c r="D4237" s="43" t="s">
        <v>229</v>
      </c>
      <c r="E4237" s="43" t="s">
        <v>92</v>
      </c>
      <c r="F4237" s="42" t="s">
        <v>11469</v>
      </c>
      <c r="G4237" t="s">
        <v>13197</v>
      </c>
    </row>
    <row r="4238" spans="1:7" x14ac:dyDescent="0.3">
      <c r="A4238" s="42" t="s">
        <v>4295</v>
      </c>
      <c r="B4238" s="42" t="s">
        <v>4409</v>
      </c>
      <c r="C4238" s="42" t="s">
        <v>9975</v>
      </c>
      <c r="D4238" s="43" t="s">
        <v>229</v>
      </c>
      <c r="E4238" s="43" t="s">
        <v>92</v>
      </c>
      <c r="F4238" s="42" t="s">
        <v>11469</v>
      </c>
      <c r="G4238" t="s">
        <v>13197</v>
      </c>
    </row>
    <row r="4239" spans="1:7" x14ac:dyDescent="0.3">
      <c r="A4239" s="42" t="s">
        <v>4295</v>
      </c>
      <c r="B4239" s="42" t="s">
        <v>4410</v>
      </c>
      <c r="C4239" s="42" t="s">
        <v>9976</v>
      </c>
      <c r="D4239" s="43" t="s">
        <v>229</v>
      </c>
      <c r="E4239" s="43" t="s">
        <v>92</v>
      </c>
      <c r="F4239" s="42" t="s">
        <v>11469</v>
      </c>
      <c r="G4239" t="s">
        <v>13197</v>
      </c>
    </row>
    <row r="4240" spans="1:7" x14ac:dyDescent="0.3">
      <c r="A4240" s="42" t="s">
        <v>4295</v>
      </c>
      <c r="B4240" s="42" t="s">
        <v>4411</v>
      </c>
      <c r="C4240" s="42" t="s">
        <v>9977</v>
      </c>
      <c r="D4240" s="43" t="s">
        <v>229</v>
      </c>
      <c r="E4240" s="43" t="s">
        <v>92</v>
      </c>
      <c r="F4240" s="42" t="s">
        <v>11469</v>
      </c>
      <c r="G4240" t="s">
        <v>13197</v>
      </c>
    </row>
    <row r="4241" spans="1:7" x14ac:dyDescent="0.3">
      <c r="A4241" s="42" t="s">
        <v>4295</v>
      </c>
      <c r="B4241" s="42" t="s">
        <v>4412</v>
      </c>
      <c r="C4241" s="42" t="s">
        <v>9978</v>
      </c>
      <c r="D4241" s="43" t="s">
        <v>229</v>
      </c>
      <c r="E4241" s="43" t="s">
        <v>92</v>
      </c>
      <c r="F4241" s="42" t="s">
        <v>11469</v>
      </c>
      <c r="G4241" t="s">
        <v>13197</v>
      </c>
    </row>
    <row r="4242" spans="1:7" x14ac:dyDescent="0.3">
      <c r="A4242" s="42" t="s">
        <v>4295</v>
      </c>
      <c r="B4242" s="42" t="s">
        <v>4413</v>
      </c>
      <c r="C4242" s="42" t="s">
        <v>9979</v>
      </c>
      <c r="D4242" s="43" t="s">
        <v>229</v>
      </c>
      <c r="E4242" s="43" t="s">
        <v>92</v>
      </c>
      <c r="F4242" s="42" t="s">
        <v>11469</v>
      </c>
      <c r="G4242" t="s">
        <v>13197</v>
      </c>
    </row>
    <row r="4243" spans="1:7" x14ac:dyDescent="0.3">
      <c r="A4243" s="42" t="s">
        <v>4295</v>
      </c>
      <c r="B4243" s="42" t="s">
        <v>4414</v>
      </c>
      <c r="C4243" s="42" t="s">
        <v>9980</v>
      </c>
      <c r="D4243" s="43" t="s">
        <v>229</v>
      </c>
      <c r="E4243" s="43" t="s">
        <v>92</v>
      </c>
      <c r="F4243" s="42" t="s">
        <v>11469</v>
      </c>
      <c r="G4243" t="s">
        <v>13197</v>
      </c>
    </row>
    <row r="4244" spans="1:7" x14ac:dyDescent="0.3">
      <c r="A4244" s="42" t="s">
        <v>4295</v>
      </c>
      <c r="B4244" s="42" t="s">
        <v>4415</v>
      </c>
      <c r="C4244" s="42" t="s">
        <v>9981</v>
      </c>
      <c r="D4244" s="43" t="s">
        <v>229</v>
      </c>
      <c r="E4244" s="43" t="s">
        <v>92</v>
      </c>
      <c r="F4244" s="42" t="s">
        <v>11469</v>
      </c>
      <c r="G4244" t="s">
        <v>13197</v>
      </c>
    </row>
    <row r="4245" spans="1:7" x14ac:dyDescent="0.3">
      <c r="A4245" s="42" t="s">
        <v>4295</v>
      </c>
      <c r="B4245" s="42" t="s">
        <v>4416</v>
      </c>
      <c r="C4245" s="42" t="s">
        <v>9982</v>
      </c>
      <c r="D4245" s="43" t="s">
        <v>229</v>
      </c>
      <c r="E4245" s="43" t="s">
        <v>92</v>
      </c>
      <c r="F4245" s="42" t="s">
        <v>11469</v>
      </c>
      <c r="G4245" t="s">
        <v>13197</v>
      </c>
    </row>
    <row r="4246" spans="1:7" x14ac:dyDescent="0.3">
      <c r="A4246" s="42" t="s">
        <v>4295</v>
      </c>
      <c r="B4246" s="42" t="s">
        <v>4417</v>
      </c>
      <c r="C4246" s="42" t="s">
        <v>9983</v>
      </c>
      <c r="D4246" s="43" t="s">
        <v>229</v>
      </c>
      <c r="E4246" s="43" t="s">
        <v>92</v>
      </c>
      <c r="F4246" s="42" t="s">
        <v>11469</v>
      </c>
      <c r="G4246" t="s">
        <v>13197</v>
      </c>
    </row>
    <row r="4247" spans="1:7" x14ac:dyDescent="0.3">
      <c r="A4247" s="42" t="s">
        <v>4295</v>
      </c>
      <c r="B4247" s="42" t="s">
        <v>4418</v>
      </c>
      <c r="C4247" s="42" t="s">
        <v>9984</v>
      </c>
      <c r="D4247" s="43" t="s">
        <v>229</v>
      </c>
      <c r="E4247" s="43" t="s">
        <v>92</v>
      </c>
      <c r="F4247" s="42" t="s">
        <v>11469</v>
      </c>
      <c r="G4247" t="s">
        <v>13197</v>
      </c>
    </row>
    <row r="4248" spans="1:7" x14ac:dyDescent="0.3">
      <c r="A4248" s="42" t="s">
        <v>4295</v>
      </c>
      <c r="B4248" s="42" t="s">
        <v>4419</v>
      </c>
      <c r="C4248" s="42" t="s">
        <v>9985</v>
      </c>
      <c r="D4248" s="43" t="s">
        <v>229</v>
      </c>
      <c r="E4248" s="43" t="s">
        <v>92</v>
      </c>
      <c r="F4248" s="42" t="s">
        <v>11469</v>
      </c>
      <c r="G4248" t="s">
        <v>13197</v>
      </c>
    </row>
    <row r="4249" spans="1:7" x14ac:dyDescent="0.3">
      <c r="A4249" s="42" t="s">
        <v>4295</v>
      </c>
      <c r="B4249" s="42" t="s">
        <v>4420</v>
      </c>
      <c r="C4249" s="42" t="s">
        <v>9986</v>
      </c>
      <c r="D4249" s="43" t="s">
        <v>229</v>
      </c>
      <c r="E4249" s="43" t="s">
        <v>92</v>
      </c>
      <c r="F4249" s="42" t="s">
        <v>11469</v>
      </c>
      <c r="G4249" t="s">
        <v>13197</v>
      </c>
    </row>
    <row r="4250" spans="1:7" x14ac:dyDescent="0.3">
      <c r="A4250" s="42" t="s">
        <v>4295</v>
      </c>
      <c r="B4250" s="42" t="s">
        <v>4421</v>
      </c>
      <c r="C4250" s="42" t="s">
        <v>9987</v>
      </c>
      <c r="D4250" s="43" t="s">
        <v>229</v>
      </c>
      <c r="E4250" s="43" t="s">
        <v>92</v>
      </c>
      <c r="F4250" s="42" t="s">
        <v>11469</v>
      </c>
      <c r="G4250" t="s">
        <v>13197</v>
      </c>
    </row>
    <row r="4251" spans="1:7" x14ac:dyDescent="0.3">
      <c r="A4251" s="42" t="s">
        <v>4295</v>
      </c>
      <c r="B4251" s="42" t="s">
        <v>4422</v>
      </c>
      <c r="C4251" s="42" t="s">
        <v>9988</v>
      </c>
      <c r="D4251" s="43" t="s">
        <v>229</v>
      </c>
      <c r="E4251" s="43" t="s">
        <v>92</v>
      </c>
      <c r="F4251" s="42" t="s">
        <v>11469</v>
      </c>
      <c r="G4251" t="s">
        <v>13197</v>
      </c>
    </row>
    <row r="4252" spans="1:7" x14ac:dyDescent="0.3">
      <c r="A4252" s="42" t="s">
        <v>4295</v>
      </c>
      <c r="B4252" s="42" t="s">
        <v>4423</v>
      </c>
      <c r="C4252" s="42" t="s">
        <v>9989</v>
      </c>
      <c r="D4252" s="43" t="s">
        <v>229</v>
      </c>
      <c r="E4252" s="43" t="s">
        <v>92</v>
      </c>
      <c r="F4252" s="42" t="s">
        <v>11469</v>
      </c>
      <c r="G4252" t="s">
        <v>13197</v>
      </c>
    </row>
    <row r="4253" spans="1:7" x14ac:dyDescent="0.3">
      <c r="A4253" s="42" t="s">
        <v>4295</v>
      </c>
      <c r="B4253" s="42" t="s">
        <v>4424</v>
      </c>
      <c r="C4253" s="42" t="s">
        <v>9990</v>
      </c>
      <c r="D4253" s="43" t="s">
        <v>229</v>
      </c>
      <c r="E4253" s="43" t="s">
        <v>92</v>
      </c>
      <c r="F4253" s="42" t="s">
        <v>11469</v>
      </c>
      <c r="G4253" t="s">
        <v>13197</v>
      </c>
    </row>
    <row r="4254" spans="1:7" x14ac:dyDescent="0.3">
      <c r="A4254" s="42" t="s">
        <v>4295</v>
      </c>
      <c r="B4254" s="42" t="s">
        <v>4425</v>
      </c>
      <c r="C4254" s="42" t="s">
        <v>9991</v>
      </c>
      <c r="D4254" s="43" t="s">
        <v>229</v>
      </c>
      <c r="E4254" s="43" t="s">
        <v>92</v>
      </c>
      <c r="F4254" s="42" t="s">
        <v>11469</v>
      </c>
      <c r="G4254" t="s">
        <v>13197</v>
      </c>
    </row>
    <row r="4255" spans="1:7" x14ac:dyDescent="0.3">
      <c r="A4255" s="42" t="s">
        <v>4295</v>
      </c>
      <c r="B4255" s="42" t="s">
        <v>4426</v>
      </c>
      <c r="C4255" s="42" t="s">
        <v>9992</v>
      </c>
      <c r="D4255" s="43" t="s">
        <v>229</v>
      </c>
      <c r="E4255" s="43" t="s">
        <v>92</v>
      </c>
      <c r="F4255" s="42" t="s">
        <v>11469</v>
      </c>
      <c r="G4255" t="s">
        <v>13197</v>
      </c>
    </row>
    <row r="4256" spans="1:7" x14ac:dyDescent="0.3">
      <c r="A4256" s="42" t="s">
        <v>4295</v>
      </c>
      <c r="B4256" s="42" t="s">
        <v>4427</v>
      </c>
      <c r="C4256" s="42" t="s">
        <v>9993</v>
      </c>
      <c r="D4256" s="43" t="s">
        <v>229</v>
      </c>
      <c r="E4256" s="43" t="s">
        <v>92</v>
      </c>
      <c r="F4256" s="42" t="s">
        <v>11469</v>
      </c>
      <c r="G4256" t="s">
        <v>13197</v>
      </c>
    </row>
    <row r="4257" spans="1:7" x14ac:dyDescent="0.3">
      <c r="A4257" s="42" t="s">
        <v>4295</v>
      </c>
      <c r="B4257" s="42" t="s">
        <v>4428</v>
      </c>
      <c r="C4257" s="42" t="s">
        <v>9994</v>
      </c>
      <c r="D4257" s="43" t="s">
        <v>229</v>
      </c>
      <c r="E4257" s="43" t="s">
        <v>92</v>
      </c>
      <c r="F4257" s="42" t="s">
        <v>11469</v>
      </c>
      <c r="G4257" t="s">
        <v>13197</v>
      </c>
    </row>
    <row r="4258" spans="1:7" x14ac:dyDescent="0.3">
      <c r="A4258" s="42" t="s">
        <v>4295</v>
      </c>
      <c r="B4258" s="42" t="s">
        <v>4429</v>
      </c>
      <c r="C4258" s="42" t="s">
        <v>9995</v>
      </c>
      <c r="D4258" s="43" t="s">
        <v>229</v>
      </c>
      <c r="E4258" s="43" t="s">
        <v>92</v>
      </c>
      <c r="F4258" s="42" t="s">
        <v>11469</v>
      </c>
      <c r="G4258" t="s">
        <v>13197</v>
      </c>
    </row>
    <row r="4259" spans="1:7" x14ac:dyDescent="0.3">
      <c r="A4259" s="42" t="s">
        <v>4295</v>
      </c>
      <c r="B4259" s="42" t="s">
        <v>4430</v>
      </c>
      <c r="C4259" s="42" t="s">
        <v>9996</v>
      </c>
      <c r="D4259" s="43" t="s">
        <v>229</v>
      </c>
      <c r="E4259" s="43" t="s">
        <v>92</v>
      </c>
      <c r="F4259" s="42" t="s">
        <v>11469</v>
      </c>
      <c r="G4259" t="s">
        <v>13197</v>
      </c>
    </row>
    <row r="4260" spans="1:7" x14ac:dyDescent="0.3">
      <c r="A4260" s="42" t="s">
        <v>4295</v>
      </c>
      <c r="B4260" s="42" t="s">
        <v>4431</v>
      </c>
      <c r="C4260" s="42" t="s">
        <v>9997</v>
      </c>
      <c r="D4260" s="43" t="s">
        <v>229</v>
      </c>
      <c r="E4260" s="43" t="s">
        <v>92</v>
      </c>
      <c r="F4260" s="42" t="s">
        <v>11469</v>
      </c>
      <c r="G4260" t="s">
        <v>13198</v>
      </c>
    </row>
    <row r="4261" spans="1:7" x14ac:dyDescent="0.3">
      <c r="A4261" s="42" t="s">
        <v>4295</v>
      </c>
      <c r="B4261" s="42" t="s">
        <v>4432</v>
      </c>
      <c r="C4261" s="42" t="s">
        <v>9998</v>
      </c>
      <c r="D4261" s="43" t="s">
        <v>229</v>
      </c>
      <c r="E4261" s="43" t="s">
        <v>92</v>
      </c>
      <c r="F4261" s="42" t="s">
        <v>11469</v>
      </c>
      <c r="G4261" t="s">
        <v>13197</v>
      </c>
    </row>
    <row r="4262" spans="1:7" x14ac:dyDescent="0.3">
      <c r="A4262" s="42" t="s">
        <v>4295</v>
      </c>
      <c r="B4262" s="42" t="s">
        <v>4433</v>
      </c>
      <c r="C4262" s="42" t="s">
        <v>9999</v>
      </c>
      <c r="D4262" s="43" t="s">
        <v>229</v>
      </c>
      <c r="E4262" s="43" t="s">
        <v>92</v>
      </c>
      <c r="F4262" s="42" t="s">
        <v>11469</v>
      </c>
      <c r="G4262" t="s">
        <v>13197</v>
      </c>
    </row>
    <row r="4263" spans="1:7" x14ac:dyDescent="0.3">
      <c r="A4263" s="42" t="s">
        <v>4295</v>
      </c>
      <c r="B4263" s="42" t="s">
        <v>4434</v>
      </c>
      <c r="C4263" s="42" t="s">
        <v>10000</v>
      </c>
      <c r="D4263" s="43" t="s">
        <v>229</v>
      </c>
      <c r="E4263" s="43" t="s">
        <v>92</v>
      </c>
      <c r="F4263" s="42" t="s">
        <v>11469</v>
      </c>
      <c r="G4263" t="s">
        <v>13197</v>
      </c>
    </row>
    <row r="4264" spans="1:7" x14ac:dyDescent="0.3">
      <c r="A4264" s="42" t="s">
        <v>4295</v>
      </c>
      <c r="B4264" s="42" t="s">
        <v>4435</v>
      </c>
      <c r="C4264" s="42" t="s">
        <v>10001</v>
      </c>
      <c r="D4264" s="43" t="s">
        <v>229</v>
      </c>
      <c r="E4264" s="43" t="s">
        <v>92</v>
      </c>
      <c r="F4264" s="42" t="s">
        <v>11469</v>
      </c>
      <c r="G4264" t="s">
        <v>13197</v>
      </c>
    </row>
    <row r="4265" spans="1:7" x14ac:dyDescent="0.3">
      <c r="A4265" s="42" t="s">
        <v>4295</v>
      </c>
      <c r="B4265" s="42" t="s">
        <v>4436</v>
      </c>
      <c r="C4265" s="42" t="s">
        <v>10002</v>
      </c>
      <c r="D4265" s="43" t="s">
        <v>229</v>
      </c>
      <c r="E4265" s="43" t="s">
        <v>92</v>
      </c>
      <c r="F4265" s="42" t="s">
        <v>11469</v>
      </c>
      <c r="G4265" t="s">
        <v>13197</v>
      </c>
    </row>
    <row r="4266" spans="1:7" x14ac:dyDescent="0.3">
      <c r="A4266" s="42" t="s">
        <v>4295</v>
      </c>
      <c r="B4266" s="42" t="s">
        <v>4437</v>
      </c>
      <c r="C4266" s="42" t="s">
        <v>10003</v>
      </c>
      <c r="D4266" s="43" t="s">
        <v>229</v>
      </c>
      <c r="E4266" s="43" t="s">
        <v>92</v>
      </c>
      <c r="F4266" s="42" t="s">
        <v>11469</v>
      </c>
      <c r="G4266" t="s">
        <v>13197</v>
      </c>
    </row>
    <row r="4267" spans="1:7" x14ac:dyDescent="0.3">
      <c r="A4267" s="42" t="s">
        <v>4295</v>
      </c>
      <c r="B4267" s="42" t="s">
        <v>4438</v>
      </c>
      <c r="C4267" s="42" t="s">
        <v>10004</v>
      </c>
      <c r="D4267" s="43" t="s">
        <v>229</v>
      </c>
      <c r="E4267" s="43" t="s">
        <v>92</v>
      </c>
      <c r="F4267" s="42" t="s">
        <v>11469</v>
      </c>
      <c r="G4267" t="s">
        <v>13197</v>
      </c>
    </row>
    <row r="4268" spans="1:7" x14ac:dyDescent="0.3">
      <c r="A4268" s="42" t="s">
        <v>4295</v>
      </c>
      <c r="B4268" s="42" t="s">
        <v>4439</v>
      </c>
      <c r="C4268" s="42" t="s">
        <v>10005</v>
      </c>
      <c r="D4268" s="43" t="s">
        <v>229</v>
      </c>
      <c r="E4268" s="43" t="s">
        <v>92</v>
      </c>
      <c r="F4268" s="42" t="s">
        <v>192</v>
      </c>
      <c r="G4268" t="s">
        <v>13196</v>
      </c>
    </row>
    <row r="4269" spans="1:7" x14ac:dyDescent="0.3">
      <c r="A4269" s="42" t="s">
        <v>4295</v>
      </c>
      <c r="B4269" s="42" t="s">
        <v>2360</v>
      </c>
      <c r="C4269" s="42" t="s">
        <v>10006</v>
      </c>
      <c r="D4269" s="43" t="s">
        <v>229</v>
      </c>
      <c r="E4269" s="43" t="s">
        <v>92</v>
      </c>
      <c r="F4269" s="42" t="s">
        <v>11469</v>
      </c>
      <c r="G4269" t="s">
        <v>13197</v>
      </c>
    </row>
    <row r="4270" spans="1:7" x14ac:dyDescent="0.3">
      <c r="A4270" s="42" t="s">
        <v>4295</v>
      </c>
      <c r="B4270" s="42" t="s">
        <v>4440</v>
      </c>
      <c r="C4270" s="42" t="s">
        <v>10007</v>
      </c>
      <c r="D4270" s="43" t="s">
        <v>229</v>
      </c>
      <c r="E4270" s="43" t="s">
        <v>92</v>
      </c>
      <c r="F4270" s="42" t="s">
        <v>192</v>
      </c>
      <c r="G4270" t="s">
        <v>13196</v>
      </c>
    </row>
    <row r="4271" spans="1:7" x14ac:dyDescent="0.3">
      <c r="A4271" s="42" t="s">
        <v>4295</v>
      </c>
      <c r="B4271" s="42" t="s">
        <v>4441</v>
      </c>
      <c r="C4271" s="42" t="s">
        <v>10008</v>
      </c>
      <c r="D4271" s="43" t="s">
        <v>229</v>
      </c>
      <c r="E4271" s="43" t="s">
        <v>92</v>
      </c>
      <c r="F4271" s="42" t="s">
        <v>11469</v>
      </c>
      <c r="G4271" t="s">
        <v>13197</v>
      </c>
    </row>
    <row r="4272" spans="1:7" x14ac:dyDescent="0.3">
      <c r="A4272" s="42" t="s">
        <v>4295</v>
      </c>
      <c r="B4272" s="42" t="s">
        <v>4442</v>
      </c>
      <c r="C4272" s="42" t="s">
        <v>10009</v>
      </c>
      <c r="D4272" s="43" t="s">
        <v>229</v>
      </c>
      <c r="E4272" s="43" t="s">
        <v>92</v>
      </c>
      <c r="F4272" s="42" t="s">
        <v>11469</v>
      </c>
      <c r="G4272" t="s">
        <v>13197</v>
      </c>
    </row>
    <row r="4273" spans="1:7" x14ac:dyDescent="0.3">
      <c r="A4273" s="42" t="s">
        <v>4295</v>
      </c>
      <c r="B4273" s="42" t="s">
        <v>4443</v>
      </c>
      <c r="C4273" s="42" t="s">
        <v>10010</v>
      </c>
      <c r="D4273" s="43" t="s">
        <v>229</v>
      </c>
      <c r="E4273" s="43" t="s">
        <v>92</v>
      </c>
      <c r="F4273" s="42" t="s">
        <v>11469</v>
      </c>
      <c r="G4273" t="s">
        <v>13197</v>
      </c>
    </row>
    <row r="4274" spans="1:7" x14ac:dyDescent="0.3">
      <c r="A4274" s="42" t="s">
        <v>4295</v>
      </c>
      <c r="B4274" s="42" t="s">
        <v>4444</v>
      </c>
      <c r="C4274" s="42" t="s">
        <v>10011</v>
      </c>
      <c r="D4274" s="43" t="s">
        <v>229</v>
      </c>
      <c r="E4274" s="43" t="s">
        <v>92</v>
      </c>
      <c r="F4274" s="42" t="s">
        <v>11469</v>
      </c>
      <c r="G4274" t="s">
        <v>13197</v>
      </c>
    </row>
    <row r="4275" spans="1:7" x14ac:dyDescent="0.3">
      <c r="A4275" s="42" t="s">
        <v>4295</v>
      </c>
      <c r="B4275" s="42" t="s">
        <v>4445</v>
      </c>
      <c r="C4275" s="42" t="s">
        <v>10012</v>
      </c>
      <c r="D4275" s="43" t="s">
        <v>229</v>
      </c>
      <c r="E4275" s="43" t="s">
        <v>92</v>
      </c>
      <c r="F4275" s="42" t="s">
        <v>11469</v>
      </c>
      <c r="G4275" t="s">
        <v>13197</v>
      </c>
    </row>
    <row r="4276" spans="1:7" x14ac:dyDescent="0.3">
      <c r="A4276" s="42" t="s">
        <v>4295</v>
      </c>
      <c r="B4276" s="42" t="s">
        <v>4446</v>
      </c>
      <c r="C4276" s="42" t="s">
        <v>10013</v>
      </c>
      <c r="D4276" s="43" t="s">
        <v>229</v>
      </c>
      <c r="E4276" s="43" t="s">
        <v>92</v>
      </c>
      <c r="F4276" s="42" t="s">
        <v>11469</v>
      </c>
      <c r="G4276" t="s">
        <v>13197</v>
      </c>
    </row>
    <row r="4277" spans="1:7" x14ac:dyDescent="0.3">
      <c r="A4277" s="42" t="s">
        <v>4295</v>
      </c>
      <c r="B4277" s="42" t="s">
        <v>4447</v>
      </c>
      <c r="C4277" s="42" t="s">
        <v>10014</v>
      </c>
      <c r="D4277" s="43" t="s">
        <v>229</v>
      </c>
      <c r="E4277" s="43" t="s">
        <v>92</v>
      </c>
      <c r="F4277" s="42" t="s">
        <v>11469</v>
      </c>
      <c r="G4277" t="s">
        <v>13197</v>
      </c>
    </row>
    <row r="4278" spans="1:7" x14ac:dyDescent="0.3">
      <c r="A4278" s="42" t="s">
        <v>4295</v>
      </c>
      <c r="B4278" s="42" t="s">
        <v>4448</v>
      </c>
      <c r="C4278" s="42" t="s">
        <v>10015</v>
      </c>
      <c r="D4278" s="43" t="s">
        <v>229</v>
      </c>
      <c r="E4278" s="43" t="s">
        <v>92</v>
      </c>
      <c r="F4278" s="42" t="s">
        <v>11469</v>
      </c>
      <c r="G4278" t="s">
        <v>13197</v>
      </c>
    </row>
    <row r="4279" spans="1:7" x14ac:dyDescent="0.3">
      <c r="A4279" s="42" t="s">
        <v>4295</v>
      </c>
      <c r="B4279" s="42" t="s">
        <v>4449</v>
      </c>
      <c r="C4279" s="42" t="s">
        <v>10016</v>
      </c>
      <c r="D4279" s="43" t="s">
        <v>229</v>
      </c>
      <c r="E4279" s="43" t="s">
        <v>92</v>
      </c>
      <c r="F4279" s="42" t="s">
        <v>11469</v>
      </c>
      <c r="G4279" t="s">
        <v>13197</v>
      </c>
    </row>
    <row r="4280" spans="1:7" x14ac:dyDescent="0.3">
      <c r="A4280" s="42" t="s">
        <v>4295</v>
      </c>
      <c r="B4280" s="42" t="s">
        <v>4450</v>
      </c>
      <c r="C4280" s="42" t="s">
        <v>10017</v>
      </c>
      <c r="D4280" s="43" t="s">
        <v>229</v>
      </c>
      <c r="E4280" s="43" t="s">
        <v>92</v>
      </c>
      <c r="F4280" s="42" t="s">
        <v>11469</v>
      </c>
      <c r="G4280" t="s">
        <v>13197</v>
      </c>
    </row>
    <row r="4281" spans="1:7" x14ac:dyDescent="0.3">
      <c r="A4281" s="42" t="s">
        <v>4295</v>
      </c>
      <c r="B4281" s="42" t="s">
        <v>4451</v>
      </c>
      <c r="C4281" s="42" t="s">
        <v>10018</v>
      </c>
      <c r="D4281" s="43" t="s">
        <v>229</v>
      </c>
      <c r="E4281" s="43" t="s">
        <v>92</v>
      </c>
      <c r="F4281" s="42" t="s">
        <v>11469</v>
      </c>
      <c r="G4281" t="s">
        <v>13197</v>
      </c>
    </row>
    <row r="4282" spans="1:7" x14ac:dyDescent="0.3">
      <c r="A4282" s="42" t="s">
        <v>4295</v>
      </c>
      <c r="B4282" s="42" t="s">
        <v>4452</v>
      </c>
      <c r="C4282" s="42" t="s">
        <v>10019</v>
      </c>
      <c r="D4282" s="43" t="s">
        <v>229</v>
      </c>
      <c r="E4282" s="43" t="s">
        <v>92</v>
      </c>
      <c r="F4282" s="42" t="s">
        <v>11469</v>
      </c>
      <c r="G4282" t="s">
        <v>13197</v>
      </c>
    </row>
    <row r="4283" spans="1:7" x14ac:dyDescent="0.3">
      <c r="A4283" s="42" t="s">
        <v>4295</v>
      </c>
      <c r="B4283" s="42" t="s">
        <v>4453</v>
      </c>
      <c r="C4283" s="42" t="s">
        <v>10020</v>
      </c>
      <c r="D4283" s="43" t="s">
        <v>229</v>
      </c>
      <c r="E4283" s="43" t="s">
        <v>92</v>
      </c>
      <c r="F4283" s="42" t="s">
        <v>11469</v>
      </c>
      <c r="G4283" t="s">
        <v>13197</v>
      </c>
    </row>
    <row r="4284" spans="1:7" x14ac:dyDescent="0.3">
      <c r="A4284" s="42" t="s">
        <v>4295</v>
      </c>
      <c r="B4284" s="42" t="s">
        <v>4454</v>
      </c>
      <c r="C4284" s="42" t="s">
        <v>10021</v>
      </c>
      <c r="D4284" s="43" t="s">
        <v>229</v>
      </c>
      <c r="E4284" s="43" t="s">
        <v>92</v>
      </c>
      <c r="F4284" s="42" t="s">
        <v>11469</v>
      </c>
      <c r="G4284" t="s">
        <v>13197</v>
      </c>
    </row>
    <row r="4285" spans="1:7" x14ac:dyDescent="0.3">
      <c r="A4285" s="42" t="s">
        <v>4295</v>
      </c>
      <c r="B4285" s="42" t="s">
        <v>4455</v>
      </c>
      <c r="C4285" s="42" t="s">
        <v>10022</v>
      </c>
      <c r="D4285" s="43" t="s">
        <v>229</v>
      </c>
      <c r="E4285" s="43" t="s">
        <v>92</v>
      </c>
      <c r="F4285" s="42" t="s">
        <v>11469</v>
      </c>
      <c r="G4285" t="s">
        <v>13197</v>
      </c>
    </row>
    <row r="4286" spans="1:7" x14ac:dyDescent="0.3">
      <c r="A4286" s="42" t="s">
        <v>4295</v>
      </c>
      <c r="B4286" s="42" t="s">
        <v>4456</v>
      </c>
      <c r="C4286" s="42" t="s">
        <v>10023</v>
      </c>
      <c r="D4286" s="43" t="s">
        <v>229</v>
      </c>
      <c r="E4286" s="43" t="s">
        <v>92</v>
      </c>
      <c r="F4286" s="42" t="s">
        <v>11469</v>
      </c>
      <c r="G4286" t="s">
        <v>13197</v>
      </c>
    </row>
    <row r="4287" spans="1:7" x14ac:dyDescent="0.3">
      <c r="A4287" s="42" t="s">
        <v>4295</v>
      </c>
      <c r="B4287" s="42" t="s">
        <v>4457</v>
      </c>
      <c r="C4287" s="42" t="s">
        <v>10024</v>
      </c>
      <c r="D4287" s="43" t="s">
        <v>229</v>
      </c>
      <c r="E4287" s="43" t="s">
        <v>92</v>
      </c>
      <c r="F4287" s="42" t="s">
        <v>11469</v>
      </c>
      <c r="G4287" t="s">
        <v>13197</v>
      </c>
    </row>
    <row r="4288" spans="1:7" x14ac:dyDescent="0.3">
      <c r="A4288" s="42" t="s">
        <v>4295</v>
      </c>
      <c r="B4288" s="42" t="s">
        <v>4458</v>
      </c>
      <c r="C4288" s="42" t="s">
        <v>10025</v>
      </c>
      <c r="D4288" s="43" t="s">
        <v>229</v>
      </c>
      <c r="E4288" s="43" t="s">
        <v>92</v>
      </c>
      <c r="F4288" s="42" t="s">
        <v>11469</v>
      </c>
      <c r="G4288" t="s">
        <v>13197</v>
      </c>
    </row>
    <row r="4289" spans="1:7" x14ac:dyDescent="0.3">
      <c r="A4289" s="42" t="s">
        <v>4295</v>
      </c>
      <c r="B4289" s="42" t="s">
        <v>4459</v>
      </c>
      <c r="C4289" s="42" t="s">
        <v>10026</v>
      </c>
      <c r="D4289" s="43" t="s">
        <v>229</v>
      </c>
      <c r="E4289" s="43" t="s">
        <v>92</v>
      </c>
      <c r="F4289" s="42" t="s">
        <v>11469</v>
      </c>
      <c r="G4289" t="s">
        <v>13197</v>
      </c>
    </row>
    <row r="4290" spans="1:7" x14ac:dyDescent="0.3">
      <c r="A4290" s="42" t="s">
        <v>4295</v>
      </c>
      <c r="B4290" s="42" t="s">
        <v>4460</v>
      </c>
      <c r="C4290" s="42" t="s">
        <v>10027</v>
      </c>
      <c r="D4290" s="43" t="s">
        <v>229</v>
      </c>
      <c r="E4290" s="43" t="s">
        <v>92</v>
      </c>
      <c r="F4290" s="42" t="s">
        <v>11469</v>
      </c>
      <c r="G4290" t="s">
        <v>13197</v>
      </c>
    </row>
    <row r="4291" spans="1:7" x14ac:dyDescent="0.3">
      <c r="A4291" s="42" t="s">
        <v>4295</v>
      </c>
      <c r="B4291" s="42" t="s">
        <v>4461</v>
      </c>
      <c r="C4291" s="42" t="s">
        <v>10028</v>
      </c>
      <c r="D4291" s="43" t="s">
        <v>229</v>
      </c>
      <c r="E4291" s="43" t="s">
        <v>92</v>
      </c>
      <c r="F4291" s="42" t="s">
        <v>11469</v>
      </c>
      <c r="G4291" t="s">
        <v>13197</v>
      </c>
    </row>
    <row r="4292" spans="1:7" x14ac:dyDescent="0.3">
      <c r="A4292" s="42" t="s">
        <v>4295</v>
      </c>
      <c r="B4292" s="42" t="s">
        <v>4462</v>
      </c>
      <c r="C4292" s="42" t="s">
        <v>10029</v>
      </c>
      <c r="D4292" s="43" t="s">
        <v>229</v>
      </c>
      <c r="E4292" s="43" t="s">
        <v>92</v>
      </c>
      <c r="F4292" s="42" t="s">
        <v>11469</v>
      </c>
      <c r="G4292" t="s">
        <v>13197</v>
      </c>
    </row>
    <row r="4293" spans="1:7" x14ac:dyDescent="0.3">
      <c r="A4293" s="42" t="s">
        <v>4295</v>
      </c>
      <c r="B4293" s="42" t="s">
        <v>4463</v>
      </c>
      <c r="C4293" s="42" t="s">
        <v>10030</v>
      </c>
      <c r="D4293" s="43" t="s">
        <v>229</v>
      </c>
      <c r="E4293" s="43" t="s">
        <v>92</v>
      </c>
      <c r="F4293" s="42" t="s">
        <v>11469</v>
      </c>
      <c r="G4293" t="s">
        <v>13197</v>
      </c>
    </row>
    <row r="4294" spans="1:7" x14ac:dyDescent="0.3">
      <c r="A4294" s="42" t="s">
        <v>4295</v>
      </c>
      <c r="B4294" s="42" t="s">
        <v>4464</v>
      </c>
      <c r="C4294" s="42" t="s">
        <v>10031</v>
      </c>
      <c r="D4294" s="43" t="s">
        <v>229</v>
      </c>
      <c r="E4294" s="43" t="s">
        <v>92</v>
      </c>
      <c r="F4294" s="42" t="s">
        <v>11469</v>
      </c>
      <c r="G4294" t="s">
        <v>13197</v>
      </c>
    </row>
    <row r="4295" spans="1:7" x14ac:dyDescent="0.3">
      <c r="A4295" s="42" t="s">
        <v>4295</v>
      </c>
      <c r="B4295" s="42" t="s">
        <v>4465</v>
      </c>
      <c r="C4295" s="42" t="s">
        <v>10032</v>
      </c>
      <c r="D4295" s="43" t="s">
        <v>229</v>
      </c>
      <c r="E4295" s="43" t="s">
        <v>92</v>
      </c>
      <c r="F4295" s="42" t="s">
        <v>11469</v>
      </c>
      <c r="G4295" t="s">
        <v>13197</v>
      </c>
    </row>
    <row r="4296" spans="1:7" x14ac:dyDescent="0.3">
      <c r="A4296" s="42" t="s">
        <v>4295</v>
      </c>
      <c r="B4296" s="42" t="s">
        <v>4466</v>
      </c>
      <c r="C4296" s="42" t="s">
        <v>10033</v>
      </c>
      <c r="D4296" s="43" t="s">
        <v>229</v>
      </c>
      <c r="E4296" s="43" t="s">
        <v>92</v>
      </c>
      <c r="F4296" s="42" t="s">
        <v>11469</v>
      </c>
      <c r="G4296" t="s">
        <v>13197</v>
      </c>
    </row>
    <row r="4297" spans="1:7" x14ac:dyDescent="0.3">
      <c r="A4297" s="42" t="s">
        <v>4295</v>
      </c>
      <c r="B4297" s="42" t="s">
        <v>4467</v>
      </c>
      <c r="C4297" s="42" t="s">
        <v>10034</v>
      </c>
      <c r="D4297" s="43" t="s">
        <v>229</v>
      </c>
      <c r="E4297" s="43" t="s">
        <v>92</v>
      </c>
      <c r="F4297" s="42" t="s">
        <v>11469</v>
      </c>
      <c r="G4297" t="s">
        <v>13197</v>
      </c>
    </row>
    <row r="4298" spans="1:7" x14ac:dyDescent="0.3">
      <c r="A4298" s="42" t="s">
        <v>4295</v>
      </c>
      <c r="B4298" s="42" t="s">
        <v>4468</v>
      </c>
      <c r="C4298" s="42" t="s">
        <v>10035</v>
      </c>
      <c r="D4298" s="43" t="s">
        <v>229</v>
      </c>
      <c r="E4298" s="43" t="s">
        <v>92</v>
      </c>
      <c r="F4298" s="42" t="s">
        <v>11469</v>
      </c>
      <c r="G4298" t="s">
        <v>13197</v>
      </c>
    </row>
    <row r="4299" spans="1:7" x14ac:dyDescent="0.3">
      <c r="A4299" s="42" t="s">
        <v>4295</v>
      </c>
      <c r="B4299" s="42" t="s">
        <v>2377</v>
      </c>
      <c r="C4299" s="42" t="s">
        <v>10036</v>
      </c>
      <c r="D4299" s="43" t="s">
        <v>229</v>
      </c>
      <c r="E4299" s="43" t="s">
        <v>92</v>
      </c>
      <c r="F4299" s="42" t="s">
        <v>11469</v>
      </c>
      <c r="G4299" t="s">
        <v>13197</v>
      </c>
    </row>
    <row r="4300" spans="1:7" x14ac:dyDescent="0.3">
      <c r="A4300" s="42" t="s">
        <v>4295</v>
      </c>
      <c r="B4300" s="42" t="s">
        <v>4469</v>
      </c>
      <c r="C4300" s="42" t="s">
        <v>10037</v>
      </c>
      <c r="D4300" s="43" t="s">
        <v>229</v>
      </c>
      <c r="E4300" s="43" t="s">
        <v>92</v>
      </c>
      <c r="F4300" s="42" t="s">
        <v>11469</v>
      </c>
      <c r="G4300" t="s">
        <v>13197</v>
      </c>
    </row>
    <row r="4301" spans="1:7" x14ac:dyDescent="0.3">
      <c r="A4301" s="42" t="s">
        <v>4295</v>
      </c>
      <c r="B4301" s="42" t="s">
        <v>4470</v>
      </c>
      <c r="C4301" s="42" t="s">
        <v>10038</v>
      </c>
      <c r="D4301" s="43" t="s">
        <v>229</v>
      </c>
      <c r="E4301" s="43" t="s">
        <v>92</v>
      </c>
      <c r="F4301" s="42" t="s">
        <v>11469</v>
      </c>
      <c r="G4301" t="s">
        <v>13197</v>
      </c>
    </row>
    <row r="4302" spans="1:7" x14ac:dyDescent="0.3">
      <c r="A4302" s="42" t="s">
        <v>4295</v>
      </c>
      <c r="B4302" s="42" t="s">
        <v>4471</v>
      </c>
      <c r="C4302" s="42" t="s">
        <v>10039</v>
      </c>
      <c r="D4302" s="43" t="s">
        <v>229</v>
      </c>
      <c r="E4302" s="43" t="s">
        <v>92</v>
      </c>
      <c r="F4302" s="42" t="s">
        <v>11469</v>
      </c>
      <c r="G4302" t="s">
        <v>13197</v>
      </c>
    </row>
    <row r="4303" spans="1:7" x14ac:dyDescent="0.3">
      <c r="A4303" s="42" t="s">
        <v>4295</v>
      </c>
      <c r="B4303" s="42" t="s">
        <v>4472</v>
      </c>
      <c r="C4303" s="42" t="s">
        <v>10040</v>
      </c>
      <c r="D4303" s="43" t="s">
        <v>229</v>
      </c>
      <c r="E4303" s="43" t="s">
        <v>92</v>
      </c>
      <c r="F4303" s="42" t="s">
        <v>11469</v>
      </c>
      <c r="G4303" t="s">
        <v>13197</v>
      </c>
    </row>
    <row r="4304" spans="1:7" x14ac:dyDescent="0.3">
      <c r="A4304" s="42" t="s">
        <v>4295</v>
      </c>
      <c r="B4304" s="42" t="s">
        <v>4473</v>
      </c>
      <c r="C4304" s="42" t="s">
        <v>10041</v>
      </c>
      <c r="D4304" s="43" t="s">
        <v>229</v>
      </c>
      <c r="E4304" s="43" t="s">
        <v>92</v>
      </c>
      <c r="F4304" s="42" t="s">
        <v>192</v>
      </c>
      <c r="G4304" t="s">
        <v>13196</v>
      </c>
    </row>
    <row r="4305" spans="1:7" x14ac:dyDescent="0.3">
      <c r="A4305" s="42" t="s">
        <v>4295</v>
      </c>
      <c r="B4305" s="42" t="s">
        <v>4474</v>
      </c>
      <c r="C4305" s="42" t="s">
        <v>10042</v>
      </c>
      <c r="D4305" s="43" t="s">
        <v>229</v>
      </c>
      <c r="E4305" s="43" t="s">
        <v>92</v>
      </c>
      <c r="F4305" s="42" t="s">
        <v>11469</v>
      </c>
      <c r="G4305" t="s">
        <v>13197</v>
      </c>
    </row>
    <row r="4306" spans="1:7" x14ac:dyDescent="0.3">
      <c r="A4306" s="42" t="s">
        <v>4295</v>
      </c>
      <c r="B4306" s="42" t="s">
        <v>4475</v>
      </c>
      <c r="C4306" s="42" t="s">
        <v>10043</v>
      </c>
      <c r="D4306" s="43" t="s">
        <v>229</v>
      </c>
      <c r="E4306" s="43" t="s">
        <v>92</v>
      </c>
      <c r="F4306" s="42" t="s">
        <v>192</v>
      </c>
      <c r="G4306" t="s">
        <v>13196</v>
      </c>
    </row>
    <row r="4307" spans="1:7" x14ac:dyDescent="0.3">
      <c r="A4307" s="42" t="s">
        <v>4295</v>
      </c>
      <c r="B4307" s="42" t="s">
        <v>4476</v>
      </c>
      <c r="C4307" s="42" t="s">
        <v>10044</v>
      </c>
      <c r="D4307" s="43" t="s">
        <v>229</v>
      </c>
      <c r="E4307" s="43" t="s">
        <v>92</v>
      </c>
      <c r="F4307" s="42" t="s">
        <v>11469</v>
      </c>
      <c r="G4307" t="s">
        <v>13197</v>
      </c>
    </row>
    <row r="4308" spans="1:7" x14ac:dyDescent="0.3">
      <c r="A4308" s="42" t="s">
        <v>4295</v>
      </c>
      <c r="B4308" s="42" t="s">
        <v>4477</v>
      </c>
      <c r="C4308" s="42" t="s">
        <v>10045</v>
      </c>
      <c r="D4308" s="43" t="s">
        <v>229</v>
      </c>
      <c r="E4308" s="43" t="s">
        <v>92</v>
      </c>
      <c r="F4308" s="42" t="s">
        <v>11469</v>
      </c>
      <c r="G4308" t="s">
        <v>13197</v>
      </c>
    </row>
    <row r="4309" spans="1:7" x14ac:dyDescent="0.3">
      <c r="A4309" s="42" t="s">
        <v>4295</v>
      </c>
      <c r="B4309" s="42" t="s">
        <v>4478</v>
      </c>
      <c r="C4309" s="42" t="s">
        <v>10046</v>
      </c>
      <c r="D4309" s="43" t="s">
        <v>229</v>
      </c>
      <c r="E4309" s="43" t="s">
        <v>92</v>
      </c>
      <c r="F4309" s="42" t="s">
        <v>11469</v>
      </c>
      <c r="G4309" t="s">
        <v>13197</v>
      </c>
    </row>
    <row r="4310" spans="1:7" x14ac:dyDescent="0.3">
      <c r="A4310" s="42" t="s">
        <v>4295</v>
      </c>
      <c r="B4310" s="42" t="s">
        <v>4479</v>
      </c>
      <c r="C4310" s="42" t="s">
        <v>10047</v>
      </c>
      <c r="D4310" s="43" t="s">
        <v>229</v>
      </c>
      <c r="E4310" s="43" t="s">
        <v>92</v>
      </c>
      <c r="F4310" s="42" t="s">
        <v>11469</v>
      </c>
      <c r="G4310" t="s">
        <v>13197</v>
      </c>
    </row>
    <row r="4311" spans="1:7" x14ac:dyDescent="0.3">
      <c r="A4311" s="42" t="s">
        <v>4295</v>
      </c>
      <c r="B4311" s="42" t="s">
        <v>4480</v>
      </c>
      <c r="C4311" s="42" t="s">
        <v>10048</v>
      </c>
      <c r="D4311" s="43" t="s">
        <v>229</v>
      </c>
      <c r="E4311" s="43" t="s">
        <v>92</v>
      </c>
      <c r="F4311" s="42" t="s">
        <v>11469</v>
      </c>
      <c r="G4311" t="s">
        <v>13197</v>
      </c>
    </row>
    <row r="4312" spans="1:7" x14ac:dyDescent="0.3">
      <c r="A4312" s="42" t="s">
        <v>4295</v>
      </c>
      <c r="B4312" s="42" t="s">
        <v>4481</v>
      </c>
      <c r="C4312" s="42" t="s">
        <v>10049</v>
      </c>
      <c r="D4312" s="43" t="s">
        <v>229</v>
      </c>
      <c r="E4312" s="43" t="s">
        <v>92</v>
      </c>
      <c r="F4312" s="42" t="s">
        <v>11469</v>
      </c>
      <c r="G4312" t="s">
        <v>13197</v>
      </c>
    </row>
    <row r="4313" spans="1:7" x14ac:dyDescent="0.3">
      <c r="A4313" s="42" t="s">
        <v>4295</v>
      </c>
      <c r="B4313" s="42" t="s">
        <v>4482</v>
      </c>
      <c r="C4313" s="42" t="s">
        <v>10050</v>
      </c>
      <c r="D4313" s="43" t="s">
        <v>229</v>
      </c>
      <c r="E4313" s="43" t="s">
        <v>92</v>
      </c>
      <c r="F4313" s="42" t="s">
        <v>11469</v>
      </c>
      <c r="G4313" t="s">
        <v>13197</v>
      </c>
    </row>
    <row r="4314" spans="1:7" x14ac:dyDescent="0.3">
      <c r="A4314" s="42" t="s">
        <v>4295</v>
      </c>
      <c r="B4314" s="42" t="s">
        <v>4483</v>
      </c>
      <c r="C4314" s="42" t="s">
        <v>10051</v>
      </c>
      <c r="D4314" s="43" t="s">
        <v>229</v>
      </c>
      <c r="E4314" s="43" t="s">
        <v>92</v>
      </c>
      <c r="F4314" s="42" t="s">
        <v>11469</v>
      </c>
      <c r="G4314" t="s">
        <v>13197</v>
      </c>
    </row>
    <row r="4315" spans="1:7" x14ac:dyDescent="0.3">
      <c r="A4315" s="42" t="s">
        <v>4295</v>
      </c>
      <c r="B4315" s="42" t="s">
        <v>4484</v>
      </c>
      <c r="C4315" s="42" t="s">
        <v>10052</v>
      </c>
      <c r="D4315" s="43" t="s">
        <v>229</v>
      </c>
      <c r="E4315" s="43" t="s">
        <v>92</v>
      </c>
      <c r="F4315" s="42" t="s">
        <v>11469</v>
      </c>
      <c r="G4315" t="s">
        <v>13197</v>
      </c>
    </row>
    <row r="4316" spans="1:7" x14ac:dyDescent="0.3">
      <c r="A4316" s="42" t="s">
        <v>4295</v>
      </c>
      <c r="B4316" s="42" t="s">
        <v>4485</v>
      </c>
      <c r="C4316" s="42" t="s">
        <v>10053</v>
      </c>
      <c r="D4316" s="43" t="s">
        <v>229</v>
      </c>
      <c r="E4316" s="43" t="s">
        <v>92</v>
      </c>
      <c r="F4316" s="42" t="s">
        <v>11469</v>
      </c>
      <c r="G4316" t="s">
        <v>13197</v>
      </c>
    </row>
    <row r="4317" spans="1:7" x14ac:dyDescent="0.3">
      <c r="A4317" s="42" t="s">
        <v>4295</v>
      </c>
      <c r="B4317" s="42" t="s">
        <v>4486</v>
      </c>
      <c r="C4317" s="42" t="s">
        <v>10054</v>
      </c>
      <c r="D4317" s="43" t="s">
        <v>229</v>
      </c>
      <c r="E4317" s="43" t="s">
        <v>92</v>
      </c>
      <c r="F4317" s="42" t="s">
        <v>11469</v>
      </c>
      <c r="G4317" t="s">
        <v>13197</v>
      </c>
    </row>
    <row r="4318" spans="1:7" x14ac:dyDescent="0.3">
      <c r="A4318" s="42" t="s">
        <v>4295</v>
      </c>
      <c r="B4318" s="42" t="s">
        <v>4487</v>
      </c>
      <c r="C4318" s="42" t="s">
        <v>10055</v>
      </c>
      <c r="D4318" s="43" t="s">
        <v>229</v>
      </c>
      <c r="E4318" s="43" t="s">
        <v>92</v>
      </c>
      <c r="F4318" s="42" t="s">
        <v>11469</v>
      </c>
      <c r="G4318" t="s">
        <v>13197</v>
      </c>
    </row>
    <row r="4319" spans="1:7" x14ac:dyDescent="0.3">
      <c r="A4319" s="42" t="s">
        <v>4295</v>
      </c>
      <c r="B4319" s="42" t="s">
        <v>4488</v>
      </c>
      <c r="C4319" s="42" t="s">
        <v>10056</v>
      </c>
      <c r="D4319" s="43" t="s">
        <v>229</v>
      </c>
      <c r="E4319" s="43" t="s">
        <v>92</v>
      </c>
      <c r="F4319" s="42" t="s">
        <v>192</v>
      </c>
      <c r="G4319" t="s">
        <v>13196</v>
      </c>
    </row>
    <row r="4320" spans="1:7" x14ac:dyDescent="0.3">
      <c r="A4320" s="42" t="s">
        <v>4295</v>
      </c>
      <c r="B4320" s="42" t="s">
        <v>4489</v>
      </c>
      <c r="C4320" s="42" t="s">
        <v>10057</v>
      </c>
      <c r="D4320" s="43" t="s">
        <v>229</v>
      </c>
      <c r="E4320" s="43" t="s">
        <v>92</v>
      </c>
      <c r="F4320" s="42" t="s">
        <v>192</v>
      </c>
      <c r="G4320" t="s">
        <v>13196</v>
      </c>
    </row>
    <row r="4321" spans="1:7" x14ac:dyDescent="0.3">
      <c r="A4321" s="42" t="s">
        <v>4295</v>
      </c>
      <c r="B4321" s="42" t="s">
        <v>4490</v>
      </c>
      <c r="C4321" s="42" t="s">
        <v>10058</v>
      </c>
      <c r="D4321" s="43" t="s">
        <v>229</v>
      </c>
      <c r="E4321" s="43" t="s">
        <v>92</v>
      </c>
      <c r="F4321" s="42" t="s">
        <v>11469</v>
      </c>
      <c r="G4321" t="s">
        <v>13197</v>
      </c>
    </row>
    <row r="4322" spans="1:7" x14ac:dyDescent="0.3">
      <c r="A4322" s="42" t="s">
        <v>4295</v>
      </c>
      <c r="B4322" s="42" t="s">
        <v>4491</v>
      </c>
      <c r="C4322" s="42" t="s">
        <v>10059</v>
      </c>
      <c r="D4322" s="43" t="s">
        <v>229</v>
      </c>
      <c r="E4322" s="43" t="s">
        <v>92</v>
      </c>
      <c r="F4322" s="42" t="s">
        <v>11469</v>
      </c>
      <c r="G4322" t="s">
        <v>13197</v>
      </c>
    </row>
    <row r="4323" spans="1:7" x14ac:dyDescent="0.3">
      <c r="A4323" s="42" t="s">
        <v>4295</v>
      </c>
      <c r="B4323" s="42" t="s">
        <v>4492</v>
      </c>
      <c r="C4323" s="42" t="s">
        <v>10060</v>
      </c>
      <c r="D4323" s="43" t="s">
        <v>229</v>
      </c>
      <c r="E4323" s="43" t="s">
        <v>92</v>
      </c>
      <c r="F4323" s="42" t="s">
        <v>11469</v>
      </c>
      <c r="G4323" t="s">
        <v>13197</v>
      </c>
    </row>
    <row r="4324" spans="1:7" x14ac:dyDescent="0.3">
      <c r="A4324" s="42" t="s">
        <v>4295</v>
      </c>
      <c r="B4324" s="42" t="s">
        <v>4493</v>
      </c>
      <c r="C4324" s="42" t="s">
        <v>10061</v>
      </c>
      <c r="D4324" s="43" t="s">
        <v>229</v>
      </c>
      <c r="E4324" s="43" t="s">
        <v>92</v>
      </c>
      <c r="F4324" s="42" t="s">
        <v>11469</v>
      </c>
      <c r="G4324" t="s">
        <v>13197</v>
      </c>
    </row>
    <row r="4325" spans="1:7" x14ac:dyDescent="0.3">
      <c r="A4325" s="42" t="s">
        <v>4295</v>
      </c>
      <c r="B4325" s="42" t="s">
        <v>4494</v>
      </c>
      <c r="C4325" s="42" t="s">
        <v>10062</v>
      </c>
      <c r="D4325" s="43" t="s">
        <v>229</v>
      </c>
      <c r="E4325" s="43" t="s">
        <v>92</v>
      </c>
      <c r="F4325" s="42" t="s">
        <v>11469</v>
      </c>
      <c r="G4325" t="s">
        <v>13197</v>
      </c>
    </row>
    <row r="4326" spans="1:7" x14ac:dyDescent="0.3">
      <c r="A4326" s="42" t="s">
        <v>4295</v>
      </c>
      <c r="B4326" s="42" t="s">
        <v>4495</v>
      </c>
      <c r="C4326" s="42" t="s">
        <v>10063</v>
      </c>
      <c r="D4326" s="43" t="s">
        <v>229</v>
      </c>
      <c r="E4326" s="43" t="s">
        <v>92</v>
      </c>
      <c r="F4326" s="42" t="s">
        <v>11469</v>
      </c>
      <c r="G4326" t="s">
        <v>13197</v>
      </c>
    </row>
    <row r="4327" spans="1:7" x14ac:dyDescent="0.3">
      <c r="A4327" s="42" t="s">
        <v>4295</v>
      </c>
      <c r="B4327" s="42" t="s">
        <v>4496</v>
      </c>
      <c r="C4327" s="42" t="s">
        <v>10064</v>
      </c>
      <c r="D4327" s="43" t="s">
        <v>229</v>
      </c>
      <c r="E4327" s="43" t="s">
        <v>92</v>
      </c>
      <c r="F4327" s="42" t="s">
        <v>11469</v>
      </c>
      <c r="G4327" t="s">
        <v>13197</v>
      </c>
    </row>
    <row r="4328" spans="1:7" x14ac:dyDescent="0.3">
      <c r="A4328" s="42" t="s">
        <v>4295</v>
      </c>
      <c r="B4328" s="42" t="s">
        <v>4497</v>
      </c>
      <c r="C4328" s="42" t="s">
        <v>10065</v>
      </c>
      <c r="D4328" s="43" t="s">
        <v>229</v>
      </c>
      <c r="E4328" s="43" t="s">
        <v>92</v>
      </c>
      <c r="F4328" s="42" t="s">
        <v>11469</v>
      </c>
      <c r="G4328" t="s">
        <v>13197</v>
      </c>
    </row>
    <row r="4329" spans="1:7" x14ac:dyDescent="0.3">
      <c r="A4329" s="42" t="s">
        <v>4295</v>
      </c>
      <c r="B4329" s="42" t="s">
        <v>4498</v>
      </c>
      <c r="C4329" s="42" t="s">
        <v>10066</v>
      </c>
      <c r="D4329" s="43" t="s">
        <v>229</v>
      </c>
      <c r="E4329" s="43" t="s">
        <v>92</v>
      </c>
      <c r="F4329" s="42" t="s">
        <v>11469</v>
      </c>
      <c r="G4329" t="s">
        <v>13197</v>
      </c>
    </row>
    <row r="4330" spans="1:7" x14ac:dyDescent="0.3">
      <c r="A4330" s="42" t="s">
        <v>4295</v>
      </c>
      <c r="B4330" s="42" t="s">
        <v>4499</v>
      </c>
      <c r="C4330" s="42" t="s">
        <v>10067</v>
      </c>
      <c r="D4330" s="43" t="s">
        <v>229</v>
      </c>
      <c r="E4330" s="43" t="s">
        <v>92</v>
      </c>
      <c r="F4330" s="42" t="s">
        <v>11469</v>
      </c>
      <c r="G4330" t="s">
        <v>13197</v>
      </c>
    </row>
    <row r="4331" spans="1:7" x14ac:dyDescent="0.3">
      <c r="A4331" s="42" t="s">
        <v>4295</v>
      </c>
      <c r="B4331" s="42" t="s">
        <v>4500</v>
      </c>
      <c r="C4331" s="42" t="s">
        <v>10068</v>
      </c>
      <c r="D4331" s="43" t="s">
        <v>229</v>
      </c>
      <c r="E4331" s="43" t="s">
        <v>92</v>
      </c>
      <c r="F4331" s="42" t="s">
        <v>11469</v>
      </c>
      <c r="G4331" t="s">
        <v>13197</v>
      </c>
    </row>
    <row r="4332" spans="1:7" x14ac:dyDescent="0.3">
      <c r="A4332" s="42" t="s">
        <v>4295</v>
      </c>
      <c r="B4332" s="42" t="s">
        <v>4501</v>
      </c>
      <c r="C4332" s="42" t="s">
        <v>10069</v>
      </c>
      <c r="D4332" s="43" t="s">
        <v>229</v>
      </c>
      <c r="E4332" s="43" t="s">
        <v>92</v>
      </c>
      <c r="F4332" s="42" t="s">
        <v>11469</v>
      </c>
      <c r="G4332" t="s">
        <v>13197</v>
      </c>
    </row>
    <row r="4333" spans="1:7" x14ac:dyDescent="0.3">
      <c r="A4333" s="42" t="s">
        <v>4295</v>
      </c>
      <c r="B4333" s="42" t="s">
        <v>4502</v>
      </c>
      <c r="C4333" s="42" t="s">
        <v>10070</v>
      </c>
      <c r="D4333" s="43" t="s">
        <v>229</v>
      </c>
      <c r="E4333" s="43" t="s">
        <v>92</v>
      </c>
      <c r="F4333" s="42" t="s">
        <v>11469</v>
      </c>
      <c r="G4333" t="s">
        <v>13197</v>
      </c>
    </row>
    <row r="4334" spans="1:7" x14ac:dyDescent="0.3">
      <c r="A4334" s="42" t="s">
        <v>4295</v>
      </c>
      <c r="B4334" s="42" t="s">
        <v>4503</v>
      </c>
      <c r="C4334" s="42" t="s">
        <v>10071</v>
      </c>
      <c r="D4334" s="43" t="s">
        <v>229</v>
      </c>
      <c r="E4334" s="43" t="s">
        <v>92</v>
      </c>
      <c r="F4334" s="42" t="s">
        <v>11469</v>
      </c>
      <c r="G4334" t="s">
        <v>13197</v>
      </c>
    </row>
    <row r="4335" spans="1:7" x14ac:dyDescent="0.3">
      <c r="A4335" s="42" t="s">
        <v>4295</v>
      </c>
      <c r="B4335" s="42" t="s">
        <v>4504</v>
      </c>
      <c r="C4335" s="42" t="s">
        <v>10072</v>
      </c>
      <c r="D4335" s="43" t="s">
        <v>229</v>
      </c>
      <c r="E4335" s="43" t="s">
        <v>92</v>
      </c>
      <c r="F4335" s="42" t="s">
        <v>11469</v>
      </c>
      <c r="G4335" t="s">
        <v>13197</v>
      </c>
    </row>
    <row r="4336" spans="1:7" x14ac:dyDescent="0.3">
      <c r="A4336" s="42" t="s">
        <v>4295</v>
      </c>
      <c r="B4336" s="42" t="s">
        <v>4505</v>
      </c>
      <c r="C4336" s="42" t="s">
        <v>10073</v>
      </c>
      <c r="D4336" s="43" t="s">
        <v>229</v>
      </c>
      <c r="E4336" s="43" t="s">
        <v>92</v>
      </c>
      <c r="F4336" s="42" t="s">
        <v>11469</v>
      </c>
      <c r="G4336" t="s">
        <v>13197</v>
      </c>
    </row>
    <row r="4337" spans="1:7" x14ac:dyDescent="0.3">
      <c r="A4337" s="42" t="s">
        <v>4295</v>
      </c>
      <c r="B4337" s="42" t="s">
        <v>4506</v>
      </c>
      <c r="C4337" s="42" t="s">
        <v>10074</v>
      </c>
      <c r="D4337" s="43" t="s">
        <v>229</v>
      </c>
      <c r="E4337" s="43" t="s">
        <v>92</v>
      </c>
      <c r="F4337" s="42" t="s">
        <v>11469</v>
      </c>
      <c r="G4337" t="s">
        <v>13197</v>
      </c>
    </row>
    <row r="4338" spans="1:7" x14ac:dyDescent="0.3">
      <c r="A4338" s="42" t="s">
        <v>4295</v>
      </c>
      <c r="B4338" s="42" t="s">
        <v>4507</v>
      </c>
      <c r="C4338" s="42" t="s">
        <v>10075</v>
      </c>
      <c r="D4338" s="43" t="s">
        <v>229</v>
      </c>
      <c r="E4338" s="43" t="s">
        <v>92</v>
      </c>
      <c r="F4338" s="42" t="s">
        <v>11469</v>
      </c>
      <c r="G4338" t="s">
        <v>13197</v>
      </c>
    </row>
    <row r="4339" spans="1:7" x14ac:dyDescent="0.3">
      <c r="A4339" s="42" t="s">
        <v>4295</v>
      </c>
      <c r="B4339" s="42" t="s">
        <v>4508</v>
      </c>
      <c r="C4339" s="42" t="s">
        <v>10076</v>
      </c>
      <c r="D4339" s="43" t="s">
        <v>229</v>
      </c>
      <c r="E4339" s="43" t="s">
        <v>92</v>
      </c>
      <c r="F4339" s="42" t="s">
        <v>11469</v>
      </c>
      <c r="G4339" t="s">
        <v>13197</v>
      </c>
    </row>
    <row r="4340" spans="1:7" x14ac:dyDescent="0.3">
      <c r="A4340" s="42" t="s">
        <v>4295</v>
      </c>
      <c r="B4340" s="42" t="s">
        <v>4509</v>
      </c>
      <c r="C4340" s="42" t="s">
        <v>10077</v>
      </c>
      <c r="D4340" s="43" t="s">
        <v>229</v>
      </c>
      <c r="E4340" s="43" t="s">
        <v>92</v>
      </c>
      <c r="F4340" s="42" t="s">
        <v>11469</v>
      </c>
      <c r="G4340" t="s">
        <v>13197</v>
      </c>
    </row>
    <row r="4341" spans="1:7" x14ac:dyDescent="0.3">
      <c r="A4341" s="42" t="s">
        <v>4295</v>
      </c>
      <c r="B4341" s="42" t="s">
        <v>4510</v>
      </c>
      <c r="C4341" s="42" t="s">
        <v>10078</v>
      </c>
      <c r="D4341" s="43" t="s">
        <v>229</v>
      </c>
      <c r="E4341" s="43" t="s">
        <v>92</v>
      </c>
      <c r="F4341" s="42" t="s">
        <v>11469</v>
      </c>
      <c r="G4341" t="s">
        <v>13197</v>
      </c>
    </row>
    <row r="4342" spans="1:7" x14ac:dyDescent="0.3">
      <c r="A4342" s="42" t="s">
        <v>4295</v>
      </c>
      <c r="B4342" s="42" t="s">
        <v>4511</v>
      </c>
      <c r="C4342" s="42" t="s">
        <v>10079</v>
      </c>
      <c r="D4342" s="43" t="s">
        <v>229</v>
      </c>
      <c r="E4342" s="43" t="s">
        <v>92</v>
      </c>
      <c r="F4342" s="42" t="s">
        <v>11469</v>
      </c>
      <c r="G4342" t="s">
        <v>13198</v>
      </c>
    </row>
    <row r="4343" spans="1:7" x14ac:dyDescent="0.3">
      <c r="A4343" s="42" t="s">
        <v>4295</v>
      </c>
      <c r="B4343" s="42" t="s">
        <v>4512</v>
      </c>
      <c r="C4343" s="42" t="s">
        <v>10080</v>
      </c>
      <c r="D4343" s="43" t="s">
        <v>229</v>
      </c>
      <c r="E4343" s="43" t="s">
        <v>92</v>
      </c>
      <c r="F4343" s="42" t="s">
        <v>11469</v>
      </c>
      <c r="G4343" t="s">
        <v>13197</v>
      </c>
    </row>
    <row r="4344" spans="1:7" x14ac:dyDescent="0.3">
      <c r="A4344" s="42" t="s">
        <v>4295</v>
      </c>
      <c r="B4344" s="42" t="s">
        <v>4513</v>
      </c>
      <c r="C4344" s="42" t="s">
        <v>10081</v>
      </c>
      <c r="D4344" s="43" t="s">
        <v>229</v>
      </c>
      <c r="E4344" s="43" t="s">
        <v>92</v>
      </c>
      <c r="F4344" s="42" t="s">
        <v>11469</v>
      </c>
      <c r="G4344" t="s">
        <v>13197</v>
      </c>
    </row>
    <row r="4345" spans="1:7" x14ac:dyDescent="0.3">
      <c r="A4345" s="42" t="s">
        <v>4295</v>
      </c>
      <c r="B4345" s="42" t="s">
        <v>4165</v>
      </c>
      <c r="C4345" s="42" t="s">
        <v>10082</v>
      </c>
      <c r="D4345" s="43" t="s">
        <v>229</v>
      </c>
      <c r="E4345" s="43" t="s">
        <v>92</v>
      </c>
      <c r="F4345" s="42" t="s">
        <v>11469</v>
      </c>
      <c r="G4345" t="s">
        <v>13197</v>
      </c>
    </row>
    <row r="4346" spans="1:7" x14ac:dyDescent="0.3">
      <c r="A4346" s="42" t="s">
        <v>4295</v>
      </c>
      <c r="B4346" s="42" t="s">
        <v>4514</v>
      </c>
      <c r="C4346" s="42" t="s">
        <v>10083</v>
      </c>
      <c r="D4346" s="43" t="s">
        <v>229</v>
      </c>
      <c r="E4346" s="43" t="s">
        <v>92</v>
      </c>
      <c r="F4346" s="42" t="s">
        <v>11469</v>
      </c>
      <c r="G4346" t="s">
        <v>13197</v>
      </c>
    </row>
    <row r="4347" spans="1:7" x14ac:dyDescent="0.3">
      <c r="A4347" s="42" t="s">
        <v>4295</v>
      </c>
      <c r="B4347" s="42" t="s">
        <v>4515</v>
      </c>
      <c r="C4347" s="42" t="s">
        <v>10084</v>
      </c>
      <c r="D4347" s="43" t="s">
        <v>229</v>
      </c>
      <c r="E4347" s="43" t="s">
        <v>92</v>
      </c>
      <c r="F4347" s="42" t="s">
        <v>11469</v>
      </c>
      <c r="G4347" t="s">
        <v>13197</v>
      </c>
    </row>
    <row r="4348" spans="1:7" x14ac:dyDescent="0.3">
      <c r="A4348" s="42" t="s">
        <v>4295</v>
      </c>
      <c r="B4348" s="42" t="s">
        <v>4516</v>
      </c>
      <c r="C4348" s="42" t="s">
        <v>10085</v>
      </c>
      <c r="D4348" s="43" t="s">
        <v>229</v>
      </c>
      <c r="E4348" s="43" t="s">
        <v>92</v>
      </c>
      <c r="F4348" s="42" t="s">
        <v>11469</v>
      </c>
      <c r="G4348" t="s">
        <v>13197</v>
      </c>
    </row>
    <row r="4349" spans="1:7" x14ac:dyDescent="0.3">
      <c r="A4349" s="42" t="s">
        <v>4295</v>
      </c>
      <c r="B4349" s="42" t="s">
        <v>4517</v>
      </c>
      <c r="C4349" s="42" t="s">
        <v>10086</v>
      </c>
      <c r="D4349" s="43" t="s">
        <v>229</v>
      </c>
      <c r="E4349" s="43" t="s">
        <v>92</v>
      </c>
      <c r="F4349" s="42" t="s">
        <v>11469</v>
      </c>
      <c r="G4349" t="s">
        <v>13197</v>
      </c>
    </row>
    <row r="4350" spans="1:7" x14ac:dyDescent="0.3">
      <c r="A4350" s="42" t="s">
        <v>4295</v>
      </c>
      <c r="B4350" s="42" t="s">
        <v>4518</v>
      </c>
      <c r="C4350" s="42" t="s">
        <v>10087</v>
      </c>
      <c r="D4350" s="43" t="s">
        <v>229</v>
      </c>
      <c r="E4350" s="43" t="s">
        <v>92</v>
      </c>
      <c r="F4350" s="42" t="s">
        <v>11469</v>
      </c>
      <c r="G4350" t="s">
        <v>13197</v>
      </c>
    </row>
    <row r="4351" spans="1:7" x14ac:dyDescent="0.3">
      <c r="A4351" s="42" t="s">
        <v>4295</v>
      </c>
      <c r="B4351" s="42" t="s">
        <v>4519</v>
      </c>
      <c r="C4351" s="42" t="s">
        <v>10088</v>
      </c>
      <c r="D4351" s="43" t="s">
        <v>229</v>
      </c>
      <c r="E4351" s="43" t="s">
        <v>92</v>
      </c>
      <c r="F4351" s="42" t="s">
        <v>11469</v>
      </c>
      <c r="G4351" t="s">
        <v>13197</v>
      </c>
    </row>
    <row r="4352" spans="1:7" x14ac:dyDescent="0.3">
      <c r="A4352" s="42" t="s">
        <v>4295</v>
      </c>
      <c r="B4352" s="42" t="s">
        <v>4520</v>
      </c>
      <c r="C4352" s="42" t="s">
        <v>10089</v>
      </c>
      <c r="D4352" s="43" t="s">
        <v>229</v>
      </c>
      <c r="E4352" s="43" t="s">
        <v>92</v>
      </c>
      <c r="F4352" s="42" t="s">
        <v>11469</v>
      </c>
      <c r="G4352" t="s">
        <v>13197</v>
      </c>
    </row>
    <row r="4353" spans="1:7" x14ac:dyDescent="0.3">
      <c r="A4353" s="42" t="s">
        <v>4295</v>
      </c>
      <c r="B4353" s="42" t="s">
        <v>4521</v>
      </c>
      <c r="C4353" s="42" t="s">
        <v>10090</v>
      </c>
      <c r="D4353" s="43" t="s">
        <v>229</v>
      </c>
      <c r="E4353" s="43" t="s">
        <v>92</v>
      </c>
      <c r="F4353" s="42" t="s">
        <v>11469</v>
      </c>
      <c r="G4353" t="s">
        <v>13197</v>
      </c>
    </row>
    <row r="4354" spans="1:7" x14ac:dyDescent="0.3">
      <c r="A4354" s="42" t="s">
        <v>4295</v>
      </c>
      <c r="B4354" s="42" t="s">
        <v>4522</v>
      </c>
      <c r="C4354" s="42" t="s">
        <v>10091</v>
      </c>
      <c r="D4354" s="43" t="s">
        <v>229</v>
      </c>
      <c r="E4354" s="43" t="s">
        <v>92</v>
      </c>
      <c r="F4354" s="42" t="s">
        <v>11469</v>
      </c>
      <c r="G4354" t="s">
        <v>13197</v>
      </c>
    </row>
    <row r="4355" spans="1:7" x14ac:dyDescent="0.3">
      <c r="A4355" s="42" t="s">
        <v>4295</v>
      </c>
      <c r="B4355" s="42" t="s">
        <v>4523</v>
      </c>
      <c r="C4355" s="42" t="s">
        <v>10092</v>
      </c>
      <c r="D4355" s="43" t="s">
        <v>229</v>
      </c>
      <c r="E4355" s="43" t="s">
        <v>92</v>
      </c>
      <c r="F4355" s="42" t="s">
        <v>11469</v>
      </c>
      <c r="G4355" t="s">
        <v>13197</v>
      </c>
    </row>
    <row r="4356" spans="1:7" x14ac:dyDescent="0.3">
      <c r="A4356" s="42" t="s">
        <v>4295</v>
      </c>
      <c r="B4356" s="42" t="s">
        <v>4524</v>
      </c>
      <c r="C4356" s="42" t="s">
        <v>10093</v>
      </c>
      <c r="D4356" s="43" t="s">
        <v>229</v>
      </c>
      <c r="E4356" s="43" t="s">
        <v>92</v>
      </c>
      <c r="F4356" s="42" t="s">
        <v>11469</v>
      </c>
      <c r="G4356" t="s">
        <v>13197</v>
      </c>
    </row>
    <row r="4357" spans="1:7" x14ac:dyDescent="0.3">
      <c r="A4357" s="42" t="s">
        <v>4295</v>
      </c>
      <c r="B4357" s="42" t="s">
        <v>4525</v>
      </c>
      <c r="C4357" s="42" t="s">
        <v>10094</v>
      </c>
      <c r="D4357" s="43" t="s">
        <v>229</v>
      </c>
      <c r="E4357" s="43" t="s">
        <v>92</v>
      </c>
      <c r="F4357" s="42" t="s">
        <v>11469</v>
      </c>
      <c r="G4357" t="s">
        <v>13197</v>
      </c>
    </row>
    <row r="4358" spans="1:7" x14ac:dyDescent="0.3">
      <c r="A4358" s="42" t="s">
        <v>4295</v>
      </c>
      <c r="B4358" s="42" t="s">
        <v>4526</v>
      </c>
      <c r="C4358" s="42" t="s">
        <v>10095</v>
      </c>
      <c r="D4358" s="43" t="s">
        <v>229</v>
      </c>
      <c r="E4358" s="43" t="s">
        <v>92</v>
      </c>
      <c r="F4358" s="42" t="s">
        <v>11469</v>
      </c>
      <c r="G4358" t="s">
        <v>13197</v>
      </c>
    </row>
    <row r="4359" spans="1:7" x14ac:dyDescent="0.3">
      <c r="A4359" s="42" t="s">
        <v>4295</v>
      </c>
      <c r="B4359" s="42" t="s">
        <v>4527</v>
      </c>
      <c r="C4359" s="42" t="s">
        <v>10096</v>
      </c>
      <c r="D4359" s="43" t="s">
        <v>229</v>
      </c>
      <c r="E4359" s="43" t="s">
        <v>92</v>
      </c>
      <c r="F4359" s="42" t="s">
        <v>11469</v>
      </c>
      <c r="G4359" t="s">
        <v>13197</v>
      </c>
    </row>
    <row r="4360" spans="1:7" x14ac:dyDescent="0.3">
      <c r="A4360" s="42" t="s">
        <v>4295</v>
      </c>
      <c r="B4360" s="42" t="s">
        <v>4528</v>
      </c>
      <c r="C4360" s="42" t="s">
        <v>10097</v>
      </c>
      <c r="D4360" s="43" t="s">
        <v>229</v>
      </c>
      <c r="E4360" s="43" t="s">
        <v>92</v>
      </c>
      <c r="F4360" s="42" t="s">
        <v>11469</v>
      </c>
      <c r="G4360" t="s">
        <v>13197</v>
      </c>
    </row>
    <row r="4361" spans="1:7" x14ac:dyDescent="0.3">
      <c r="A4361" s="42" t="s">
        <v>4295</v>
      </c>
      <c r="B4361" s="42" t="s">
        <v>4529</v>
      </c>
      <c r="C4361" s="42" t="s">
        <v>10098</v>
      </c>
      <c r="D4361" s="43" t="s">
        <v>229</v>
      </c>
      <c r="E4361" s="43" t="s">
        <v>92</v>
      </c>
      <c r="F4361" s="42" t="s">
        <v>11469</v>
      </c>
      <c r="G4361" t="s">
        <v>13197</v>
      </c>
    </row>
    <row r="4362" spans="1:7" x14ac:dyDescent="0.3">
      <c r="A4362" s="42" t="s">
        <v>4295</v>
      </c>
      <c r="B4362" s="42" t="s">
        <v>4530</v>
      </c>
      <c r="C4362" s="42" t="s">
        <v>10099</v>
      </c>
      <c r="D4362" s="43" t="s">
        <v>229</v>
      </c>
      <c r="E4362" s="43" t="s">
        <v>92</v>
      </c>
      <c r="F4362" s="42" t="s">
        <v>11469</v>
      </c>
      <c r="G4362" t="s">
        <v>13197</v>
      </c>
    </row>
    <row r="4363" spans="1:7" x14ac:dyDescent="0.3">
      <c r="A4363" s="42" t="s">
        <v>4295</v>
      </c>
      <c r="B4363" s="42" t="s">
        <v>4531</v>
      </c>
      <c r="C4363" s="42" t="s">
        <v>10100</v>
      </c>
      <c r="D4363" s="43" t="s">
        <v>229</v>
      </c>
      <c r="E4363" s="43" t="s">
        <v>92</v>
      </c>
      <c r="F4363" s="42" t="s">
        <v>192</v>
      </c>
      <c r="G4363" t="s">
        <v>13196</v>
      </c>
    </row>
    <row r="4364" spans="1:7" x14ac:dyDescent="0.3">
      <c r="A4364" s="42" t="s">
        <v>4295</v>
      </c>
      <c r="B4364" s="42" t="s">
        <v>4532</v>
      </c>
      <c r="C4364" s="42" t="s">
        <v>10101</v>
      </c>
      <c r="D4364" s="43" t="s">
        <v>229</v>
      </c>
      <c r="E4364" s="43" t="s">
        <v>92</v>
      </c>
      <c r="F4364" s="42" t="s">
        <v>192</v>
      </c>
      <c r="G4364" t="s">
        <v>13196</v>
      </c>
    </row>
    <row r="4365" spans="1:7" x14ac:dyDescent="0.3">
      <c r="A4365" s="42" t="s">
        <v>4295</v>
      </c>
      <c r="B4365" s="42" t="s">
        <v>4533</v>
      </c>
      <c r="C4365" s="42" t="s">
        <v>10102</v>
      </c>
      <c r="D4365" s="43" t="s">
        <v>229</v>
      </c>
      <c r="E4365" s="43" t="s">
        <v>92</v>
      </c>
      <c r="F4365" s="42" t="s">
        <v>11469</v>
      </c>
      <c r="G4365" t="s">
        <v>13197</v>
      </c>
    </row>
    <row r="4366" spans="1:7" x14ac:dyDescent="0.3">
      <c r="A4366" s="42" t="s">
        <v>4295</v>
      </c>
      <c r="B4366" s="42" t="s">
        <v>4534</v>
      </c>
      <c r="C4366" s="42" t="s">
        <v>10103</v>
      </c>
      <c r="D4366" s="43" t="s">
        <v>229</v>
      </c>
      <c r="E4366" s="43" t="s">
        <v>92</v>
      </c>
      <c r="F4366" s="42" t="s">
        <v>11469</v>
      </c>
      <c r="G4366" t="s">
        <v>13197</v>
      </c>
    </row>
    <row r="4367" spans="1:7" x14ac:dyDescent="0.3">
      <c r="A4367" s="42" t="s">
        <v>4295</v>
      </c>
      <c r="B4367" s="42" t="s">
        <v>4535</v>
      </c>
      <c r="C4367" s="42" t="s">
        <v>10104</v>
      </c>
      <c r="D4367" s="43" t="s">
        <v>229</v>
      </c>
      <c r="E4367" s="43" t="s">
        <v>92</v>
      </c>
      <c r="F4367" s="42" t="s">
        <v>11469</v>
      </c>
      <c r="G4367" t="s">
        <v>13197</v>
      </c>
    </row>
    <row r="4368" spans="1:7" x14ac:dyDescent="0.3">
      <c r="A4368" s="42" t="s">
        <v>4295</v>
      </c>
      <c r="B4368" s="42" t="s">
        <v>4536</v>
      </c>
      <c r="C4368" s="42" t="s">
        <v>10105</v>
      </c>
      <c r="D4368" s="43" t="s">
        <v>229</v>
      </c>
      <c r="E4368" s="43" t="s">
        <v>92</v>
      </c>
      <c r="F4368" s="42" t="s">
        <v>11469</v>
      </c>
      <c r="G4368" t="s">
        <v>13197</v>
      </c>
    </row>
    <row r="4369" spans="1:7" x14ac:dyDescent="0.3">
      <c r="A4369" s="42" t="s">
        <v>4295</v>
      </c>
      <c r="B4369" s="42" t="s">
        <v>4537</v>
      </c>
      <c r="C4369" s="42" t="s">
        <v>10106</v>
      </c>
      <c r="D4369" s="43" t="s">
        <v>229</v>
      </c>
      <c r="E4369" s="43" t="s">
        <v>92</v>
      </c>
      <c r="F4369" s="42" t="s">
        <v>11469</v>
      </c>
      <c r="G4369" t="s">
        <v>13197</v>
      </c>
    </row>
    <row r="4370" spans="1:7" x14ac:dyDescent="0.3">
      <c r="A4370" s="42" t="s">
        <v>4295</v>
      </c>
      <c r="B4370" s="42" t="s">
        <v>4538</v>
      </c>
      <c r="C4370" s="42" t="s">
        <v>10107</v>
      </c>
      <c r="D4370" s="43" t="s">
        <v>229</v>
      </c>
      <c r="E4370" s="43" t="s">
        <v>92</v>
      </c>
      <c r="F4370" s="42" t="s">
        <v>11469</v>
      </c>
      <c r="G4370" t="s">
        <v>13197</v>
      </c>
    </row>
    <row r="4371" spans="1:7" x14ac:dyDescent="0.3">
      <c r="A4371" s="42" t="s">
        <v>4295</v>
      </c>
      <c r="B4371" s="42" t="s">
        <v>4539</v>
      </c>
      <c r="C4371" s="42" t="s">
        <v>10108</v>
      </c>
      <c r="D4371" s="43" t="s">
        <v>229</v>
      </c>
      <c r="E4371" s="43" t="s">
        <v>92</v>
      </c>
      <c r="F4371" s="42" t="s">
        <v>11469</v>
      </c>
      <c r="G4371" t="s">
        <v>13197</v>
      </c>
    </row>
    <row r="4372" spans="1:7" x14ac:dyDescent="0.3">
      <c r="A4372" s="42" t="s">
        <v>4295</v>
      </c>
      <c r="B4372" s="42" t="s">
        <v>4540</v>
      </c>
      <c r="C4372" s="42" t="s">
        <v>10109</v>
      </c>
      <c r="D4372" s="43" t="s">
        <v>229</v>
      </c>
      <c r="E4372" s="43" t="s">
        <v>92</v>
      </c>
      <c r="F4372" s="42" t="s">
        <v>11469</v>
      </c>
      <c r="G4372" t="s">
        <v>13197</v>
      </c>
    </row>
    <row r="4373" spans="1:7" x14ac:dyDescent="0.3">
      <c r="A4373" s="42" t="s">
        <v>4295</v>
      </c>
      <c r="B4373" s="42" t="s">
        <v>4541</v>
      </c>
      <c r="C4373" s="42" t="s">
        <v>10110</v>
      </c>
      <c r="D4373" s="43" t="s">
        <v>229</v>
      </c>
      <c r="E4373" s="43" t="s">
        <v>92</v>
      </c>
      <c r="F4373" s="42" t="s">
        <v>192</v>
      </c>
      <c r="G4373" t="s">
        <v>13197</v>
      </c>
    </row>
    <row r="4374" spans="1:7" x14ac:dyDescent="0.3">
      <c r="A4374" s="42" t="s">
        <v>4295</v>
      </c>
      <c r="B4374" s="42" t="s">
        <v>4542</v>
      </c>
      <c r="C4374" s="42" t="s">
        <v>10111</v>
      </c>
      <c r="D4374" s="43" t="s">
        <v>229</v>
      </c>
      <c r="E4374" s="43" t="s">
        <v>92</v>
      </c>
      <c r="F4374" s="42" t="s">
        <v>11469</v>
      </c>
      <c r="G4374" t="s">
        <v>13197</v>
      </c>
    </row>
    <row r="4375" spans="1:7" x14ac:dyDescent="0.3">
      <c r="A4375" s="42" t="s">
        <v>4295</v>
      </c>
      <c r="B4375" s="42" t="s">
        <v>4543</v>
      </c>
      <c r="C4375" s="42" t="s">
        <v>10112</v>
      </c>
      <c r="D4375" s="43" t="s">
        <v>229</v>
      </c>
      <c r="E4375" s="43" t="s">
        <v>92</v>
      </c>
      <c r="F4375" s="42" t="s">
        <v>11469</v>
      </c>
      <c r="G4375" t="s">
        <v>13197</v>
      </c>
    </row>
    <row r="4376" spans="1:7" x14ac:dyDescent="0.3">
      <c r="A4376" s="42" t="s">
        <v>4295</v>
      </c>
      <c r="B4376" s="42" t="s">
        <v>647</v>
      </c>
      <c r="C4376" s="42" t="s">
        <v>10113</v>
      </c>
      <c r="D4376" s="43" t="s">
        <v>229</v>
      </c>
      <c r="E4376" s="43" t="s">
        <v>92</v>
      </c>
      <c r="F4376" s="42" t="s">
        <v>11469</v>
      </c>
      <c r="G4376" t="s">
        <v>13197</v>
      </c>
    </row>
    <row r="4377" spans="1:7" x14ac:dyDescent="0.3">
      <c r="A4377" s="42" t="s">
        <v>4295</v>
      </c>
      <c r="B4377" s="42" t="s">
        <v>4544</v>
      </c>
      <c r="C4377" s="42" t="s">
        <v>10114</v>
      </c>
      <c r="D4377" s="43" t="s">
        <v>229</v>
      </c>
      <c r="E4377" s="43" t="s">
        <v>92</v>
      </c>
      <c r="F4377" s="42" t="s">
        <v>11469</v>
      </c>
      <c r="G4377" t="s">
        <v>13197</v>
      </c>
    </row>
    <row r="4378" spans="1:7" x14ac:dyDescent="0.3">
      <c r="A4378" s="42" t="s">
        <v>4295</v>
      </c>
      <c r="B4378" s="42" t="s">
        <v>4545</v>
      </c>
      <c r="C4378" s="42" t="s">
        <v>10115</v>
      </c>
      <c r="D4378" s="43" t="s">
        <v>229</v>
      </c>
      <c r="E4378" s="43" t="s">
        <v>92</v>
      </c>
      <c r="F4378" s="42" t="s">
        <v>11469</v>
      </c>
      <c r="G4378" t="s">
        <v>13197</v>
      </c>
    </row>
    <row r="4379" spans="1:7" x14ac:dyDescent="0.3">
      <c r="A4379" s="42" t="s">
        <v>4295</v>
      </c>
      <c r="B4379" s="42" t="s">
        <v>4546</v>
      </c>
      <c r="C4379" s="42" t="s">
        <v>10116</v>
      </c>
      <c r="D4379" s="43" t="s">
        <v>229</v>
      </c>
      <c r="E4379" s="43" t="s">
        <v>92</v>
      </c>
      <c r="F4379" s="42" t="s">
        <v>11469</v>
      </c>
      <c r="G4379" t="s">
        <v>13197</v>
      </c>
    </row>
    <row r="4380" spans="1:7" x14ac:dyDescent="0.3">
      <c r="A4380" s="42" t="s">
        <v>4295</v>
      </c>
      <c r="B4380" s="42" t="s">
        <v>4547</v>
      </c>
      <c r="C4380" s="42" t="s">
        <v>10117</v>
      </c>
      <c r="D4380" s="43" t="s">
        <v>229</v>
      </c>
      <c r="E4380" s="43" t="s">
        <v>92</v>
      </c>
      <c r="F4380" s="42" t="s">
        <v>11469</v>
      </c>
      <c r="G4380" t="s">
        <v>13197</v>
      </c>
    </row>
    <row r="4381" spans="1:7" x14ac:dyDescent="0.3">
      <c r="A4381" s="42" t="s">
        <v>4295</v>
      </c>
      <c r="B4381" s="42" t="s">
        <v>4548</v>
      </c>
      <c r="C4381" s="42" t="s">
        <v>10118</v>
      </c>
      <c r="D4381" s="43" t="s">
        <v>229</v>
      </c>
      <c r="E4381" s="43" t="s">
        <v>92</v>
      </c>
      <c r="F4381" s="42" t="s">
        <v>11469</v>
      </c>
      <c r="G4381" t="s">
        <v>13197</v>
      </c>
    </row>
    <row r="4382" spans="1:7" x14ac:dyDescent="0.3">
      <c r="A4382" s="42" t="s">
        <v>4295</v>
      </c>
      <c r="B4382" s="42" t="s">
        <v>4549</v>
      </c>
      <c r="C4382" s="42" t="s">
        <v>10119</v>
      </c>
      <c r="D4382" s="43" t="s">
        <v>229</v>
      </c>
      <c r="E4382" s="43" t="s">
        <v>92</v>
      </c>
      <c r="F4382" s="42" t="s">
        <v>11469</v>
      </c>
      <c r="G4382" t="s">
        <v>13197</v>
      </c>
    </row>
    <row r="4383" spans="1:7" x14ac:dyDescent="0.3">
      <c r="A4383" s="42" t="s">
        <v>4295</v>
      </c>
      <c r="B4383" s="42" t="s">
        <v>4550</v>
      </c>
      <c r="C4383" s="42" t="s">
        <v>10120</v>
      </c>
      <c r="D4383" s="43" t="s">
        <v>229</v>
      </c>
      <c r="E4383" s="43" t="s">
        <v>92</v>
      </c>
      <c r="F4383" s="42" t="s">
        <v>11469</v>
      </c>
      <c r="G4383" t="s">
        <v>13197</v>
      </c>
    </row>
    <row r="4384" spans="1:7" x14ac:dyDescent="0.3">
      <c r="A4384" s="42" t="s">
        <v>4295</v>
      </c>
      <c r="B4384" s="42" t="s">
        <v>4551</v>
      </c>
      <c r="C4384" s="42" t="s">
        <v>10121</v>
      </c>
      <c r="D4384" s="43" t="s">
        <v>229</v>
      </c>
      <c r="E4384" s="43" t="s">
        <v>92</v>
      </c>
      <c r="F4384" s="42" t="s">
        <v>11469</v>
      </c>
      <c r="G4384" t="s">
        <v>13197</v>
      </c>
    </row>
    <row r="4385" spans="1:7" x14ac:dyDescent="0.3">
      <c r="A4385" s="42" t="s">
        <v>4295</v>
      </c>
      <c r="B4385" s="42" t="s">
        <v>4552</v>
      </c>
      <c r="C4385" s="42" t="s">
        <v>10122</v>
      </c>
      <c r="D4385" s="43" t="s">
        <v>229</v>
      </c>
      <c r="E4385" s="43" t="s">
        <v>92</v>
      </c>
      <c r="F4385" s="42" t="s">
        <v>11469</v>
      </c>
      <c r="G4385" t="s">
        <v>13197</v>
      </c>
    </row>
    <row r="4386" spans="1:7" x14ac:dyDescent="0.3">
      <c r="A4386" s="42" t="s">
        <v>4295</v>
      </c>
      <c r="B4386" s="42" t="s">
        <v>4553</v>
      </c>
      <c r="C4386" s="42" t="s">
        <v>10123</v>
      </c>
      <c r="D4386" s="43" t="s">
        <v>229</v>
      </c>
      <c r="E4386" s="43" t="s">
        <v>92</v>
      </c>
      <c r="F4386" s="42" t="s">
        <v>11469</v>
      </c>
      <c r="G4386" t="s">
        <v>13197</v>
      </c>
    </row>
    <row r="4387" spans="1:7" x14ac:dyDescent="0.3">
      <c r="A4387" s="42" t="s">
        <v>4295</v>
      </c>
      <c r="B4387" s="42" t="s">
        <v>4554</v>
      </c>
      <c r="C4387" s="42" t="s">
        <v>10124</v>
      </c>
      <c r="D4387" s="43" t="s">
        <v>229</v>
      </c>
      <c r="E4387" s="43" t="s">
        <v>92</v>
      </c>
      <c r="F4387" s="42" t="s">
        <v>11469</v>
      </c>
      <c r="G4387" t="s">
        <v>13197</v>
      </c>
    </row>
    <row r="4388" spans="1:7" x14ac:dyDescent="0.3">
      <c r="A4388" s="42" t="s">
        <v>4295</v>
      </c>
      <c r="B4388" s="42" t="s">
        <v>4555</v>
      </c>
      <c r="C4388" s="42" t="s">
        <v>10125</v>
      </c>
      <c r="D4388" s="43" t="s">
        <v>229</v>
      </c>
      <c r="E4388" s="43" t="s">
        <v>92</v>
      </c>
      <c r="F4388" s="42" t="s">
        <v>11469</v>
      </c>
      <c r="G4388" t="s">
        <v>13197</v>
      </c>
    </row>
    <row r="4389" spans="1:7" x14ac:dyDescent="0.3">
      <c r="A4389" s="42" t="s">
        <v>4295</v>
      </c>
      <c r="B4389" s="42" t="s">
        <v>4556</v>
      </c>
      <c r="C4389" s="42" t="s">
        <v>10126</v>
      </c>
      <c r="D4389" s="43" t="s">
        <v>229</v>
      </c>
      <c r="E4389" s="43" t="s">
        <v>92</v>
      </c>
      <c r="F4389" s="42" t="s">
        <v>11469</v>
      </c>
      <c r="G4389" t="s">
        <v>13197</v>
      </c>
    </row>
    <row r="4390" spans="1:7" x14ac:dyDescent="0.3">
      <c r="A4390" s="42" t="s">
        <v>4295</v>
      </c>
      <c r="B4390" s="42" t="s">
        <v>701</v>
      </c>
      <c r="C4390" s="42" t="s">
        <v>10127</v>
      </c>
      <c r="D4390" s="43" t="s">
        <v>229</v>
      </c>
      <c r="E4390" s="43" t="s">
        <v>92</v>
      </c>
      <c r="F4390" s="42" t="s">
        <v>192</v>
      </c>
      <c r="G4390" t="s">
        <v>13196</v>
      </c>
    </row>
    <row r="4391" spans="1:7" x14ac:dyDescent="0.3">
      <c r="A4391" s="42" t="s">
        <v>4295</v>
      </c>
      <c r="B4391" s="42" t="s">
        <v>4557</v>
      </c>
      <c r="C4391" s="42" t="s">
        <v>10128</v>
      </c>
      <c r="D4391" s="43" t="s">
        <v>229</v>
      </c>
      <c r="E4391" s="43" t="s">
        <v>92</v>
      </c>
      <c r="F4391" s="42" t="s">
        <v>11469</v>
      </c>
      <c r="G4391" t="s">
        <v>13197</v>
      </c>
    </row>
    <row r="4392" spans="1:7" x14ac:dyDescent="0.3">
      <c r="A4392" s="42" t="s">
        <v>4295</v>
      </c>
      <c r="B4392" s="42" t="s">
        <v>4558</v>
      </c>
      <c r="C4392" s="42" t="s">
        <v>10129</v>
      </c>
      <c r="D4392" s="43" t="s">
        <v>229</v>
      </c>
      <c r="E4392" s="43" t="s">
        <v>92</v>
      </c>
      <c r="F4392" s="42" t="s">
        <v>11469</v>
      </c>
      <c r="G4392" t="s">
        <v>13197</v>
      </c>
    </row>
    <row r="4393" spans="1:7" x14ac:dyDescent="0.3">
      <c r="A4393" s="42" t="s">
        <v>4295</v>
      </c>
      <c r="B4393" s="42" t="s">
        <v>4559</v>
      </c>
      <c r="C4393" s="42" t="s">
        <v>10130</v>
      </c>
      <c r="D4393" s="43" t="s">
        <v>229</v>
      </c>
      <c r="E4393" s="43" t="s">
        <v>92</v>
      </c>
      <c r="F4393" s="42" t="s">
        <v>11469</v>
      </c>
      <c r="G4393" t="s">
        <v>13197</v>
      </c>
    </row>
    <row r="4394" spans="1:7" x14ac:dyDescent="0.3">
      <c r="A4394" s="42" t="s">
        <v>4295</v>
      </c>
      <c r="B4394" s="42" t="s">
        <v>4560</v>
      </c>
      <c r="C4394" s="42" t="s">
        <v>10131</v>
      </c>
      <c r="D4394" s="43" t="s">
        <v>229</v>
      </c>
      <c r="E4394" s="43" t="s">
        <v>92</v>
      </c>
      <c r="F4394" s="42" t="s">
        <v>11469</v>
      </c>
      <c r="G4394" t="s">
        <v>13197</v>
      </c>
    </row>
    <row r="4395" spans="1:7" x14ac:dyDescent="0.3">
      <c r="A4395" s="42" t="s">
        <v>4295</v>
      </c>
      <c r="B4395" s="42" t="s">
        <v>4561</v>
      </c>
      <c r="C4395" s="42" t="s">
        <v>10132</v>
      </c>
      <c r="D4395" s="43" t="s">
        <v>229</v>
      </c>
      <c r="E4395" s="43" t="s">
        <v>92</v>
      </c>
      <c r="F4395" s="42" t="s">
        <v>11469</v>
      </c>
      <c r="G4395" t="s">
        <v>13197</v>
      </c>
    </row>
    <row r="4396" spans="1:7" x14ac:dyDescent="0.3">
      <c r="A4396" s="42" t="s">
        <v>4295</v>
      </c>
      <c r="B4396" s="42" t="s">
        <v>708</v>
      </c>
      <c r="C4396" s="42" t="s">
        <v>10133</v>
      </c>
      <c r="D4396" s="43" t="s">
        <v>229</v>
      </c>
      <c r="E4396" s="43" t="s">
        <v>92</v>
      </c>
      <c r="F4396" s="42" t="s">
        <v>11469</v>
      </c>
      <c r="G4396" t="s">
        <v>13197</v>
      </c>
    </row>
    <row r="4397" spans="1:7" x14ac:dyDescent="0.3">
      <c r="A4397" s="42" t="s">
        <v>4295</v>
      </c>
      <c r="B4397" s="42" t="s">
        <v>4562</v>
      </c>
      <c r="C4397" s="42" t="s">
        <v>10134</v>
      </c>
      <c r="D4397" s="43" t="s">
        <v>229</v>
      </c>
      <c r="E4397" s="43" t="s">
        <v>92</v>
      </c>
      <c r="F4397" s="42" t="s">
        <v>11469</v>
      </c>
      <c r="G4397" t="s">
        <v>13197</v>
      </c>
    </row>
    <row r="4398" spans="1:7" x14ac:dyDescent="0.3">
      <c r="A4398" s="42" t="s">
        <v>4295</v>
      </c>
      <c r="B4398" s="42" t="s">
        <v>4563</v>
      </c>
      <c r="C4398" s="42" t="s">
        <v>10135</v>
      </c>
      <c r="D4398" s="43" t="s">
        <v>229</v>
      </c>
      <c r="E4398" s="43" t="s">
        <v>92</v>
      </c>
      <c r="F4398" s="42" t="s">
        <v>11469</v>
      </c>
      <c r="G4398" t="s">
        <v>13197</v>
      </c>
    </row>
    <row r="4399" spans="1:7" x14ac:dyDescent="0.3">
      <c r="A4399" s="42" t="s">
        <v>4295</v>
      </c>
      <c r="B4399" s="42" t="s">
        <v>4564</v>
      </c>
      <c r="C4399" s="42" t="s">
        <v>10136</v>
      </c>
      <c r="D4399" s="43" t="s">
        <v>229</v>
      </c>
      <c r="E4399" s="43" t="s">
        <v>92</v>
      </c>
      <c r="F4399" s="42" t="s">
        <v>11469</v>
      </c>
      <c r="G4399" t="s">
        <v>13197</v>
      </c>
    </row>
    <row r="4400" spans="1:7" x14ac:dyDescent="0.3">
      <c r="A4400" s="42" t="s">
        <v>4295</v>
      </c>
      <c r="B4400" s="42" t="s">
        <v>4565</v>
      </c>
      <c r="C4400" s="42" t="s">
        <v>10137</v>
      </c>
      <c r="D4400" s="43" t="s">
        <v>229</v>
      </c>
      <c r="E4400" s="43" t="s">
        <v>92</v>
      </c>
      <c r="F4400" s="42" t="s">
        <v>11469</v>
      </c>
      <c r="G4400" t="s">
        <v>13197</v>
      </c>
    </row>
    <row r="4401" spans="1:7" x14ac:dyDescent="0.3">
      <c r="A4401" s="42" t="s">
        <v>4295</v>
      </c>
      <c r="B4401" s="42" t="s">
        <v>4566</v>
      </c>
      <c r="C4401" s="42" t="s">
        <v>10138</v>
      </c>
      <c r="D4401" s="43" t="s">
        <v>229</v>
      </c>
      <c r="E4401" s="43" t="s">
        <v>92</v>
      </c>
      <c r="F4401" s="42" t="s">
        <v>11469</v>
      </c>
      <c r="G4401" t="s">
        <v>13197</v>
      </c>
    </row>
    <row r="4402" spans="1:7" x14ac:dyDescent="0.3">
      <c r="A4402" s="42" t="s">
        <v>4295</v>
      </c>
      <c r="B4402" s="42" t="s">
        <v>4567</v>
      </c>
      <c r="C4402" s="42" t="s">
        <v>10139</v>
      </c>
      <c r="D4402" s="43" t="s">
        <v>229</v>
      </c>
      <c r="E4402" s="43" t="s">
        <v>92</v>
      </c>
      <c r="F4402" s="42" t="s">
        <v>192</v>
      </c>
      <c r="G4402" t="s">
        <v>13196</v>
      </c>
    </row>
    <row r="4403" spans="1:7" x14ac:dyDescent="0.3">
      <c r="A4403" s="42" t="s">
        <v>4295</v>
      </c>
      <c r="B4403" s="42" t="s">
        <v>4568</v>
      </c>
      <c r="C4403" s="42" t="s">
        <v>10140</v>
      </c>
      <c r="D4403" s="43" t="s">
        <v>229</v>
      </c>
      <c r="E4403" s="43" t="s">
        <v>92</v>
      </c>
      <c r="F4403" s="42" t="s">
        <v>11469</v>
      </c>
      <c r="G4403" t="s">
        <v>13197</v>
      </c>
    </row>
    <row r="4404" spans="1:7" x14ac:dyDescent="0.3">
      <c r="A4404" s="42" t="s">
        <v>4295</v>
      </c>
      <c r="B4404" s="42" t="s">
        <v>4569</v>
      </c>
      <c r="C4404" s="42" t="s">
        <v>10141</v>
      </c>
      <c r="D4404" s="43" t="s">
        <v>229</v>
      </c>
      <c r="E4404" s="43" t="s">
        <v>92</v>
      </c>
      <c r="F4404" s="42" t="s">
        <v>11469</v>
      </c>
      <c r="G4404" t="s">
        <v>13197</v>
      </c>
    </row>
    <row r="4405" spans="1:7" x14ac:dyDescent="0.3">
      <c r="A4405" s="42" t="s">
        <v>4295</v>
      </c>
      <c r="B4405" s="42" t="s">
        <v>4570</v>
      </c>
      <c r="C4405" s="42" t="s">
        <v>10142</v>
      </c>
      <c r="D4405" s="43" t="s">
        <v>229</v>
      </c>
      <c r="E4405" s="43" t="s">
        <v>92</v>
      </c>
      <c r="F4405" s="42" t="s">
        <v>11469</v>
      </c>
      <c r="G4405" t="s">
        <v>13197</v>
      </c>
    </row>
    <row r="4406" spans="1:7" x14ac:dyDescent="0.3">
      <c r="A4406" s="42" t="s">
        <v>4295</v>
      </c>
      <c r="B4406" s="42" t="s">
        <v>4571</v>
      </c>
      <c r="C4406" s="42" t="s">
        <v>10143</v>
      </c>
      <c r="D4406" s="43" t="s">
        <v>229</v>
      </c>
      <c r="E4406" s="43" t="s">
        <v>92</v>
      </c>
      <c r="F4406" s="42" t="s">
        <v>11469</v>
      </c>
      <c r="G4406" t="s">
        <v>13197</v>
      </c>
    </row>
    <row r="4407" spans="1:7" x14ac:dyDescent="0.3">
      <c r="A4407" s="42" t="s">
        <v>4295</v>
      </c>
      <c r="B4407" s="42" t="s">
        <v>4572</v>
      </c>
      <c r="C4407" s="42" t="s">
        <v>10144</v>
      </c>
      <c r="D4407" s="43" t="s">
        <v>229</v>
      </c>
      <c r="E4407" s="43" t="s">
        <v>92</v>
      </c>
      <c r="F4407" s="42" t="s">
        <v>11469</v>
      </c>
      <c r="G4407" t="s">
        <v>13197</v>
      </c>
    </row>
    <row r="4408" spans="1:7" x14ac:dyDescent="0.3">
      <c r="A4408" s="42" t="s">
        <v>4295</v>
      </c>
      <c r="B4408" s="42" t="s">
        <v>4573</v>
      </c>
      <c r="C4408" s="42" t="s">
        <v>10145</v>
      </c>
      <c r="D4408" s="43" t="s">
        <v>229</v>
      </c>
      <c r="E4408" s="43" t="s">
        <v>92</v>
      </c>
      <c r="F4408" s="42" t="s">
        <v>11469</v>
      </c>
      <c r="G4408" t="s">
        <v>13197</v>
      </c>
    </row>
    <row r="4409" spans="1:7" x14ac:dyDescent="0.3">
      <c r="A4409" s="42" t="s">
        <v>4295</v>
      </c>
      <c r="B4409" s="42" t="s">
        <v>4574</v>
      </c>
      <c r="C4409" s="42" t="s">
        <v>10146</v>
      </c>
      <c r="D4409" s="43" t="s">
        <v>229</v>
      </c>
      <c r="E4409" s="43" t="s">
        <v>92</v>
      </c>
      <c r="F4409" s="42" t="s">
        <v>11469</v>
      </c>
      <c r="G4409" t="s">
        <v>13197</v>
      </c>
    </row>
    <row r="4410" spans="1:7" x14ac:dyDescent="0.3">
      <c r="A4410" s="42" t="s">
        <v>4295</v>
      </c>
      <c r="B4410" s="42" t="s">
        <v>4575</v>
      </c>
      <c r="C4410" s="42" t="s">
        <v>10147</v>
      </c>
      <c r="D4410" s="43" t="s">
        <v>229</v>
      </c>
      <c r="E4410" s="43" t="s">
        <v>92</v>
      </c>
      <c r="F4410" s="42" t="s">
        <v>192</v>
      </c>
      <c r="G4410" t="s">
        <v>13196</v>
      </c>
    </row>
    <row r="4411" spans="1:7" x14ac:dyDescent="0.3">
      <c r="A4411" s="42" t="s">
        <v>4295</v>
      </c>
      <c r="B4411" s="42" t="s">
        <v>4576</v>
      </c>
      <c r="C4411" s="42" t="s">
        <v>10148</v>
      </c>
      <c r="D4411" s="43" t="s">
        <v>229</v>
      </c>
      <c r="E4411" s="43" t="s">
        <v>92</v>
      </c>
      <c r="F4411" s="42" t="s">
        <v>11469</v>
      </c>
      <c r="G4411" t="s">
        <v>13197</v>
      </c>
    </row>
    <row r="4412" spans="1:7" x14ac:dyDescent="0.3">
      <c r="A4412" s="42" t="s">
        <v>4295</v>
      </c>
      <c r="B4412" s="42" t="s">
        <v>4577</v>
      </c>
      <c r="C4412" s="42" t="s">
        <v>10149</v>
      </c>
      <c r="D4412" s="43" t="s">
        <v>229</v>
      </c>
      <c r="E4412" s="43" t="s">
        <v>92</v>
      </c>
      <c r="F4412" s="42" t="s">
        <v>11469</v>
      </c>
      <c r="G4412" t="s">
        <v>13197</v>
      </c>
    </row>
    <row r="4413" spans="1:7" x14ac:dyDescent="0.3">
      <c r="A4413" s="42" t="s">
        <v>4295</v>
      </c>
      <c r="B4413" s="42" t="s">
        <v>4578</v>
      </c>
      <c r="C4413" s="42" t="s">
        <v>10150</v>
      </c>
      <c r="D4413" s="43" t="s">
        <v>229</v>
      </c>
      <c r="E4413" s="43" t="s">
        <v>92</v>
      </c>
      <c r="F4413" s="42" t="s">
        <v>11469</v>
      </c>
      <c r="G4413" t="s">
        <v>13197</v>
      </c>
    </row>
    <row r="4414" spans="1:7" x14ac:dyDescent="0.3">
      <c r="A4414" s="42" t="s">
        <v>4295</v>
      </c>
      <c r="B4414" s="42" t="s">
        <v>4579</v>
      </c>
      <c r="C4414" s="42" t="s">
        <v>10151</v>
      </c>
      <c r="D4414" s="43" t="s">
        <v>229</v>
      </c>
      <c r="E4414" s="43" t="s">
        <v>92</v>
      </c>
      <c r="F4414" s="42" t="s">
        <v>11469</v>
      </c>
      <c r="G4414" t="s">
        <v>13197</v>
      </c>
    </row>
    <row r="4415" spans="1:7" x14ac:dyDescent="0.3">
      <c r="A4415" s="42" t="s">
        <v>4295</v>
      </c>
      <c r="B4415" s="42" t="s">
        <v>4580</v>
      </c>
      <c r="C4415" s="42" t="s">
        <v>10152</v>
      </c>
      <c r="D4415" s="43" t="s">
        <v>229</v>
      </c>
      <c r="E4415" s="43" t="s">
        <v>92</v>
      </c>
      <c r="F4415" s="42" t="s">
        <v>11469</v>
      </c>
      <c r="G4415" t="s">
        <v>13197</v>
      </c>
    </row>
    <row r="4416" spans="1:7" x14ac:dyDescent="0.3">
      <c r="A4416" s="42" t="s">
        <v>4295</v>
      </c>
      <c r="B4416" s="42" t="s">
        <v>4581</v>
      </c>
      <c r="C4416" s="42" t="s">
        <v>10153</v>
      </c>
      <c r="D4416" s="43" t="s">
        <v>229</v>
      </c>
      <c r="E4416" s="43" t="s">
        <v>92</v>
      </c>
      <c r="F4416" s="42" t="s">
        <v>11469</v>
      </c>
      <c r="G4416" t="s">
        <v>13197</v>
      </c>
    </row>
    <row r="4417" spans="1:7" x14ac:dyDescent="0.3">
      <c r="A4417" s="42" t="s">
        <v>4295</v>
      </c>
      <c r="B4417" s="42" t="s">
        <v>4582</v>
      </c>
      <c r="C4417" s="42" t="s">
        <v>10154</v>
      </c>
      <c r="D4417" s="43" t="s">
        <v>229</v>
      </c>
      <c r="E4417" s="43" t="s">
        <v>92</v>
      </c>
      <c r="F4417" s="42" t="s">
        <v>11469</v>
      </c>
      <c r="G4417" t="s">
        <v>13197</v>
      </c>
    </row>
    <row r="4418" spans="1:7" x14ac:dyDescent="0.3">
      <c r="A4418" s="42" t="s">
        <v>4295</v>
      </c>
      <c r="B4418" s="42" t="s">
        <v>4583</v>
      </c>
      <c r="C4418" s="42" t="s">
        <v>10155</v>
      </c>
      <c r="D4418" s="43" t="s">
        <v>229</v>
      </c>
      <c r="E4418" s="43" t="s">
        <v>92</v>
      </c>
      <c r="F4418" s="42" t="s">
        <v>11469</v>
      </c>
      <c r="G4418" t="s">
        <v>13197</v>
      </c>
    </row>
    <row r="4419" spans="1:7" x14ac:dyDescent="0.3">
      <c r="A4419" s="42" t="s">
        <v>4295</v>
      </c>
      <c r="B4419" s="42" t="s">
        <v>4584</v>
      </c>
      <c r="C4419" s="42" t="s">
        <v>10156</v>
      </c>
      <c r="D4419" s="43" t="s">
        <v>229</v>
      </c>
      <c r="E4419" s="43" t="s">
        <v>92</v>
      </c>
      <c r="F4419" s="42" t="s">
        <v>11469</v>
      </c>
      <c r="G4419" t="s">
        <v>13197</v>
      </c>
    </row>
    <row r="4420" spans="1:7" x14ac:dyDescent="0.3">
      <c r="A4420" s="42" t="s">
        <v>4295</v>
      </c>
      <c r="B4420" s="42" t="s">
        <v>4585</v>
      </c>
      <c r="C4420" s="42" t="s">
        <v>10157</v>
      </c>
      <c r="D4420" s="43" t="s">
        <v>229</v>
      </c>
      <c r="E4420" s="43" t="s">
        <v>92</v>
      </c>
      <c r="F4420" s="42" t="s">
        <v>11469</v>
      </c>
      <c r="G4420" t="s">
        <v>13197</v>
      </c>
    </row>
    <row r="4421" spans="1:7" x14ac:dyDescent="0.3">
      <c r="A4421" s="42" t="s">
        <v>4295</v>
      </c>
      <c r="B4421" s="42" t="s">
        <v>4586</v>
      </c>
      <c r="C4421" s="42" t="s">
        <v>10158</v>
      </c>
      <c r="D4421" s="43" t="s">
        <v>229</v>
      </c>
      <c r="E4421" s="43" t="s">
        <v>92</v>
      </c>
      <c r="F4421" s="42" t="s">
        <v>11469</v>
      </c>
      <c r="G4421" t="s">
        <v>13197</v>
      </c>
    </row>
    <row r="4422" spans="1:7" x14ac:dyDescent="0.3">
      <c r="A4422" s="42" t="s">
        <v>4295</v>
      </c>
      <c r="B4422" s="42" t="s">
        <v>4587</v>
      </c>
      <c r="C4422" s="42" t="s">
        <v>10159</v>
      </c>
      <c r="D4422" s="43" t="s">
        <v>229</v>
      </c>
      <c r="E4422" s="43" t="s">
        <v>92</v>
      </c>
      <c r="F4422" s="42" t="s">
        <v>11469</v>
      </c>
      <c r="G4422" t="s">
        <v>13197</v>
      </c>
    </row>
    <row r="4423" spans="1:7" x14ac:dyDescent="0.3">
      <c r="A4423" s="42" t="s">
        <v>4295</v>
      </c>
      <c r="B4423" s="42" t="s">
        <v>4588</v>
      </c>
      <c r="C4423" s="42" t="s">
        <v>10160</v>
      </c>
      <c r="D4423" s="43" t="s">
        <v>229</v>
      </c>
      <c r="E4423" s="43" t="s">
        <v>92</v>
      </c>
      <c r="F4423" s="42" t="s">
        <v>11469</v>
      </c>
      <c r="G4423" t="s">
        <v>13197</v>
      </c>
    </row>
    <row r="4424" spans="1:7" x14ac:dyDescent="0.3">
      <c r="A4424" s="42" t="s">
        <v>4295</v>
      </c>
      <c r="B4424" s="42" t="s">
        <v>4589</v>
      </c>
      <c r="C4424" s="42" t="s">
        <v>10161</v>
      </c>
      <c r="D4424" s="43" t="s">
        <v>229</v>
      </c>
      <c r="E4424" s="43" t="s">
        <v>92</v>
      </c>
      <c r="F4424" s="42" t="s">
        <v>11469</v>
      </c>
      <c r="G4424" t="s">
        <v>13197</v>
      </c>
    </row>
    <row r="4425" spans="1:7" x14ac:dyDescent="0.3">
      <c r="A4425" s="42" t="s">
        <v>4295</v>
      </c>
      <c r="B4425" s="42" t="s">
        <v>4590</v>
      </c>
      <c r="C4425" s="42" t="s">
        <v>10162</v>
      </c>
      <c r="D4425" s="43" t="s">
        <v>229</v>
      </c>
      <c r="E4425" s="43" t="s">
        <v>92</v>
      </c>
      <c r="F4425" s="42" t="s">
        <v>11469</v>
      </c>
      <c r="G4425" t="s">
        <v>13197</v>
      </c>
    </row>
    <row r="4426" spans="1:7" x14ac:dyDescent="0.3">
      <c r="A4426" s="42" t="s">
        <v>4295</v>
      </c>
      <c r="B4426" s="42" t="s">
        <v>4591</v>
      </c>
      <c r="C4426" s="42" t="s">
        <v>10163</v>
      </c>
      <c r="D4426" s="43" t="s">
        <v>229</v>
      </c>
      <c r="E4426" s="43" t="s">
        <v>92</v>
      </c>
      <c r="F4426" s="42" t="s">
        <v>11469</v>
      </c>
      <c r="G4426" t="s">
        <v>13197</v>
      </c>
    </row>
    <row r="4427" spans="1:7" x14ac:dyDescent="0.3">
      <c r="A4427" s="42" t="s">
        <v>4295</v>
      </c>
      <c r="B4427" s="42" t="s">
        <v>4592</v>
      </c>
      <c r="C4427" s="42" t="s">
        <v>10164</v>
      </c>
      <c r="D4427" s="43" t="s">
        <v>229</v>
      </c>
      <c r="E4427" s="43" t="s">
        <v>92</v>
      </c>
      <c r="F4427" s="42" t="s">
        <v>11469</v>
      </c>
      <c r="G4427" t="s">
        <v>13197</v>
      </c>
    </row>
    <row r="4428" spans="1:7" x14ac:dyDescent="0.3">
      <c r="A4428" s="42" t="s">
        <v>4295</v>
      </c>
      <c r="B4428" s="42" t="s">
        <v>4593</v>
      </c>
      <c r="C4428" s="42" t="s">
        <v>10165</v>
      </c>
      <c r="D4428" s="43" t="s">
        <v>229</v>
      </c>
      <c r="E4428" s="43" t="s">
        <v>92</v>
      </c>
      <c r="F4428" s="42" t="s">
        <v>11469</v>
      </c>
      <c r="G4428" t="s">
        <v>13197</v>
      </c>
    </row>
    <row r="4429" spans="1:7" x14ac:dyDescent="0.3">
      <c r="A4429" s="42" t="s">
        <v>4295</v>
      </c>
      <c r="B4429" s="42" t="s">
        <v>4594</v>
      </c>
      <c r="C4429" s="42" t="s">
        <v>10166</v>
      </c>
      <c r="D4429" s="43" t="s">
        <v>229</v>
      </c>
      <c r="E4429" s="43" t="s">
        <v>92</v>
      </c>
      <c r="F4429" s="42" t="s">
        <v>11469</v>
      </c>
      <c r="G4429" t="s">
        <v>13197</v>
      </c>
    </row>
    <row r="4430" spans="1:7" x14ac:dyDescent="0.3">
      <c r="A4430" s="42" t="s">
        <v>4295</v>
      </c>
      <c r="B4430" s="42" t="s">
        <v>4595</v>
      </c>
      <c r="C4430" s="42" t="s">
        <v>10167</v>
      </c>
      <c r="D4430" s="43" t="s">
        <v>229</v>
      </c>
      <c r="E4430" s="43" t="s">
        <v>92</v>
      </c>
      <c r="F4430" s="42" t="s">
        <v>11469</v>
      </c>
      <c r="G4430" t="s">
        <v>13197</v>
      </c>
    </row>
    <row r="4431" spans="1:7" x14ac:dyDescent="0.3">
      <c r="A4431" s="42" t="s">
        <v>4295</v>
      </c>
      <c r="B4431" s="42" t="s">
        <v>4596</v>
      </c>
      <c r="C4431" s="42" t="s">
        <v>10168</v>
      </c>
      <c r="D4431" s="43" t="s">
        <v>229</v>
      </c>
      <c r="E4431" s="43" t="s">
        <v>92</v>
      </c>
      <c r="F4431" s="42" t="s">
        <v>11469</v>
      </c>
      <c r="G4431" t="s">
        <v>13197</v>
      </c>
    </row>
    <row r="4432" spans="1:7" x14ac:dyDescent="0.3">
      <c r="A4432" s="42" t="s">
        <v>4295</v>
      </c>
      <c r="B4432" s="42" t="s">
        <v>4597</v>
      </c>
      <c r="C4432" s="42" t="s">
        <v>10169</v>
      </c>
      <c r="D4432" s="43" t="s">
        <v>229</v>
      </c>
      <c r="E4432" s="43" t="s">
        <v>92</v>
      </c>
      <c r="F4432" s="42" t="s">
        <v>11469</v>
      </c>
      <c r="G4432" t="s">
        <v>13197</v>
      </c>
    </row>
    <row r="4433" spans="1:7" x14ac:dyDescent="0.3">
      <c r="A4433" s="42" t="s">
        <v>4295</v>
      </c>
      <c r="B4433" s="42" t="s">
        <v>4598</v>
      </c>
      <c r="C4433" s="42" t="s">
        <v>10170</v>
      </c>
      <c r="D4433" s="43" t="s">
        <v>229</v>
      </c>
      <c r="E4433" s="43" t="s">
        <v>92</v>
      </c>
      <c r="F4433" s="42" t="s">
        <v>11469</v>
      </c>
      <c r="G4433" t="s">
        <v>13197</v>
      </c>
    </row>
    <row r="4434" spans="1:7" x14ac:dyDescent="0.3">
      <c r="A4434" s="42" t="s">
        <v>4295</v>
      </c>
      <c r="B4434" s="42" t="s">
        <v>4599</v>
      </c>
      <c r="C4434" s="42" t="s">
        <v>10171</v>
      </c>
      <c r="D4434" s="43" t="s">
        <v>229</v>
      </c>
      <c r="E4434" s="43" t="s">
        <v>92</v>
      </c>
      <c r="F4434" s="42" t="s">
        <v>11469</v>
      </c>
      <c r="G4434" t="s">
        <v>13197</v>
      </c>
    </row>
    <row r="4435" spans="1:7" x14ac:dyDescent="0.3">
      <c r="A4435" s="42" t="s">
        <v>4295</v>
      </c>
      <c r="B4435" s="42" t="s">
        <v>4600</v>
      </c>
      <c r="C4435" s="42" t="s">
        <v>10172</v>
      </c>
      <c r="D4435" s="43" t="s">
        <v>229</v>
      </c>
      <c r="E4435" s="43" t="s">
        <v>92</v>
      </c>
      <c r="F4435" s="42" t="s">
        <v>11469</v>
      </c>
      <c r="G4435" t="s">
        <v>13197</v>
      </c>
    </row>
    <row r="4436" spans="1:7" x14ac:dyDescent="0.3">
      <c r="A4436" s="42" t="s">
        <v>4295</v>
      </c>
      <c r="B4436" s="42" t="s">
        <v>4601</v>
      </c>
      <c r="C4436" s="42" t="s">
        <v>10173</v>
      </c>
      <c r="D4436" s="43" t="s">
        <v>229</v>
      </c>
      <c r="E4436" s="43" t="s">
        <v>92</v>
      </c>
      <c r="F4436" s="42" t="s">
        <v>11469</v>
      </c>
      <c r="G4436" t="s">
        <v>13197</v>
      </c>
    </row>
    <row r="4437" spans="1:7" x14ac:dyDescent="0.3">
      <c r="A4437" s="42" t="s">
        <v>4295</v>
      </c>
      <c r="B4437" s="42" t="s">
        <v>4602</v>
      </c>
      <c r="C4437" s="42" t="s">
        <v>10174</v>
      </c>
      <c r="D4437" s="43" t="s">
        <v>229</v>
      </c>
      <c r="E4437" s="43" t="s">
        <v>92</v>
      </c>
      <c r="F4437" s="42" t="s">
        <v>11469</v>
      </c>
      <c r="G4437" t="s">
        <v>13197</v>
      </c>
    </row>
    <row r="4438" spans="1:7" x14ac:dyDescent="0.3">
      <c r="A4438" s="42" t="s">
        <v>4295</v>
      </c>
      <c r="B4438" s="42" t="s">
        <v>4603</v>
      </c>
      <c r="C4438" s="42" t="s">
        <v>10175</v>
      </c>
      <c r="D4438" s="43" t="s">
        <v>229</v>
      </c>
      <c r="E4438" s="43" t="s">
        <v>92</v>
      </c>
      <c r="F4438" s="42" t="s">
        <v>11469</v>
      </c>
      <c r="G4438" t="s">
        <v>13197</v>
      </c>
    </row>
    <row r="4439" spans="1:7" x14ac:dyDescent="0.3">
      <c r="A4439" s="42" t="s">
        <v>4295</v>
      </c>
      <c r="B4439" s="42" t="s">
        <v>4604</v>
      </c>
      <c r="C4439" s="42" t="s">
        <v>10176</v>
      </c>
      <c r="D4439" s="43" t="s">
        <v>229</v>
      </c>
      <c r="E4439" s="43" t="s">
        <v>92</v>
      </c>
      <c r="F4439" s="42" t="s">
        <v>11469</v>
      </c>
      <c r="G4439" t="s">
        <v>13197</v>
      </c>
    </row>
    <row r="4440" spans="1:7" x14ac:dyDescent="0.3">
      <c r="A4440" s="42" t="s">
        <v>4295</v>
      </c>
      <c r="B4440" s="42" t="s">
        <v>4605</v>
      </c>
      <c r="C4440" s="42" t="s">
        <v>10177</v>
      </c>
      <c r="D4440" s="43" t="s">
        <v>229</v>
      </c>
      <c r="E4440" s="43" t="s">
        <v>92</v>
      </c>
      <c r="F4440" s="42" t="s">
        <v>11469</v>
      </c>
      <c r="G4440" t="s">
        <v>13197</v>
      </c>
    </row>
    <row r="4441" spans="1:7" x14ac:dyDescent="0.3">
      <c r="A4441" s="42" t="s">
        <v>4295</v>
      </c>
      <c r="B4441" s="42" t="s">
        <v>4606</v>
      </c>
      <c r="C4441" s="42" t="s">
        <v>10178</v>
      </c>
      <c r="D4441" s="43" t="s">
        <v>229</v>
      </c>
      <c r="E4441" s="43" t="s">
        <v>92</v>
      </c>
      <c r="F4441" s="42" t="s">
        <v>11469</v>
      </c>
      <c r="G4441" t="s">
        <v>13197</v>
      </c>
    </row>
    <row r="4442" spans="1:7" x14ac:dyDescent="0.3">
      <c r="A4442" s="42" t="s">
        <v>4295</v>
      </c>
      <c r="B4442" s="42" t="s">
        <v>4607</v>
      </c>
      <c r="C4442" s="42" t="s">
        <v>10179</v>
      </c>
      <c r="D4442" s="43" t="s">
        <v>229</v>
      </c>
      <c r="E4442" s="43" t="s">
        <v>92</v>
      </c>
      <c r="F4442" s="42" t="s">
        <v>11469</v>
      </c>
      <c r="G4442" t="s">
        <v>13197</v>
      </c>
    </row>
    <row r="4443" spans="1:7" x14ac:dyDescent="0.3">
      <c r="A4443" s="42" t="s">
        <v>4295</v>
      </c>
      <c r="B4443" s="42" t="s">
        <v>4608</v>
      </c>
      <c r="C4443" s="42" t="s">
        <v>10180</v>
      </c>
      <c r="D4443" s="43" t="s">
        <v>229</v>
      </c>
      <c r="E4443" s="43" t="s">
        <v>92</v>
      </c>
      <c r="F4443" s="42" t="s">
        <v>11469</v>
      </c>
      <c r="G4443" t="s">
        <v>13197</v>
      </c>
    </row>
    <row r="4444" spans="1:7" x14ac:dyDescent="0.3">
      <c r="A4444" s="42" t="s">
        <v>4295</v>
      </c>
      <c r="B4444" s="42" t="s">
        <v>4609</v>
      </c>
      <c r="C4444" s="42" t="s">
        <v>10181</v>
      </c>
      <c r="D4444" s="43" t="s">
        <v>229</v>
      </c>
      <c r="E4444" s="43" t="s">
        <v>92</v>
      </c>
      <c r="F4444" s="42" t="s">
        <v>11469</v>
      </c>
      <c r="G4444" t="s">
        <v>13197</v>
      </c>
    </row>
    <row r="4445" spans="1:7" x14ac:dyDescent="0.3">
      <c r="A4445" s="42" t="s">
        <v>4295</v>
      </c>
      <c r="B4445" s="42" t="s">
        <v>4610</v>
      </c>
      <c r="C4445" s="42" t="s">
        <v>10182</v>
      </c>
      <c r="D4445" s="43" t="s">
        <v>229</v>
      </c>
      <c r="E4445" s="43" t="s">
        <v>92</v>
      </c>
      <c r="F4445" s="42" t="s">
        <v>11469</v>
      </c>
      <c r="G4445" t="s">
        <v>13197</v>
      </c>
    </row>
    <row r="4446" spans="1:7" x14ac:dyDescent="0.3">
      <c r="A4446" s="42" t="s">
        <v>4295</v>
      </c>
      <c r="B4446" s="42" t="s">
        <v>4611</v>
      </c>
      <c r="C4446" s="42" t="s">
        <v>10183</v>
      </c>
      <c r="D4446" s="43" t="s">
        <v>229</v>
      </c>
      <c r="E4446" s="43" t="s">
        <v>92</v>
      </c>
      <c r="F4446" s="42" t="s">
        <v>11469</v>
      </c>
      <c r="G4446" t="s">
        <v>13197</v>
      </c>
    </row>
    <row r="4447" spans="1:7" x14ac:dyDescent="0.3">
      <c r="A4447" s="42" t="s">
        <v>4295</v>
      </c>
      <c r="B4447" s="42" t="s">
        <v>4612</v>
      </c>
      <c r="C4447" s="42" t="s">
        <v>10184</v>
      </c>
      <c r="D4447" s="43" t="s">
        <v>229</v>
      </c>
      <c r="E4447" s="43" t="s">
        <v>92</v>
      </c>
      <c r="F4447" s="42" t="s">
        <v>11469</v>
      </c>
      <c r="G4447" t="s">
        <v>13197</v>
      </c>
    </row>
    <row r="4448" spans="1:7" x14ac:dyDescent="0.3">
      <c r="A4448" s="42" t="s">
        <v>4295</v>
      </c>
      <c r="B4448" s="42" t="s">
        <v>4613</v>
      </c>
      <c r="C4448" s="42" t="s">
        <v>10185</v>
      </c>
      <c r="D4448" s="43" t="s">
        <v>229</v>
      </c>
      <c r="E4448" s="43" t="s">
        <v>92</v>
      </c>
      <c r="F4448" s="42" t="s">
        <v>11469</v>
      </c>
      <c r="G4448" t="s">
        <v>13197</v>
      </c>
    </row>
    <row r="4449" spans="1:7" x14ac:dyDescent="0.3">
      <c r="A4449" s="42" t="s">
        <v>4295</v>
      </c>
      <c r="B4449" s="42" t="s">
        <v>4614</v>
      </c>
      <c r="C4449" s="42" t="s">
        <v>10186</v>
      </c>
      <c r="D4449" s="43" t="s">
        <v>229</v>
      </c>
      <c r="E4449" s="43" t="s">
        <v>92</v>
      </c>
      <c r="F4449" s="42" t="s">
        <v>137</v>
      </c>
      <c r="G4449" t="s">
        <v>13199</v>
      </c>
    </row>
    <row r="4450" spans="1:7" x14ac:dyDescent="0.3">
      <c r="A4450" s="42" t="s">
        <v>4295</v>
      </c>
      <c r="B4450" s="42" t="s">
        <v>4615</v>
      </c>
      <c r="C4450" s="42" t="s">
        <v>10187</v>
      </c>
      <c r="D4450" s="43" t="s">
        <v>229</v>
      </c>
      <c r="E4450" s="43" t="s">
        <v>92</v>
      </c>
      <c r="F4450" s="42" t="s">
        <v>11469</v>
      </c>
      <c r="G4450" t="s">
        <v>13197</v>
      </c>
    </row>
    <row r="4451" spans="1:7" x14ac:dyDescent="0.3">
      <c r="A4451" s="42" t="s">
        <v>4295</v>
      </c>
      <c r="B4451" s="42" t="s">
        <v>4616</v>
      </c>
      <c r="C4451" s="42" t="s">
        <v>10188</v>
      </c>
      <c r="D4451" s="43" t="s">
        <v>229</v>
      </c>
      <c r="E4451" s="43" t="s">
        <v>92</v>
      </c>
      <c r="F4451" s="42" t="s">
        <v>11469</v>
      </c>
      <c r="G4451" t="s">
        <v>13197</v>
      </c>
    </row>
    <row r="4452" spans="1:7" x14ac:dyDescent="0.3">
      <c r="A4452" s="42" t="s">
        <v>4295</v>
      </c>
      <c r="B4452" s="42" t="s">
        <v>4617</v>
      </c>
      <c r="C4452" s="42" t="s">
        <v>10189</v>
      </c>
      <c r="D4452" s="43" t="s">
        <v>229</v>
      </c>
      <c r="E4452" s="43" t="s">
        <v>92</v>
      </c>
      <c r="F4452" s="42" t="s">
        <v>11469</v>
      </c>
      <c r="G4452" t="s">
        <v>13197</v>
      </c>
    </row>
    <row r="4453" spans="1:7" x14ac:dyDescent="0.3">
      <c r="A4453" s="42" t="s">
        <v>4295</v>
      </c>
      <c r="B4453" s="42" t="s">
        <v>4618</v>
      </c>
      <c r="C4453" s="42" t="s">
        <v>10190</v>
      </c>
      <c r="D4453" s="43" t="s">
        <v>229</v>
      </c>
      <c r="E4453" s="43" t="s">
        <v>92</v>
      </c>
      <c r="F4453" s="42" t="s">
        <v>11469</v>
      </c>
      <c r="G4453" t="s">
        <v>13197</v>
      </c>
    </row>
    <row r="4454" spans="1:7" x14ac:dyDescent="0.3">
      <c r="A4454" s="42" t="s">
        <v>4295</v>
      </c>
      <c r="B4454" s="42" t="s">
        <v>4619</v>
      </c>
      <c r="C4454" s="42" t="s">
        <v>10191</v>
      </c>
      <c r="D4454" s="43" t="s">
        <v>229</v>
      </c>
      <c r="E4454" s="43" t="s">
        <v>92</v>
      </c>
      <c r="F4454" s="42" t="s">
        <v>11469</v>
      </c>
      <c r="G4454" t="s">
        <v>13197</v>
      </c>
    </row>
    <row r="4455" spans="1:7" x14ac:dyDescent="0.3">
      <c r="A4455" s="42" t="s">
        <v>4295</v>
      </c>
      <c r="B4455" s="42" t="s">
        <v>4620</v>
      </c>
      <c r="C4455" s="42" t="s">
        <v>10192</v>
      </c>
      <c r="D4455" s="43" t="s">
        <v>229</v>
      </c>
      <c r="E4455" s="43" t="s">
        <v>92</v>
      </c>
      <c r="F4455" s="42" t="s">
        <v>11469</v>
      </c>
      <c r="G4455" t="s">
        <v>13197</v>
      </c>
    </row>
    <row r="4456" spans="1:7" x14ac:dyDescent="0.3">
      <c r="A4456" s="42" t="s">
        <v>4295</v>
      </c>
      <c r="B4456" s="42" t="s">
        <v>4621</v>
      </c>
      <c r="C4456" s="42" t="s">
        <v>10193</v>
      </c>
      <c r="D4456" s="43" t="s">
        <v>229</v>
      </c>
      <c r="E4456" s="43" t="s">
        <v>92</v>
      </c>
      <c r="F4456" s="42" t="s">
        <v>11469</v>
      </c>
      <c r="G4456" t="s">
        <v>13197</v>
      </c>
    </row>
    <row r="4457" spans="1:7" x14ac:dyDescent="0.3">
      <c r="A4457" s="42" t="s">
        <v>4295</v>
      </c>
      <c r="B4457" s="42" t="s">
        <v>4622</v>
      </c>
      <c r="C4457" s="42" t="s">
        <v>10194</v>
      </c>
      <c r="D4457" s="43" t="s">
        <v>229</v>
      </c>
      <c r="E4457" s="43" t="s">
        <v>92</v>
      </c>
      <c r="F4457" s="42" t="s">
        <v>11469</v>
      </c>
      <c r="G4457" t="s">
        <v>13197</v>
      </c>
    </row>
    <row r="4458" spans="1:7" x14ac:dyDescent="0.3">
      <c r="A4458" s="42" t="s">
        <v>4295</v>
      </c>
      <c r="B4458" s="42" t="s">
        <v>4623</v>
      </c>
      <c r="C4458" s="42" t="s">
        <v>10195</v>
      </c>
      <c r="D4458" s="43" t="s">
        <v>229</v>
      </c>
      <c r="E4458" s="43" t="s">
        <v>92</v>
      </c>
      <c r="F4458" s="42" t="s">
        <v>11469</v>
      </c>
      <c r="G4458" t="s">
        <v>13197</v>
      </c>
    </row>
    <row r="4459" spans="1:7" x14ac:dyDescent="0.3">
      <c r="A4459" s="42" t="s">
        <v>4295</v>
      </c>
      <c r="B4459" s="42" t="s">
        <v>4624</v>
      </c>
      <c r="C4459" s="42" t="s">
        <v>10196</v>
      </c>
      <c r="D4459" s="43" t="s">
        <v>229</v>
      </c>
      <c r="E4459" s="43" t="s">
        <v>92</v>
      </c>
      <c r="F4459" s="42" t="s">
        <v>11469</v>
      </c>
      <c r="G4459" t="s">
        <v>13197</v>
      </c>
    </row>
    <row r="4460" spans="1:7" x14ac:dyDescent="0.3">
      <c r="A4460" s="42" t="s">
        <v>4295</v>
      </c>
      <c r="B4460" s="42" t="s">
        <v>4625</v>
      </c>
      <c r="C4460" s="42" t="s">
        <v>10197</v>
      </c>
      <c r="D4460" s="43" t="s">
        <v>229</v>
      </c>
      <c r="E4460" s="43" t="s">
        <v>92</v>
      </c>
      <c r="F4460" s="42" t="s">
        <v>11469</v>
      </c>
      <c r="G4460" t="s">
        <v>13197</v>
      </c>
    </row>
    <row r="4461" spans="1:7" x14ac:dyDescent="0.3">
      <c r="A4461" s="42" t="s">
        <v>4295</v>
      </c>
      <c r="B4461" s="42" t="s">
        <v>4626</v>
      </c>
      <c r="C4461" s="42" t="s">
        <v>10198</v>
      </c>
      <c r="D4461" s="43" t="s">
        <v>229</v>
      </c>
      <c r="E4461" s="43" t="s">
        <v>92</v>
      </c>
      <c r="F4461" s="42" t="s">
        <v>11469</v>
      </c>
      <c r="G4461" t="s">
        <v>13197</v>
      </c>
    </row>
    <row r="4462" spans="1:7" x14ac:dyDescent="0.3">
      <c r="A4462" s="42" t="s">
        <v>4295</v>
      </c>
      <c r="B4462" s="42" t="s">
        <v>4627</v>
      </c>
      <c r="C4462" s="42" t="s">
        <v>10199</v>
      </c>
      <c r="D4462" s="43" t="s">
        <v>229</v>
      </c>
      <c r="E4462" s="43" t="s">
        <v>92</v>
      </c>
      <c r="F4462" s="42" t="s">
        <v>11469</v>
      </c>
      <c r="G4462" t="s">
        <v>13197</v>
      </c>
    </row>
    <row r="4463" spans="1:7" x14ac:dyDescent="0.3">
      <c r="A4463" s="42" t="s">
        <v>4295</v>
      </c>
      <c r="B4463" s="42" t="s">
        <v>4628</v>
      </c>
      <c r="C4463" s="42" t="s">
        <v>10200</v>
      </c>
      <c r="D4463" s="43" t="s">
        <v>229</v>
      </c>
      <c r="E4463" s="43" t="s">
        <v>92</v>
      </c>
      <c r="F4463" s="42" t="s">
        <v>11469</v>
      </c>
      <c r="G4463" t="s">
        <v>13197</v>
      </c>
    </row>
    <row r="4464" spans="1:7" x14ac:dyDescent="0.3">
      <c r="A4464" s="42" t="s">
        <v>4629</v>
      </c>
      <c r="B4464" s="42" t="s">
        <v>4630</v>
      </c>
      <c r="C4464" s="42" t="s">
        <v>10201</v>
      </c>
      <c r="D4464" s="43" t="s">
        <v>136</v>
      </c>
      <c r="E4464" s="43" t="s">
        <v>92</v>
      </c>
      <c r="F4464" s="42" t="s">
        <v>11469</v>
      </c>
      <c r="G4464" t="s">
        <v>13197</v>
      </c>
    </row>
    <row r="4465" spans="1:7" x14ac:dyDescent="0.3">
      <c r="A4465" s="42" t="s">
        <v>4629</v>
      </c>
      <c r="B4465" s="42" t="s">
        <v>4631</v>
      </c>
      <c r="C4465" s="42" t="s">
        <v>10202</v>
      </c>
      <c r="D4465" s="43" t="s">
        <v>136</v>
      </c>
      <c r="E4465" s="43" t="s">
        <v>92</v>
      </c>
      <c r="F4465" s="42" t="s">
        <v>192</v>
      </c>
      <c r="G4465" t="s">
        <v>13196</v>
      </c>
    </row>
    <row r="4466" spans="1:7" x14ac:dyDescent="0.3">
      <c r="A4466" s="42" t="s">
        <v>4629</v>
      </c>
      <c r="B4466" s="42" t="s">
        <v>3274</v>
      </c>
      <c r="C4466" s="42" t="s">
        <v>10203</v>
      </c>
      <c r="D4466" s="43" t="s">
        <v>136</v>
      </c>
      <c r="E4466" s="43" t="s">
        <v>92</v>
      </c>
      <c r="F4466" s="42" t="s">
        <v>11469</v>
      </c>
      <c r="G4466" t="s">
        <v>13197</v>
      </c>
    </row>
    <row r="4467" spans="1:7" x14ac:dyDescent="0.3">
      <c r="A4467" s="42" t="s">
        <v>4629</v>
      </c>
      <c r="B4467" s="42" t="s">
        <v>4632</v>
      </c>
      <c r="C4467" s="42" t="s">
        <v>10204</v>
      </c>
      <c r="D4467" s="43" t="s">
        <v>136</v>
      </c>
      <c r="E4467" s="43" t="s">
        <v>92</v>
      </c>
      <c r="F4467" s="42" t="s">
        <v>11469</v>
      </c>
      <c r="G4467" t="s">
        <v>13197</v>
      </c>
    </row>
    <row r="4468" spans="1:7" x14ac:dyDescent="0.3">
      <c r="A4468" s="42" t="s">
        <v>4629</v>
      </c>
      <c r="B4468" s="42" t="s">
        <v>4633</v>
      </c>
      <c r="C4468" s="42" t="s">
        <v>10205</v>
      </c>
      <c r="D4468" s="43" t="s">
        <v>136</v>
      </c>
      <c r="E4468" s="43" t="s">
        <v>92</v>
      </c>
      <c r="F4468" s="42" t="s">
        <v>11469</v>
      </c>
      <c r="G4468" t="s">
        <v>13197</v>
      </c>
    </row>
    <row r="4469" spans="1:7" x14ac:dyDescent="0.3">
      <c r="A4469" s="42" t="s">
        <v>4629</v>
      </c>
      <c r="B4469" s="42" t="s">
        <v>4634</v>
      </c>
      <c r="C4469" s="42" t="s">
        <v>10206</v>
      </c>
      <c r="D4469" s="43" t="s">
        <v>136</v>
      </c>
      <c r="E4469" s="43" t="s">
        <v>92</v>
      </c>
      <c r="F4469" s="42" t="s">
        <v>11469</v>
      </c>
      <c r="G4469" t="s">
        <v>13197</v>
      </c>
    </row>
    <row r="4470" spans="1:7" x14ac:dyDescent="0.3">
      <c r="A4470" s="42" t="s">
        <v>4629</v>
      </c>
      <c r="B4470" s="42" t="s">
        <v>4635</v>
      </c>
      <c r="C4470" s="42" t="s">
        <v>10207</v>
      </c>
      <c r="D4470" s="43" t="s">
        <v>136</v>
      </c>
      <c r="E4470" s="43" t="s">
        <v>92</v>
      </c>
      <c r="F4470" s="42" t="s">
        <v>11469</v>
      </c>
      <c r="G4470" t="s">
        <v>13197</v>
      </c>
    </row>
    <row r="4471" spans="1:7" x14ac:dyDescent="0.3">
      <c r="A4471" s="42" t="s">
        <v>4629</v>
      </c>
      <c r="B4471" s="42" t="s">
        <v>4636</v>
      </c>
      <c r="C4471" s="42" t="s">
        <v>10208</v>
      </c>
      <c r="D4471" s="43" t="s">
        <v>136</v>
      </c>
      <c r="E4471" s="43" t="s">
        <v>92</v>
      </c>
      <c r="F4471" s="42" t="s">
        <v>11469</v>
      </c>
      <c r="G4471" t="s">
        <v>13197</v>
      </c>
    </row>
    <row r="4472" spans="1:7" x14ac:dyDescent="0.3">
      <c r="A4472" s="42" t="s">
        <v>4629</v>
      </c>
      <c r="B4472" s="42" t="s">
        <v>4637</v>
      </c>
      <c r="C4472" s="42" t="s">
        <v>10209</v>
      </c>
      <c r="D4472" s="43" t="s">
        <v>136</v>
      </c>
      <c r="E4472" s="43" t="s">
        <v>92</v>
      </c>
      <c r="F4472" s="42" t="s">
        <v>11469</v>
      </c>
      <c r="G4472" t="s">
        <v>13197</v>
      </c>
    </row>
    <row r="4473" spans="1:7" x14ac:dyDescent="0.3">
      <c r="A4473" s="42" t="s">
        <v>4629</v>
      </c>
      <c r="B4473" s="42" t="s">
        <v>4638</v>
      </c>
      <c r="C4473" s="42" t="s">
        <v>10210</v>
      </c>
      <c r="D4473" s="43" t="s">
        <v>136</v>
      </c>
      <c r="E4473" s="43" t="s">
        <v>92</v>
      </c>
      <c r="F4473" s="42" t="s">
        <v>11469</v>
      </c>
      <c r="G4473" t="s">
        <v>13197</v>
      </c>
    </row>
    <row r="4474" spans="1:7" x14ac:dyDescent="0.3">
      <c r="A4474" s="42" t="s">
        <v>4629</v>
      </c>
      <c r="B4474" s="42" t="s">
        <v>4639</v>
      </c>
      <c r="C4474" s="42" t="s">
        <v>10211</v>
      </c>
      <c r="D4474" s="43" t="s">
        <v>136</v>
      </c>
      <c r="E4474" s="43" t="s">
        <v>92</v>
      </c>
      <c r="F4474" s="42" t="s">
        <v>11469</v>
      </c>
      <c r="G4474" t="s">
        <v>13197</v>
      </c>
    </row>
    <row r="4475" spans="1:7" x14ac:dyDescent="0.3">
      <c r="A4475" s="42" t="s">
        <v>4629</v>
      </c>
      <c r="B4475" s="42" t="s">
        <v>4640</v>
      </c>
      <c r="C4475" s="42" t="s">
        <v>10212</v>
      </c>
      <c r="D4475" s="43" t="s">
        <v>136</v>
      </c>
      <c r="E4475" s="43" t="s">
        <v>92</v>
      </c>
      <c r="F4475" s="42" t="s">
        <v>11469</v>
      </c>
      <c r="G4475" t="s">
        <v>13197</v>
      </c>
    </row>
    <row r="4476" spans="1:7" x14ac:dyDescent="0.3">
      <c r="A4476" s="42" t="s">
        <v>4629</v>
      </c>
      <c r="B4476" s="42" t="s">
        <v>4641</v>
      </c>
      <c r="C4476" s="42" t="s">
        <v>10213</v>
      </c>
      <c r="D4476" s="43" t="s">
        <v>136</v>
      </c>
      <c r="E4476" s="43" t="s">
        <v>92</v>
      </c>
      <c r="F4476" s="42" t="s">
        <v>11469</v>
      </c>
      <c r="G4476" t="s">
        <v>13197</v>
      </c>
    </row>
    <row r="4477" spans="1:7" x14ac:dyDescent="0.3">
      <c r="A4477" s="42" t="s">
        <v>4629</v>
      </c>
      <c r="B4477" s="42" t="s">
        <v>4642</v>
      </c>
      <c r="C4477" s="42" t="s">
        <v>10214</v>
      </c>
      <c r="D4477" s="43" t="s">
        <v>136</v>
      </c>
      <c r="E4477" s="43" t="s">
        <v>92</v>
      </c>
      <c r="F4477" s="42" t="s">
        <v>11469</v>
      </c>
      <c r="G4477" t="s">
        <v>13197</v>
      </c>
    </row>
    <row r="4478" spans="1:7" x14ac:dyDescent="0.3">
      <c r="A4478" s="42" t="s">
        <v>4629</v>
      </c>
      <c r="B4478" s="42" t="s">
        <v>4643</v>
      </c>
      <c r="C4478" s="42" t="s">
        <v>10215</v>
      </c>
      <c r="D4478" s="43" t="s">
        <v>136</v>
      </c>
      <c r="E4478" s="43" t="s">
        <v>92</v>
      </c>
      <c r="F4478" s="42" t="s">
        <v>11469</v>
      </c>
      <c r="G4478" t="s">
        <v>13197</v>
      </c>
    </row>
    <row r="4479" spans="1:7" x14ac:dyDescent="0.3">
      <c r="A4479" s="42" t="s">
        <v>4629</v>
      </c>
      <c r="B4479" s="42" t="s">
        <v>4644</v>
      </c>
      <c r="C4479" s="42" t="s">
        <v>10216</v>
      </c>
      <c r="D4479" s="43" t="s">
        <v>136</v>
      </c>
      <c r="E4479" s="43" t="s">
        <v>92</v>
      </c>
      <c r="F4479" s="42" t="s">
        <v>11469</v>
      </c>
      <c r="G4479" t="s">
        <v>13197</v>
      </c>
    </row>
    <row r="4480" spans="1:7" x14ac:dyDescent="0.3">
      <c r="A4480" s="42" t="s">
        <v>4629</v>
      </c>
      <c r="B4480" s="42" t="s">
        <v>4645</v>
      </c>
      <c r="C4480" s="42" t="s">
        <v>10217</v>
      </c>
      <c r="D4480" s="43" t="s">
        <v>136</v>
      </c>
      <c r="E4480" s="43" t="s">
        <v>92</v>
      </c>
      <c r="F4480" s="42" t="s">
        <v>11469</v>
      </c>
      <c r="G4480" t="s">
        <v>13197</v>
      </c>
    </row>
    <row r="4481" spans="1:7" x14ac:dyDescent="0.3">
      <c r="A4481" s="42" t="s">
        <v>4629</v>
      </c>
      <c r="B4481" s="42" t="s">
        <v>4646</v>
      </c>
      <c r="C4481" s="42" t="s">
        <v>10218</v>
      </c>
      <c r="D4481" s="43" t="s">
        <v>136</v>
      </c>
      <c r="E4481" s="43" t="s">
        <v>92</v>
      </c>
      <c r="F4481" s="42" t="s">
        <v>11469</v>
      </c>
      <c r="G4481" t="s">
        <v>13197</v>
      </c>
    </row>
    <row r="4482" spans="1:7" x14ac:dyDescent="0.3">
      <c r="A4482" s="42" t="s">
        <v>4629</v>
      </c>
      <c r="B4482" s="42" t="s">
        <v>4647</v>
      </c>
      <c r="C4482" s="42" t="s">
        <v>10219</v>
      </c>
      <c r="D4482" s="43" t="s">
        <v>136</v>
      </c>
      <c r="E4482" s="43" t="s">
        <v>92</v>
      </c>
      <c r="F4482" s="42" t="s">
        <v>11469</v>
      </c>
      <c r="G4482" t="s">
        <v>13197</v>
      </c>
    </row>
    <row r="4483" spans="1:7" x14ac:dyDescent="0.3">
      <c r="A4483" s="42" t="s">
        <v>4629</v>
      </c>
      <c r="B4483" s="42" t="s">
        <v>1248</v>
      </c>
      <c r="C4483" s="42" t="s">
        <v>10220</v>
      </c>
      <c r="D4483" s="43" t="s">
        <v>136</v>
      </c>
      <c r="E4483" s="43" t="s">
        <v>92</v>
      </c>
      <c r="F4483" s="42" t="s">
        <v>192</v>
      </c>
      <c r="G4483" t="s">
        <v>13196</v>
      </c>
    </row>
    <row r="4484" spans="1:7" x14ac:dyDescent="0.3">
      <c r="A4484" s="42" t="s">
        <v>4629</v>
      </c>
      <c r="B4484" s="42" t="s">
        <v>4648</v>
      </c>
      <c r="C4484" s="42" t="s">
        <v>10221</v>
      </c>
      <c r="D4484" s="43" t="s">
        <v>136</v>
      </c>
      <c r="E4484" s="43" t="s">
        <v>92</v>
      </c>
      <c r="F4484" s="42" t="s">
        <v>11469</v>
      </c>
      <c r="G4484" t="s">
        <v>13197</v>
      </c>
    </row>
    <row r="4485" spans="1:7" x14ac:dyDescent="0.3">
      <c r="A4485" s="42" t="s">
        <v>4629</v>
      </c>
      <c r="B4485" s="42" t="s">
        <v>4649</v>
      </c>
      <c r="C4485" s="42" t="s">
        <v>10222</v>
      </c>
      <c r="D4485" s="43" t="s">
        <v>136</v>
      </c>
      <c r="E4485" s="43" t="s">
        <v>92</v>
      </c>
      <c r="F4485" s="42" t="s">
        <v>11469</v>
      </c>
      <c r="G4485" t="s">
        <v>13197</v>
      </c>
    </row>
    <row r="4486" spans="1:7" x14ac:dyDescent="0.3">
      <c r="A4486" s="42" t="s">
        <v>4629</v>
      </c>
      <c r="B4486" s="42" t="s">
        <v>4650</v>
      </c>
      <c r="C4486" s="42" t="s">
        <v>10223</v>
      </c>
      <c r="D4486" s="43" t="s">
        <v>136</v>
      </c>
      <c r="E4486" s="43" t="s">
        <v>92</v>
      </c>
      <c r="F4486" s="42" t="s">
        <v>11469</v>
      </c>
      <c r="G4486" t="s">
        <v>13197</v>
      </c>
    </row>
    <row r="4487" spans="1:7" x14ac:dyDescent="0.3">
      <c r="A4487" s="42" t="s">
        <v>4629</v>
      </c>
      <c r="B4487" s="42" t="s">
        <v>4651</v>
      </c>
      <c r="C4487" s="42" t="s">
        <v>10224</v>
      </c>
      <c r="D4487" s="43" t="s">
        <v>136</v>
      </c>
      <c r="E4487" s="43" t="s">
        <v>92</v>
      </c>
      <c r="F4487" s="42" t="s">
        <v>11469</v>
      </c>
      <c r="G4487" t="s">
        <v>13197</v>
      </c>
    </row>
    <row r="4488" spans="1:7" x14ac:dyDescent="0.3">
      <c r="A4488" s="42" t="s">
        <v>4629</v>
      </c>
      <c r="B4488" s="42" t="s">
        <v>4652</v>
      </c>
      <c r="C4488" s="42" t="s">
        <v>10225</v>
      </c>
      <c r="D4488" s="43" t="s">
        <v>136</v>
      </c>
      <c r="E4488" s="43" t="s">
        <v>92</v>
      </c>
      <c r="F4488" s="42" t="s">
        <v>11469</v>
      </c>
      <c r="G4488" t="s">
        <v>13197</v>
      </c>
    </row>
    <row r="4489" spans="1:7" x14ac:dyDescent="0.3">
      <c r="A4489" s="42" t="s">
        <v>4629</v>
      </c>
      <c r="B4489" s="42" t="s">
        <v>4653</v>
      </c>
      <c r="C4489" s="42" t="s">
        <v>10226</v>
      </c>
      <c r="D4489" s="43" t="s">
        <v>136</v>
      </c>
      <c r="E4489" s="43" t="s">
        <v>92</v>
      </c>
      <c r="F4489" s="42" t="s">
        <v>11469</v>
      </c>
      <c r="G4489" t="s">
        <v>13197</v>
      </c>
    </row>
    <row r="4490" spans="1:7" x14ac:dyDescent="0.3">
      <c r="A4490" s="42" t="s">
        <v>4629</v>
      </c>
      <c r="B4490" s="42" t="s">
        <v>2174</v>
      </c>
      <c r="C4490" s="42" t="s">
        <v>10227</v>
      </c>
      <c r="D4490" s="43" t="s">
        <v>136</v>
      </c>
      <c r="E4490" s="43" t="s">
        <v>92</v>
      </c>
      <c r="F4490" s="42" t="s">
        <v>11469</v>
      </c>
      <c r="G4490" t="s">
        <v>13197</v>
      </c>
    </row>
    <row r="4491" spans="1:7" x14ac:dyDescent="0.3">
      <c r="A4491" s="42" t="s">
        <v>4629</v>
      </c>
      <c r="B4491" s="42" t="s">
        <v>4654</v>
      </c>
      <c r="C4491" s="42" t="s">
        <v>10228</v>
      </c>
      <c r="D4491" s="43" t="s">
        <v>136</v>
      </c>
      <c r="E4491" s="43" t="s">
        <v>92</v>
      </c>
      <c r="F4491" s="42" t="s">
        <v>11469</v>
      </c>
      <c r="G4491" t="s">
        <v>13197</v>
      </c>
    </row>
    <row r="4492" spans="1:7" x14ac:dyDescent="0.3">
      <c r="A4492" s="42" t="s">
        <v>4629</v>
      </c>
      <c r="B4492" s="42" t="s">
        <v>4655</v>
      </c>
      <c r="C4492" s="42" t="s">
        <v>10229</v>
      </c>
      <c r="D4492" s="43" t="s">
        <v>136</v>
      </c>
      <c r="E4492" s="43" t="s">
        <v>92</v>
      </c>
      <c r="F4492" s="42" t="s">
        <v>11469</v>
      </c>
      <c r="G4492" t="s">
        <v>13197</v>
      </c>
    </row>
    <row r="4493" spans="1:7" x14ac:dyDescent="0.3">
      <c r="A4493" s="42" t="s">
        <v>4629</v>
      </c>
      <c r="B4493" s="42" t="s">
        <v>4656</v>
      </c>
      <c r="C4493" s="42" t="s">
        <v>10230</v>
      </c>
      <c r="D4493" s="43" t="s">
        <v>136</v>
      </c>
      <c r="E4493" s="43" t="s">
        <v>92</v>
      </c>
      <c r="F4493" s="42" t="s">
        <v>11469</v>
      </c>
      <c r="G4493" t="s">
        <v>13197</v>
      </c>
    </row>
    <row r="4494" spans="1:7" x14ac:dyDescent="0.3">
      <c r="A4494" s="42" t="s">
        <v>4629</v>
      </c>
      <c r="B4494" s="42" t="s">
        <v>4657</v>
      </c>
      <c r="C4494" s="42" t="s">
        <v>10231</v>
      </c>
      <c r="D4494" s="43" t="s">
        <v>136</v>
      </c>
      <c r="E4494" s="43" t="s">
        <v>92</v>
      </c>
      <c r="F4494" s="42" t="s">
        <v>11469</v>
      </c>
      <c r="G4494" t="s">
        <v>13197</v>
      </c>
    </row>
    <row r="4495" spans="1:7" x14ac:dyDescent="0.3">
      <c r="A4495" s="42" t="s">
        <v>4629</v>
      </c>
      <c r="B4495" s="42" t="s">
        <v>4658</v>
      </c>
      <c r="C4495" s="42" t="s">
        <v>10232</v>
      </c>
      <c r="D4495" s="43" t="s">
        <v>136</v>
      </c>
      <c r="E4495" s="43" t="s">
        <v>92</v>
      </c>
      <c r="F4495" s="42" t="s">
        <v>11469</v>
      </c>
      <c r="G4495" t="s">
        <v>13197</v>
      </c>
    </row>
    <row r="4496" spans="1:7" x14ac:dyDescent="0.3">
      <c r="A4496" s="42" t="s">
        <v>4629</v>
      </c>
      <c r="B4496" s="42" t="s">
        <v>2764</v>
      </c>
      <c r="C4496" s="42" t="s">
        <v>10233</v>
      </c>
      <c r="D4496" s="43" t="s">
        <v>136</v>
      </c>
      <c r="E4496" s="43" t="s">
        <v>92</v>
      </c>
      <c r="F4496" s="42" t="s">
        <v>11469</v>
      </c>
      <c r="G4496" t="s">
        <v>13197</v>
      </c>
    </row>
    <row r="4497" spans="1:7" x14ac:dyDescent="0.3">
      <c r="A4497" s="42" t="s">
        <v>4629</v>
      </c>
      <c r="B4497" s="42" t="s">
        <v>4659</v>
      </c>
      <c r="C4497" s="42" t="s">
        <v>10234</v>
      </c>
      <c r="D4497" s="43" t="s">
        <v>136</v>
      </c>
      <c r="E4497" s="43" t="s">
        <v>92</v>
      </c>
      <c r="F4497" s="42" t="s">
        <v>11469</v>
      </c>
      <c r="G4497" t="s">
        <v>13197</v>
      </c>
    </row>
    <row r="4498" spans="1:7" x14ac:dyDescent="0.3">
      <c r="A4498" s="42" t="s">
        <v>4629</v>
      </c>
      <c r="B4498" s="42" t="s">
        <v>4660</v>
      </c>
      <c r="C4498" s="42" t="s">
        <v>10235</v>
      </c>
      <c r="D4498" s="43" t="s">
        <v>136</v>
      </c>
      <c r="E4498" s="43" t="s">
        <v>92</v>
      </c>
      <c r="F4498" s="42" t="s">
        <v>11469</v>
      </c>
      <c r="G4498" t="s">
        <v>13197</v>
      </c>
    </row>
    <row r="4499" spans="1:7" x14ac:dyDescent="0.3">
      <c r="A4499" s="42" t="s">
        <v>4629</v>
      </c>
      <c r="B4499" s="42" t="s">
        <v>4661</v>
      </c>
      <c r="C4499" s="42" t="s">
        <v>10236</v>
      </c>
      <c r="D4499" s="43" t="s">
        <v>136</v>
      </c>
      <c r="E4499" s="43" t="s">
        <v>92</v>
      </c>
      <c r="F4499" s="42" t="s">
        <v>11469</v>
      </c>
      <c r="G4499" t="s">
        <v>13197</v>
      </c>
    </row>
    <row r="4500" spans="1:7" x14ac:dyDescent="0.3">
      <c r="A4500" s="42" t="s">
        <v>4629</v>
      </c>
      <c r="B4500" s="42" t="s">
        <v>4662</v>
      </c>
      <c r="C4500" s="42" t="s">
        <v>10237</v>
      </c>
      <c r="D4500" s="43" t="s">
        <v>136</v>
      </c>
      <c r="E4500" s="43" t="s">
        <v>92</v>
      </c>
      <c r="F4500" s="42" t="s">
        <v>11469</v>
      </c>
      <c r="G4500" t="s">
        <v>13197</v>
      </c>
    </row>
    <row r="4501" spans="1:7" x14ac:dyDescent="0.3">
      <c r="A4501" s="42" t="s">
        <v>4629</v>
      </c>
      <c r="B4501" s="42" t="s">
        <v>4663</v>
      </c>
      <c r="C4501" s="42" t="s">
        <v>10238</v>
      </c>
      <c r="D4501" s="43" t="s">
        <v>136</v>
      </c>
      <c r="E4501" s="43" t="s">
        <v>92</v>
      </c>
      <c r="F4501" s="42" t="s">
        <v>11469</v>
      </c>
      <c r="G4501" t="s">
        <v>13197</v>
      </c>
    </row>
    <row r="4502" spans="1:7" x14ac:dyDescent="0.3">
      <c r="A4502" s="42" t="s">
        <v>4629</v>
      </c>
      <c r="B4502" s="42" t="s">
        <v>4664</v>
      </c>
      <c r="C4502" s="42" t="s">
        <v>10239</v>
      </c>
      <c r="D4502" s="43" t="s">
        <v>136</v>
      </c>
      <c r="E4502" s="43" t="s">
        <v>92</v>
      </c>
      <c r="F4502" s="42" t="s">
        <v>11469</v>
      </c>
      <c r="G4502" t="s">
        <v>13197</v>
      </c>
    </row>
    <row r="4503" spans="1:7" x14ac:dyDescent="0.3">
      <c r="A4503" s="42" t="s">
        <v>4629</v>
      </c>
      <c r="B4503" s="42" t="s">
        <v>4665</v>
      </c>
      <c r="C4503" s="42" t="s">
        <v>10240</v>
      </c>
      <c r="D4503" s="43" t="s">
        <v>136</v>
      </c>
      <c r="E4503" s="43" t="s">
        <v>92</v>
      </c>
      <c r="F4503" s="42" t="s">
        <v>11469</v>
      </c>
      <c r="G4503" t="s">
        <v>13197</v>
      </c>
    </row>
    <row r="4504" spans="1:7" x14ac:dyDescent="0.3">
      <c r="A4504" s="42" t="s">
        <v>4666</v>
      </c>
      <c r="B4504" s="42" t="s">
        <v>4667</v>
      </c>
      <c r="C4504" s="42" t="s">
        <v>10241</v>
      </c>
      <c r="D4504" s="43" t="s">
        <v>228</v>
      </c>
      <c r="E4504" s="43" t="s">
        <v>1430</v>
      </c>
      <c r="F4504" s="42" t="s">
        <v>11469</v>
      </c>
      <c r="G4504" t="s">
        <v>13198</v>
      </c>
    </row>
    <row r="4505" spans="1:7" x14ac:dyDescent="0.3">
      <c r="A4505" s="42" t="s">
        <v>4666</v>
      </c>
      <c r="B4505" s="42" t="s">
        <v>1106</v>
      </c>
      <c r="C4505" s="42" t="s">
        <v>10242</v>
      </c>
      <c r="D4505" s="43" t="s">
        <v>228</v>
      </c>
      <c r="E4505" s="43" t="s">
        <v>1430</v>
      </c>
      <c r="F4505" s="42" t="s">
        <v>11469</v>
      </c>
      <c r="G4505" t="s">
        <v>13197</v>
      </c>
    </row>
    <row r="4506" spans="1:7" x14ac:dyDescent="0.3">
      <c r="A4506" s="42" t="s">
        <v>4666</v>
      </c>
      <c r="B4506" s="42" t="s">
        <v>4668</v>
      </c>
      <c r="C4506" s="42" t="s">
        <v>10243</v>
      </c>
      <c r="D4506" s="43" t="s">
        <v>228</v>
      </c>
      <c r="E4506" s="43" t="s">
        <v>1430</v>
      </c>
      <c r="F4506" s="42" t="s">
        <v>11469</v>
      </c>
      <c r="G4506" t="s">
        <v>13197</v>
      </c>
    </row>
    <row r="4507" spans="1:7" x14ac:dyDescent="0.3">
      <c r="A4507" s="42" t="s">
        <v>4666</v>
      </c>
      <c r="B4507" s="42" t="s">
        <v>4669</v>
      </c>
      <c r="C4507" s="42" t="s">
        <v>10244</v>
      </c>
      <c r="D4507" s="43" t="s">
        <v>228</v>
      </c>
      <c r="E4507" s="43" t="s">
        <v>1430</v>
      </c>
      <c r="F4507" s="42" t="s">
        <v>11469</v>
      </c>
      <c r="G4507" t="s">
        <v>13197</v>
      </c>
    </row>
    <row r="4508" spans="1:7" x14ac:dyDescent="0.3">
      <c r="A4508" s="42" t="s">
        <v>4666</v>
      </c>
      <c r="B4508" s="42" t="s">
        <v>4670</v>
      </c>
      <c r="C4508" s="42" t="s">
        <v>10245</v>
      </c>
      <c r="D4508" s="43" t="s">
        <v>228</v>
      </c>
      <c r="E4508" s="43" t="s">
        <v>1430</v>
      </c>
      <c r="F4508" s="42" t="s">
        <v>11469</v>
      </c>
      <c r="G4508" t="s">
        <v>13198</v>
      </c>
    </row>
    <row r="4509" spans="1:7" x14ac:dyDescent="0.3">
      <c r="A4509" s="42" t="s">
        <v>4666</v>
      </c>
      <c r="B4509" s="42" t="s">
        <v>4671</v>
      </c>
      <c r="C4509" s="42" t="s">
        <v>10246</v>
      </c>
      <c r="D4509" s="43" t="s">
        <v>228</v>
      </c>
      <c r="E4509" s="43" t="s">
        <v>1430</v>
      </c>
      <c r="F4509" s="42" t="s">
        <v>11469</v>
      </c>
      <c r="G4509" t="s">
        <v>13198</v>
      </c>
    </row>
    <row r="4510" spans="1:7" x14ac:dyDescent="0.3">
      <c r="A4510" s="42" t="s">
        <v>4666</v>
      </c>
      <c r="B4510" s="42" t="s">
        <v>4672</v>
      </c>
      <c r="C4510" s="42" t="s">
        <v>10247</v>
      </c>
      <c r="D4510" s="43" t="s">
        <v>228</v>
      </c>
      <c r="E4510" s="43" t="s">
        <v>1430</v>
      </c>
      <c r="F4510" s="42" t="s">
        <v>11469</v>
      </c>
      <c r="G4510" t="s">
        <v>13197</v>
      </c>
    </row>
    <row r="4511" spans="1:7" x14ac:dyDescent="0.3">
      <c r="A4511" s="42" t="s">
        <v>4666</v>
      </c>
      <c r="B4511" s="42" t="s">
        <v>4673</v>
      </c>
      <c r="C4511" s="42" t="s">
        <v>10248</v>
      </c>
      <c r="D4511" s="43" t="s">
        <v>228</v>
      </c>
      <c r="E4511" s="43" t="s">
        <v>1430</v>
      </c>
      <c r="F4511" s="42" t="s">
        <v>192</v>
      </c>
      <c r="G4511" t="s">
        <v>13196</v>
      </c>
    </row>
    <row r="4512" spans="1:7" x14ac:dyDescent="0.3">
      <c r="A4512" s="42" t="s">
        <v>4666</v>
      </c>
      <c r="B4512" s="42" t="s">
        <v>4674</v>
      </c>
      <c r="C4512" s="42" t="s">
        <v>10249</v>
      </c>
      <c r="D4512" s="43" t="s">
        <v>228</v>
      </c>
      <c r="E4512" s="43" t="s">
        <v>1430</v>
      </c>
      <c r="F4512" s="42" t="s">
        <v>11469</v>
      </c>
      <c r="G4512" t="s">
        <v>13197</v>
      </c>
    </row>
    <row r="4513" spans="1:7" x14ac:dyDescent="0.3">
      <c r="A4513" s="42" t="s">
        <v>4666</v>
      </c>
      <c r="B4513" s="42" t="s">
        <v>4675</v>
      </c>
      <c r="C4513" s="42" t="s">
        <v>10250</v>
      </c>
      <c r="D4513" s="43" t="s">
        <v>228</v>
      </c>
      <c r="E4513" s="43" t="s">
        <v>1430</v>
      </c>
      <c r="F4513" s="42" t="s">
        <v>192</v>
      </c>
      <c r="G4513" t="s">
        <v>13196</v>
      </c>
    </row>
    <row r="4514" spans="1:7" x14ac:dyDescent="0.3">
      <c r="A4514" s="42" t="s">
        <v>4666</v>
      </c>
      <c r="B4514" s="42" t="s">
        <v>4676</v>
      </c>
      <c r="C4514" s="42" t="s">
        <v>10251</v>
      </c>
      <c r="D4514" s="43" t="s">
        <v>228</v>
      </c>
      <c r="E4514" s="43" t="s">
        <v>1430</v>
      </c>
      <c r="F4514" s="42" t="s">
        <v>192</v>
      </c>
      <c r="G4514" t="s">
        <v>13196</v>
      </c>
    </row>
    <row r="4515" spans="1:7" x14ac:dyDescent="0.3">
      <c r="A4515" s="42" t="s">
        <v>4666</v>
      </c>
      <c r="B4515" s="42" t="s">
        <v>4677</v>
      </c>
      <c r="C4515" s="42" t="s">
        <v>10252</v>
      </c>
      <c r="D4515" s="43" t="s">
        <v>228</v>
      </c>
      <c r="E4515" s="43" t="s">
        <v>1430</v>
      </c>
      <c r="F4515" s="42" t="s">
        <v>11469</v>
      </c>
      <c r="G4515" t="s">
        <v>13197</v>
      </c>
    </row>
    <row r="4516" spans="1:7" x14ac:dyDescent="0.3">
      <c r="A4516" s="42" t="s">
        <v>4666</v>
      </c>
      <c r="B4516" s="42" t="s">
        <v>4678</v>
      </c>
      <c r="C4516" s="42" t="s">
        <v>10253</v>
      </c>
      <c r="D4516" s="43" t="s">
        <v>228</v>
      </c>
      <c r="E4516" s="43" t="s">
        <v>1430</v>
      </c>
      <c r="F4516" s="42" t="s">
        <v>11469</v>
      </c>
      <c r="G4516" t="s">
        <v>13197</v>
      </c>
    </row>
    <row r="4517" spans="1:7" x14ac:dyDescent="0.3">
      <c r="A4517" s="42" t="s">
        <v>4666</v>
      </c>
      <c r="B4517" s="42" t="s">
        <v>4679</v>
      </c>
      <c r="C4517" s="42" t="s">
        <v>10254</v>
      </c>
      <c r="D4517" s="43" t="s">
        <v>228</v>
      </c>
      <c r="E4517" s="43" t="s">
        <v>1430</v>
      </c>
      <c r="F4517" s="42" t="s">
        <v>11469</v>
      </c>
      <c r="G4517" t="s">
        <v>13197</v>
      </c>
    </row>
    <row r="4518" spans="1:7" x14ac:dyDescent="0.3">
      <c r="A4518" s="42" t="s">
        <v>4666</v>
      </c>
      <c r="B4518" s="42" t="s">
        <v>4680</v>
      </c>
      <c r="C4518" s="42" t="s">
        <v>10255</v>
      </c>
      <c r="D4518" s="43" t="s">
        <v>228</v>
      </c>
      <c r="E4518" s="43" t="s">
        <v>1430</v>
      </c>
      <c r="F4518" s="42" t="s">
        <v>192</v>
      </c>
      <c r="G4518" t="s">
        <v>13196</v>
      </c>
    </row>
    <row r="4519" spans="1:7" x14ac:dyDescent="0.3">
      <c r="A4519" s="42" t="s">
        <v>4666</v>
      </c>
      <c r="B4519" s="42" t="s">
        <v>4681</v>
      </c>
      <c r="C4519" s="42" t="s">
        <v>10256</v>
      </c>
      <c r="D4519" s="43" t="s">
        <v>228</v>
      </c>
      <c r="E4519" s="43" t="s">
        <v>1430</v>
      </c>
      <c r="F4519" s="42" t="s">
        <v>192</v>
      </c>
      <c r="G4519" t="s">
        <v>13196</v>
      </c>
    </row>
    <row r="4520" spans="1:7" x14ac:dyDescent="0.3">
      <c r="A4520" s="42" t="s">
        <v>4666</v>
      </c>
      <c r="B4520" s="42" t="s">
        <v>4682</v>
      </c>
      <c r="C4520" s="42" t="s">
        <v>10257</v>
      </c>
      <c r="D4520" s="43" t="s">
        <v>228</v>
      </c>
      <c r="E4520" s="43" t="s">
        <v>1430</v>
      </c>
      <c r="F4520" s="42" t="s">
        <v>11469</v>
      </c>
      <c r="G4520" t="s">
        <v>13197</v>
      </c>
    </row>
    <row r="4521" spans="1:7" x14ac:dyDescent="0.3">
      <c r="A4521" s="42" t="s">
        <v>4666</v>
      </c>
      <c r="B4521" s="42" t="s">
        <v>4683</v>
      </c>
      <c r="C4521" s="42" t="s">
        <v>10258</v>
      </c>
      <c r="D4521" s="43" t="s">
        <v>228</v>
      </c>
      <c r="E4521" s="43" t="s">
        <v>1430</v>
      </c>
      <c r="F4521" s="42" t="s">
        <v>192</v>
      </c>
      <c r="G4521" t="s">
        <v>13196</v>
      </c>
    </row>
    <row r="4522" spans="1:7" x14ac:dyDescent="0.3">
      <c r="A4522" s="42" t="s">
        <v>4666</v>
      </c>
      <c r="B4522" s="42" t="s">
        <v>4684</v>
      </c>
      <c r="C4522" s="42" t="s">
        <v>10259</v>
      </c>
      <c r="D4522" s="43" t="s">
        <v>228</v>
      </c>
      <c r="E4522" s="43" t="s">
        <v>1430</v>
      </c>
      <c r="F4522" s="42" t="s">
        <v>11469</v>
      </c>
      <c r="G4522" t="s">
        <v>13197</v>
      </c>
    </row>
    <row r="4523" spans="1:7" x14ac:dyDescent="0.3">
      <c r="A4523" s="42" t="s">
        <v>4666</v>
      </c>
      <c r="B4523" s="42" t="s">
        <v>4685</v>
      </c>
      <c r="C4523" s="42" t="s">
        <v>10260</v>
      </c>
      <c r="D4523" s="43" t="s">
        <v>228</v>
      </c>
      <c r="E4523" s="43" t="s">
        <v>1430</v>
      </c>
      <c r="F4523" s="42" t="s">
        <v>192</v>
      </c>
      <c r="G4523" t="s">
        <v>13196</v>
      </c>
    </row>
    <row r="4524" spans="1:7" x14ac:dyDescent="0.3">
      <c r="A4524" s="42" t="s">
        <v>4666</v>
      </c>
      <c r="B4524" s="42" t="s">
        <v>4686</v>
      </c>
      <c r="C4524" s="42" t="s">
        <v>10261</v>
      </c>
      <c r="D4524" s="43" t="s">
        <v>228</v>
      </c>
      <c r="E4524" s="43" t="s">
        <v>1430</v>
      </c>
      <c r="F4524" s="42" t="s">
        <v>11469</v>
      </c>
      <c r="G4524" t="s">
        <v>13197</v>
      </c>
    </row>
    <row r="4525" spans="1:7" x14ac:dyDescent="0.3">
      <c r="A4525" s="42" t="s">
        <v>4666</v>
      </c>
      <c r="B4525" s="42" t="s">
        <v>4687</v>
      </c>
      <c r="C4525" s="42" t="s">
        <v>10262</v>
      </c>
      <c r="D4525" s="43" t="s">
        <v>228</v>
      </c>
      <c r="E4525" s="43" t="s">
        <v>1430</v>
      </c>
      <c r="F4525" s="42" t="s">
        <v>11469</v>
      </c>
      <c r="G4525" t="s">
        <v>13197</v>
      </c>
    </row>
    <row r="4526" spans="1:7" x14ac:dyDescent="0.3">
      <c r="A4526" s="42" t="s">
        <v>4666</v>
      </c>
      <c r="B4526" s="42" t="s">
        <v>4688</v>
      </c>
      <c r="C4526" s="42" t="s">
        <v>10263</v>
      </c>
      <c r="D4526" s="43" t="s">
        <v>228</v>
      </c>
      <c r="E4526" s="43" t="s">
        <v>1430</v>
      </c>
      <c r="F4526" s="42" t="s">
        <v>192</v>
      </c>
      <c r="G4526" t="s">
        <v>13196</v>
      </c>
    </row>
    <row r="4527" spans="1:7" x14ac:dyDescent="0.3">
      <c r="A4527" s="42" t="s">
        <v>4666</v>
      </c>
      <c r="B4527" s="42" t="s">
        <v>4689</v>
      </c>
      <c r="C4527" s="42" t="s">
        <v>10264</v>
      </c>
      <c r="D4527" s="43" t="s">
        <v>228</v>
      </c>
      <c r="E4527" s="43" t="s">
        <v>1430</v>
      </c>
      <c r="F4527" s="42" t="s">
        <v>11469</v>
      </c>
      <c r="G4527" t="s">
        <v>13197</v>
      </c>
    </row>
    <row r="4528" spans="1:7" x14ac:dyDescent="0.3">
      <c r="A4528" s="42" t="s">
        <v>4666</v>
      </c>
      <c r="B4528" s="42" t="s">
        <v>4690</v>
      </c>
      <c r="C4528" s="42" t="s">
        <v>10265</v>
      </c>
      <c r="D4528" s="43" t="s">
        <v>228</v>
      </c>
      <c r="E4528" s="43" t="s">
        <v>1430</v>
      </c>
      <c r="F4528" s="42" t="s">
        <v>11469</v>
      </c>
      <c r="G4528" t="s">
        <v>13197</v>
      </c>
    </row>
    <row r="4529" spans="1:7" x14ac:dyDescent="0.3">
      <c r="A4529" s="42" t="s">
        <v>4666</v>
      </c>
      <c r="B4529" s="42" t="s">
        <v>4691</v>
      </c>
      <c r="C4529" s="42" t="s">
        <v>10266</v>
      </c>
      <c r="D4529" s="43" t="s">
        <v>228</v>
      </c>
      <c r="E4529" s="43" t="s">
        <v>1430</v>
      </c>
      <c r="F4529" s="42" t="s">
        <v>192</v>
      </c>
      <c r="G4529" t="s">
        <v>13196</v>
      </c>
    </row>
    <row r="4530" spans="1:7" x14ac:dyDescent="0.3">
      <c r="A4530" s="42" t="s">
        <v>4666</v>
      </c>
      <c r="B4530" s="42" t="s">
        <v>4692</v>
      </c>
      <c r="C4530" s="42" t="s">
        <v>10267</v>
      </c>
      <c r="D4530" s="43" t="s">
        <v>228</v>
      </c>
      <c r="E4530" s="43" t="s">
        <v>1430</v>
      </c>
      <c r="F4530" s="42" t="s">
        <v>192</v>
      </c>
      <c r="G4530" t="s">
        <v>13196</v>
      </c>
    </row>
    <row r="4531" spans="1:7" x14ac:dyDescent="0.3">
      <c r="A4531" s="42" t="s">
        <v>4666</v>
      </c>
      <c r="B4531" s="42" t="s">
        <v>2573</v>
      </c>
      <c r="C4531" s="42" t="s">
        <v>10268</v>
      </c>
      <c r="D4531" s="43" t="s">
        <v>228</v>
      </c>
      <c r="E4531" s="43" t="s">
        <v>1430</v>
      </c>
      <c r="F4531" s="42" t="s">
        <v>11469</v>
      </c>
      <c r="G4531" t="s">
        <v>13197</v>
      </c>
    </row>
    <row r="4532" spans="1:7" x14ac:dyDescent="0.3">
      <c r="A4532" s="42" t="s">
        <v>4666</v>
      </c>
      <c r="B4532" s="42" t="s">
        <v>4693</v>
      </c>
      <c r="C4532" s="42" t="s">
        <v>10269</v>
      </c>
      <c r="D4532" s="43" t="s">
        <v>228</v>
      </c>
      <c r="E4532" s="43" t="s">
        <v>1430</v>
      </c>
      <c r="F4532" s="42" t="s">
        <v>11469</v>
      </c>
      <c r="G4532" t="s">
        <v>13197</v>
      </c>
    </row>
    <row r="4533" spans="1:7" x14ac:dyDescent="0.3">
      <c r="A4533" s="42" t="s">
        <v>4666</v>
      </c>
      <c r="B4533" s="42" t="s">
        <v>4694</v>
      </c>
      <c r="C4533" s="42" t="s">
        <v>10270</v>
      </c>
      <c r="D4533" s="43" t="s">
        <v>228</v>
      </c>
      <c r="E4533" s="43" t="s">
        <v>1430</v>
      </c>
      <c r="F4533" s="42" t="s">
        <v>11469</v>
      </c>
      <c r="G4533" t="s">
        <v>13197</v>
      </c>
    </row>
    <row r="4534" spans="1:7" x14ac:dyDescent="0.3">
      <c r="A4534" s="42" t="s">
        <v>4666</v>
      </c>
      <c r="B4534" s="42" t="s">
        <v>4695</v>
      </c>
      <c r="C4534" s="42" t="s">
        <v>10271</v>
      </c>
      <c r="D4534" s="43" t="s">
        <v>228</v>
      </c>
      <c r="E4534" s="43" t="s">
        <v>1430</v>
      </c>
      <c r="F4534" s="42" t="s">
        <v>11469</v>
      </c>
      <c r="G4534" t="s">
        <v>13197</v>
      </c>
    </row>
    <row r="4535" spans="1:7" x14ac:dyDescent="0.3">
      <c r="A4535" s="42" t="s">
        <v>4666</v>
      </c>
      <c r="B4535" s="42" t="s">
        <v>4696</v>
      </c>
      <c r="C4535" s="42" t="s">
        <v>10272</v>
      </c>
      <c r="D4535" s="43" t="s">
        <v>228</v>
      </c>
      <c r="E4535" s="43" t="s">
        <v>1430</v>
      </c>
      <c r="F4535" s="42" t="s">
        <v>11469</v>
      </c>
      <c r="G4535" t="s">
        <v>13197</v>
      </c>
    </row>
    <row r="4536" spans="1:7" x14ac:dyDescent="0.3">
      <c r="A4536" s="42" t="s">
        <v>4666</v>
      </c>
      <c r="B4536" s="42" t="s">
        <v>4697</v>
      </c>
      <c r="C4536" s="42" t="s">
        <v>10273</v>
      </c>
      <c r="D4536" s="43" t="s">
        <v>228</v>
      </c>
      <c r="E4536" s="43" t="s">
        <v>1430</v>
      </c>
      <c r="F4536" s="42" t="s">
        <v>11469</v>
      </c>
      <c r="G4536" t="s">
        <v>13197</v>
      </c>
    </row>
    <row r="4537" spans="1:7" x14ac:dyDescent="0.3">
      <c r="A4537" s="42" t="s">
        <v>4666</v>
      </c>
      <c r="B4537" s="42" t="s">
        <v>4698</v>
      </c>
      <c r="C4537" s="42" t="s">
        <v>10274</v>
      </c>
      <c r="D4537" s="43" t="s">
        <v>228</v>
      </c>
      <c r="E4537" s="43" t="s">
        <v>1430</v>
      </c>
      <c r="F4537" s="42" t="s">
        <v>192</v>
      </c>
      <c r="G4537" t="s">
        <v>13196</v>
      </c>
    </row>
    <row r="4538" spans="1:7" x14ac:dyDescent="0.3">
      <c r="A4538" s="42" t="s">
        <v>4666</v>
      </c>
      <c r="B4538" s="42" t="s">
        <v>4699</v>
      </c>
      <c r="C4538" s="42" t="s">
        <v>10275</v>
      </c>
      <c r="D4538" s="43" t="s">
        <v>228</v>
      </c>
      <c r="E4538" s="43" t="s">
        <v>1430</v>
      </c>
      <c r="F4538" s="42" t="s">
        <v>11469</v>
      </c>
      <c r="G4538" t="s">
        <v>13197</v>
      </c>
    </row>
    <row r="4539" spans="1:7" x14ac:dyDescent="0.3">
      <c r="A4539" s="42" t="s">
        <v>4666</v>
      </c>
      <c r="B4539" s="42" t="s">
        <v>4700</v>
      </c>
      <c r="C4539" s="42" t="s">
        <v>10276</v>
      </c>
      <c r="D4539" s="43" t="s">
        <v>228</v>
      </c>
      <c r="E4539" s="43" t="s">
        <v>1430</v>
      </c>
      <c r="F4539" s="42" t="s">
        <v>11469</v>
      </c>
      <c r="G4539" t="s">
        <v>13198</v>
      </c>
    </row>
    <row r="4540" spans="1:7" x14ac:dyDescent="0.3">
      <c r="A4540" s="42" t="s">
        <v>4666</v>
      </c>
      <c r="B4540" s="42" t="s">
        <v>4701</v>
      </c>
      <c r="C4540" s="42" t="s">
        <v>10277</v>
      </c>
      <c r="D4540" s="43" t="s">
        <v>228</v>
      </c>
      <c r="E4540" s="43" t="s">
        <v>1430</v>
      </c>
      <c r="F4540" s="42" t="s">
        <v>11469</v>
      </c>
      <c r="G4540" t="s">
        <v>13197</v>
      </c>
    </row>
    <row r="4541" spans="1:7" x14ac:dyDescent="0.3">
      <c r="A4541" s="42" t="s">
        <v>4666</v>
      </c>
      <c r="B4541" s="42" t="s">
        <v>4702</v>
      </c>
      <c r="C4541" s="42" t="s">
        <v>10278</v>
      </c>
      <c r="D4541" s="43" t="s">
        <v>228</v>
      </c>
      <c r="E4541" s="43" t="s">
        <v>1430</v>
      </c>
      <c r="F4541" s="42" t="s">
        <v>192</v>
      </c>
      <c r="G4541" t="s">
        <v>13196</v>
      </c>
    </row>
    <row r="4542" spans="1:7" x14ac:dyDescent="0.3">
      <c r="A4542" s="42" t="s">
        <v>4666</v>
      </c>
      <c r="B4542" s="42" t="s">
        <v>4703</v>
      </c>
      <c r="C4542" s="42" t="s">
        <v>10279</v>
      </c>
      <c r="D4542" s="43" t="s">
        <v>228</v>
      </c>
      <c r="E4542" s="43" t="s">
        <v>1430</v>
      </c>
      <c r="F4542" s="42" t="s">
        <v>11469</v>
      </c>
      <c r="G4542" t="s">
        <v>13197</v>
      </c>
    </row>
    <row r="4543" spans="1:7" x14ac:dyDescent="0.3">
      <c r="A4543" s="42" t="s">
        <v>4666</v>
      </c>
      <c r="B4543" s="42" t="s">
        <v>4704</v>
      </c>
      <c r="C4543" s="42" t="s">
        <v>10280</v>
      </c>
      <c r="D4543" s="43" t="s">
        <v>228</v>
      </c>
      <c r="E4543" s="43" t="s">
        <v>1430</v>
      </c>
      <c r="F4543" s="42" t="s">
        <v>11469</v>
      </c>
      <c r="G4543" t="s">
        <v>13197</v>
      </c>
    </row>
    <row r="4544" spans="1:7" x14ac:dyDescent="0.3">
      <c r="A4544" s="42" t="s">
        <v>4666</v>
      </c>
      <c r="B4544" s="42" t="s">
        <v>4705</v>
      </c>
      <c r="C4544" s="42" t="s">
        <v>10281</v>
      </c>
      <c r="D4544" s="43" t="s">
        <v>228</v>
      </c>
      <c r="E4544" s="43" t="s">
        <v>1430</v>
      </c>
      <c r="F4544" s="42" t="s">
        <v>11469</v>
      </c>
      <c r="G4544" t="s">
        <v>13197</v>
      </c>
    </row>
    <row r="4545" spans="1:7" x14ac:dyDescent="0.3">
      <c r="A4545" s="42" t="s">
        <v>4666</v>
      </c>
      <c r="B4545" s="42" t="s">
        <v>4706</v>
      </c>
      <c r="C4545" s="42" t="s">
        <v>10282</v>
      </c>
      <c r="D4545" s="43" t="s">
        <v>228</v>
      </c>
      <c r="E4545" s="43" t="s">
        <v>1430</v>
      </c>
      <c r="F4545" s="42" t="s">
        <v>192</v>
      </c>
      <c r="G4545" t="s">
        <v>13196</v>
      </c>
    </row>
    <row r="4546" spans="1:7" x14ac:dyDescent="0.3">
      <c r="A4546" s="42" t="s">
        <v>4666</v>
      </c>
      <c r="B4546" s="42" t="s">
        <v>4707</v>
      </c>
      <c r="C4546" s="42" t="s">
        <v>10283</v>
      </c>
      <c r="D4546" s="43" t="s">
        <v>228</v>
      </c>
      <c r="E4546" s="43" t="s">
        <v>1430</v>
      </c>
      <c r="F4546" s="42" t="s">
        <v>11469</v>
      </c>
      <c r="G4546" t="s">
        <v>13197</v>
      </c>
    </row>
    <row r="4547" spans="1:7" x14ac:dyDescent="0.3">
      <c r="A4547" s="42" t="s">
        <v>4666</v>
      </c>
      <c r="B4547" s="42" t="s">
        <v>4708</v>
      </c>
      <c r="C4547" s="42" t="s">
        <v>10284</v>
      </c>
      <c r="D4547" s="43" t="s">
        <v>228</v>
      </c>
      <c r="E4547" s="43" t="s">
        <v>1430</v>
      </c>
      <c r="F4547" s="42" t="s">
        <v>11469</v>
      </c>
      <c r="G4547" t="s">
        <v>13197</v>
      </c>
    </row>
    <row r="4548" spans="1:7" x14ac:dyDescent="0.3">
      <c r="A4548" s="42" t="s">
        <v>4666</v>
      </c>
      <c r="B4548" s="42" t="s">
        <v>4709</v>
      </c>
      <c r="C4548" s="42" t="s">
        <v>10285</v>
      </c>
      <c r="D4548" s="43" t="s">
        <v>228</v>
      </c>
      <c r="E4548" s="43" t="s">
        <v>1430</v>
      </c>
      <c r="F4548" s="42" t="s">
        <v>11469</v>
      </c>
      <c r="G4548" t="s">
        <v>13197</v>
      </c>
    </row>
    <row r="4549" spans="1:7" x14ac:dyDescent="0.3">
      <c r="A4549" s="42" t="s">
        <v>4666</v>
      </c>
      <c r="B4549" s="42" t="s">
        <v>4710</v>
      </c>
      <c r="C4549" s="42" t="s">
        <v>10286</v>
      </c>
      <c r="D4549" s="43" t="s">
        <v>228</v>
      </c>
      <c r="E4549" s="43" t="s">
        <v>1430</v>
      </c>
      <c r="F4549" s="42" t="s">
        <v>11469</v>
      </c>
      <c r="G4549" t="s">
        <v>13197</v>
      </c>
    </row>
    <row r="4550" spans="1:7" x14ac:dyDescent="0.3">
      <c r="A4550" s="42" t="s">
        <v>4666</v>
      </c>
      <c r="B4550" s="42" t="s">
        <v>4711</v>
      </c>
      <c r="C4550" s="42" t="s">
        <v>10287</v>
      </c>
      <c r="D4550" s="43" t="s">
        <v>228</v>
      </c>
      <c r="E4550" s="43" t="s">
        <v>1430</v>
      </c>
      <c r="F4550" s="42" t="s">
        <v>11469</v>
      </c>
      <c r="G4550" t="s">
        <v>13197</v>
      </c>
    </row>
    <row r="4551" spans="1:7" x14ac:dyDescent="0.3">
      <c r="A4551" s="42" t="s">
        <v>4666</v>
      </c>
      <c r="B4551" s="42" t="s">
        <v>4712</v>
      </c>
      <c r="C4551" s="42" t="s">
        <v>10288</v>
      </c>
      <c r="D4551" s="43" t="s">
        <v>228</v>
      </c>
      <c r="E4551" s="43" t="s">
        <v>1430</v>
      </c>
      <c r="F4551" s="42" t="s">
        <v>11469</v>
      </c>
      <c r="G4551" t="s">
        <v>13197</v>
      </c>
    </row>
    <row r="4552" spans="1:7" x14ac:dyDescent="0.3">
      <c r="A4552" s="42" t="s">
        <v>4666</v>
      </c>
      <c r="B4552" s="42" t="s">
        <v>4713</v>
      </c>
      <c r="C4552" s="42" t="s">
        <v>10289</v>
      </c>
      <c r="D4552" s="43" t="s">
        <v>228</v>
      </c>
      <c r="E4552" s="43" t="s">
        <v>1430</v>
      </c>
      <c r="F4552" s="42" t="s">
        <v>11469</v>
      </c>
      <c r="G4552" t="s">
        <v>13197</v>
      </c>
    </row>
    <row r="4553" spans="1:7" x14ac:dyDescent="0.3">
      <c r="A4553" s="42" t="s">
        <v>4666</v>
      </c>
      <c r="B4553" s="42" t="s">
        <v>4714</v>
      </c>
      <c r="C4553" s="42" t="s">
        <v>10290</v>
      </c>
      <c r="D4553" s="43" t="s">
        <v>228</v>
      </c>
      <c r="E4553" s="43" t="s">
        <v>1430</v>
      </c>
      <c r="F4553" s="42" t="s">
        <v>192</v>
      </c>
      <c r="G4553" t="s">
        <v>13196</v>
      </c>
    </row>
    <row r="4554" spans="1:7" x14ac:dyDescent="0.3">
      <c r="A4554" s="42" t="s">
        <v>4666</v>
      </c>
      <c r="B4554" s="42" t="s">
        <v>4715</v>
      </c>
      <c r="C4554" s="42" t="s">
        <v>10291</v>
      </c>
      <c r="D4554" s="43" t="s">
        <v>228</v>
      </c>
      <c r="E4554" s="43" t="s">
        <v>1430</v>
      </c>
      <c r="F4554" s="42" t="s">
        <v>11469</v>
      </c>
      <c r="G4554" t="s">
        <v>13197</v>
      </c>
    </row>
    <row r="4555" spans="1:7" x14ac:dyDescent="0.3">
      <c r="A4555" s="42" t="s">
        <v>4666</v>
      </c>
      <c r="B4555" s="42" t="s">
        <v>4716</v>
      </c>
      <c r="C4555" s="42" t="s">
        <v>10292</v>
      </c>
      <c r="D4555" s="43" t="s">
        <v>228</v>
      </c>
      <c r="E4555" s="43" t="s">
        <v>1430</v>
      </c>
      <c r="F4555" s="42" t="s">
        <v>11469</v>
      </c>
      <c r="G4555" t="s">
        <v>13197</v>
      </c>
    </row>
    <row r="4556" spans="1:7" x14ac:dyDescent="0.3">
      <c r="A4556" s="42" t="s">
        <v>4666</v>
      </c>
      <c r="B4556" s="42" t="s">
        <v>1453</v>
      </c>
      <c r="C4556" s="42" t="s">
        <v>10293</v>
      </c>
      <c r="D4556" s="43" t="s">
        <v>228</v>
      </c>
      <c r="E4556" s="43" t="s">
        <v>1430</v>
      </c>
      <c r="F4556" s="42" t="s">
        <v>11469</v>
      </c>
      <c r="G4556" t="s">
        <v>13200</v>
      </c>
    </row>
    <row r="4557" spans="1:7" x14ac:dyDescent="0.3">
      <c r="A4557" s="42" t="s">
        <v>4666</v>
      </c>
      <c r="B4557" s="42" t="s">
        <v>4717</v>
      </c>
      <c r="C4557" s="42" t="s">
        <v>10294</v>
      </c>
      <c r="D4557" s="43" t="s">
        <v>228</v>
      </c>
      <c r="E4557" s="43" t="s">
        <v>1430</v>
      </c>
      <c r="F4557" s="42" t="s">
        <v>11469</v>
      </c>
      <c r="G4557" t="s">
        <v>13197</v>
      </c>
    </row>
    <row r="4558" spans="1:7" x14ac:dyDescent="0.3">
      <c r="A4558" s="42" t="s">
        <v>4666</v>
      </c>
      <c r="B4558" s="42" t="s">
        <v>4718</v>
      </c>
      <c r="C4558" s="42" t="s">
        <v>10295</v>
      </c>
      <c r="D4558" s="43" t="s">
        <v>228</v>
      </c>
      <c r="E4558" s="43" t="s">
        <v>1430</v>
      </c>
      <c r="F4558" s="42" t="s">
        <v>11469</v>
      </c>
      <c r="G4558" t="s">
        <v>13197</v>
      </c>
    </row>
    <row r="4559" spans="1:7" x14ac:dyDescent="0.3">
      <c r="A4559" s="42" t="s">
        <v>4666</v>
      </c>
      <c r="B4559" s="42" t="s">
        <v>4719</v>
      </c>
      <c r="C4559" s="42" t="s">
        <v>10296</v>
      </c>
      <c r="D4559" s="43" t="s">
        <v>228</v>
      </c>
      <c r="E4559" s="43" t="s">
        <v>1430</v>
      </c>
      <c r="F4559" s="42" t="s">
        <v>11469</v>
      </c>
      <c r="G4559" t="s">
        <v>13197</v>
      </c>
    </row>
    <row r="4560" spans="1:7" x14ac:dyDescent="0.3">
      <c r="A4560" s="42" t="s">
        <v>4666</v>
      </c>
      <c r="B4560" s="42" t="s">
        <v>4720</v>
      </c>
      <c r="C4560" s="42" t="s">
        <v>10297</v>
      </c>
      <c r="D4560" s="43" t="s">
        <v>228</v>
      </c>
      <c r="E4560" s="43" t="s">
        <v>1430</v>
      </c>
      <c r="F4560" s="42" t="s">
        <v>11469</v>
      </c>
      <c r="G4560" t="s">
        <v>13197</v>
      </c>
    </row>
    <row r="4561" spans="1:7" x14ac:dyDescent="0.3">
      <c r="A4561" s="42" t="s">
        <v>4666</v>
      </c>
      <c r="B4561" s="42" t="s">
        <v>4721</v>
      </c>
      <c r="C4561" s="42" t="s">
        <v>10298</v>
      </c>
      <c r="D4561" s="43" t="s">
        <v>228</v>
      </c>
      <c r="E4561" s="43" t="s">
        <v>1430</v>
      </c>
      <c r="F4561" s="42" t="s">
        <v>11469</v>
      </c>
      <c r="G4561" t="s">
        <v>13197</v>
      </c>
    </row>
    <row r="4562" spans="1:7" x14ac:dyDescent="0.3">
      <c r="A4562" s="42" t="s">
        <v>4666</v>
      </c>
      <c r="B4562" s="42" t="s">
        <v>4722</v>
      </c>
      <c r="C4562" s="42" t="s">
        <v>10299</v>
      </c>
      <c r="D4562" s="43" t="s">
        <v>228</v>
      </c>
      <c r="E4562" s="43" t="s">
        <v>1430</v>
      </c>
      <c r="F4562" s="42" t="s">
        <v>11469</v>
      </c>
      <c r="G4562" t="s">
        <v>13197</v>
      </c>
    </row>
    <row r="4563" spans="1:7" x14ac:dyDescent="0.3">
      <c r="A4563" s="42" t="s">
        <v>4666</v>
      </c>
      <c r="B4563" s="42" t="s">
        <v>4723</v>
      </c>
      <c r="C4563" s="42" t="s">
        <v>10300</v>
      </c>
      <c r="D4563" s="43" t="s">
        <v>228</v>
      </c>
      <c r="E4563" s="43" t="s">
        <v>1430</v>
      </c>
      <c r="F4563" s="42" t="s">
        <v>11469</v>
      </c>
      <c r="G4563" t="s">
        <v>13197</v>
      </c>
    </row>
    <row r="4564" spans="1:7" x14ac:dyDescent="0.3">
      <c r="A4564" s="42" t="s">
        <v>4666</v>
      </c>
      <c r="B4564" s="42" t="s">
        <v>4724</v>
      </c>
      <c r="C4564" s="42" t="s">
        <v>10301</v>
      </c>
      <c r="D4564" s="43" t="s">
        <v>228</v>
      </c>
      <c r="E4564" s="43" t="s">
        <v>1430</v>
      </c>
      <c r="F4564" s="42" t="s">
        <v>11469</v>
      </c>
      <c r="G4564" t="s">
        <v>13197</v>
      </c>
    </row>
    <row r="4565" spans="1:7" x14ac:dyDescent="0.3">
      <c r="A4565" s="42" t="s">
        <v>4666</v>
      </c>
      <c r="B4565" s="42" t="s">
        <v>4725</v>
      </c>
      <c r="C4565" s="42" t="s">
        <v>10302</v>
      </c>
      <c r="D4565" s="43" t="s">
        <v>228</v>
      </c>
      <c r="E4565" s="43" t="s">
        <v>1430</v>
      </c>
      <c r="F4565" s="42" t="s">
        <v>11469</v>
      </c>
      <c r="G4565" t="s">
        <v>13197</v>
      </c>
    </row>
    <row r="4566" spans="1:7" x14ac:dyDescent="0.3">
      <c r="A4566" s="42" t="s">
        <v>4666</v>
      </c>
      <c r="B4566" s="42" t="s">
        <v>4726</v>
      </c>
      <c r="C4566" s="42" t="s">
        <v>10303</v>
      </c>
      <c r="D4566" s="43" t="s">
        <v>228</v>
      </c>
      <c r="E4566" s="43" t="s">
        <v>1430</v>
      </c>
      <c r="F4566" s="42" t="s">
        <v>11469</v>
      </c>
      <c r="G4566" t="s">
        <v>13197</v>
      </c>
    </row>
    <row r="4567" spans="1:7" x14ac:dyDescent="0.3">
      <c r="A4567" s="42" t="s">
        <v>4666</v>
      </c>
      <c r="B4567" s="42" t="s">
        <v>2608</v>
      </c>
      <c r="C4567" s="42" t="s">
        <v>10304</v>
      </c>
      <c r="D4567" s="43" t="s">
        <v>228</v>
      </c>
      <c r="E4567" s="43" t="s">
        <v>1430</v>
      </c>
      <c r="F4567" s="42" t="s">
        <v>192</v>
      </c>
      <c r="G4567" t="s">
        <v>13196</v>
      </c>
    </row>
    <row r="4568" spans="1:7" x14ac:dyDescent="0.3">
      <c r="A4568" s="42" t="s">
        <v>4666</v>
      </c>
      <c r="B4568" s="42" t="s">
        <v>4727</v>
      </c>
      <c r="C4568" s="42" t="s">
        <v>10305</v>
      </c>
      <c r="D4568" s="43" t="s">
        <v>228</v>
      </c>
      <c r="E4568" s="43" t="s">
        <v>1430</v>
      </c>
      <c r="F4568" s="42" t="s">
        <v>11469</v>
      </c>
      <c r="G4568" t="s">
        <v>13197</v>
      </c>
    </row>
    <row r="4569" spans="1:7" x14ac:dyDescent="0.3">
      <c r="A4569" s="42" t="s">
        <v>4666</v>
      </c>
      <c r="B4569" s="42" t="s">
        <v>4728</v>
      </c>
      <c r="C4569" s="42" t="s">
        <v>10306</v>
      </c>
      <c r="D4569" s="43" t="s">
        <v>228</v>
      </c>
      <c r="E4569" s="43" t="s">
        <v>1430</v>
      </c>
      <c r="F4569" s="42" t="s">
        <v>11469</v>
      </c>
      <c r="G4569" t="s">
        <v>13197</v>
      </c>
    </row>
    <row r="4570" spans="1:7" x14ac:dyDescent="0.3">
      <c r="A4570" s="42" t="s">
        <v>4666</v>
      </c>
      <c r="B4570" s="42" t="s">
        <v>4729</v>
      </c>
      <c r="C4570" s="42" t="s">
        <v>10307</v>
      </c>
      <c r="D4570" s="43" t="s">
        <v>228</v>
      </c>
      <c r="E4570" s="43" t="s">
        <v>1430</v>
      </c>
      <c r="F4570" s="42" t="s">
        <v>11469</v>
      </c>
      <c r="G4570" t="s">
        <v>13197</v>
      </c>
    </row>
    <row r="4571" spans="1:7" x14ac:dyDescent="0.3">
      <c r="A4571" s="42" t="s">
        <v>4666</v>
      </c>
      <c r="B4571" s="42" t="s">
        <v>1169</v>
      </c>
      <c r="C4571" s="42" t="s">
        <v>10308</v>
      </c>
      <c r="D4571" s="43" t="s">
        <v>228</v>
      </c>
      <c r="E4571" s="43" t="s">
        <v>1430</v>
      </c>
      <c r="F4571" s="42" t="s">
        <v>11469</v>
      </c>
      <c r="G4571" t="s">
        <v>13197</v>
      </c>
    </row>
    <row r="4572" spans="1:7" x14ac:dyDescent="0.3">
      <c r="A4572" s="42" t="s">
        <v>4666</v>
      </c>
      <c r="B4572" s="42" t="s">
        <v>4730</v>
      </c>
      <c r="C4572" s="42" t="s">
        <v>10309</v>
      </c>
      <c r="D4572" s="43" t="s">
        <v>228</v>
      </c>
      <c r="E4572" s="43" t="s">
        <v>1430</v>
      </c>
      <c r="F4572" s="42" t="s">
        <v>11469</v>
      </c>
      <c r="G4572" t="s">
        <v>13197</v>
      </c>
    </row>
    <row r="4573" spans="1:7" x14ac:dyDescent="0.3">
      <c r="A4573" s="42" t="s">
        <v>4666</v>
      </c>
      <c r="B4573" s="42" t="s">
        <v>4731</v>
      </c>
      <c r="C4573" s="42" t="s">
        <v>10310</v>
      </c>
      <c r="D4573" s="43" t="s">
        <v>228</v>
      </c>
      <c r="E4573" s="43" t="s">
        <v>1430</v>
      </c>
      <c r="F4573" s="42" t="s">
        <v>11469</v>
      </c>
      <c r="G4573" t="s">
        <v>13197</v>
      </c>
    </row>
    <row r="4574" spans="1:7" x14ac:dyDescent="0.3">
      <c r="A4574" s="42" t="s">
        <v>4666</v>
      </c>
      <c r="B4574" s="42" t="s">
        <v>4732</v>
      </c>
      <c r="C4574" s="42" t="s">
        <v>10311</v>
      </c>
      <c r="D4574" s="43" t="s">
        <v>228</v>
      </c>
      <c r="E4574" s="43" t="s">
        <v>1430</v>
      </c>
      <c r="F4574" s="42" t="s">
        <v>11469</v>
      </c>
      <c r="G4574" t="s">
        <v>13197</v>
      </c>
    </row>
    <row r="4575" spans="1:7" x14ac:dyDescent="0.3">
      <c r="A4575" s="42" t="s">
        <v>4666</v>
      </c>
      <c r="B4575" s="42" t="s">
        <v>4733</v>
      </c>
      <c r="C4575" s="42" t="s">
        <v>10312</v>
      </c>
      <c r="D4575" s="43" t="s">
        <v>228</v>
      </c>
      <c r="E4575" s="43" t="s">
        <v>1430</v>
      </c>
      <c r="F4575" s="42" t="s">
        <v>11469</v>
      </c>
      <c r="G4575" t="s">
        <v>13197</v>
      </c>
    </row>
    <row r="4576" spans="1:7" x14ac:dyDescent="0.3">
      <c r="A4576" s="42" t="s">
        <v>4666</v>
      </c>
      <c r="B4576" s="42" t="s">
        <v>4734</v>
      </c>
      <c r="C4576" s="42" t="s">
        <v>10313</v>
      </c>
      <c r="D4576" s="43" t="s">
        <v>228</v>
      </c>
      <c r="E4576" s="43" t="s">
        <v>1430</v>
      </c>
      <c r="F4576" s="42" t="s">
        <v>11469</v>
      </c>
      <c r="G4576" t="s">
        <v>13197</v>
      </c>
    </row>
    <row r="4577" spans="1:7" x14ac:dyDescent="0.3">
      <c r="A4577" s="42" t="s">
        <v>4666</v>
      </c>
      <c r="B4577" s="42" t="s">
        <v>4735</v>
      </c>
      <c r="C4577" s="42" t="s">
        <v>10314</v>
      </c>
      <c r="D4577" s="43" t="s">
        <v>228</v>
      </c>
      <c r="E4577" s="43" t="s">
        <v>1430</v>
      </c>
      <c r="F4577" s="42" t="s">
        <v>11469</v>
      </c>
      <c r="G4577" t="s">
        <v>13197</v>
      </c>
    </row>
    <row r="4578" spans="1:7" x14ac:dyDescent="0.3">
      <c r="A4578" s="42" t="s">
        <v>4666</v>
      </c>
      <c r="B4578" s="42" t="s">
        <v>4736</v>
      </c>
      <c r="C4578" s="42" t="s">
        <v>10315</v>
      </c>
      <c r="D4578" s="43" t="s">
        <v>228</v>
      </c>
      <c r="E4578" s="43" t="s">
        <v>1430</v>
      </c>
      <c r="F4578" s="42" t="s">
        <v>11469</v>
      </c>
      <c r="G4578" t="s">
        <v>13197</v>
      </c>
    </row>
    <row r="4579" spans="1:7" x14ac:dyDescent="0.3">
      <c r="A4579" s="42" t="s">
        <v>4666</v>
      </c>
      <c r="B4579" s="42" t="s">
        <v>4737</v>
      </c>
      <c r="C4579" s="42" t="s">
        <v>10316</v>
      </c>
      <c r="D4579" s="43" t="s">
        <v>228</v>
      </c>
      <c r="E4579" s="43" t="s">
        <v>1430</v>
      </c>
      <c r="F4579" s="42" t="s">
        <v>11469</v>
      </c>
      <c r="G4579" t="s">
        <v>13197</v>
      </c>
    </row>
    <row r="4580" spans="1:7" x14ac:dyDescent="0.3">
      <c r="A4580" s="42" t="s">
        <v>4666</v>
      </c>
      <c r="B4580" s="42" t="s">
        <v>1801</v>
      </c>
      <c r="C4580" s="42" t="s">
        <v>10317</v>
      </c>
      <c r="D4580" s="43" t="s">
        <v>228</v>
      </c>
      <c r="E4580" s="43" t="s">
        <v>1430</v>
      </c>
      <c r="F4580" s="42" t="s">
        <v>11469</v>
      </c>
      <c r="G4580" t="s">
        <v>13197</v>
      </c>
    </row>
    <row r="4581" spans="1:7" x14ac:dyDescent="0.3">
      <c r="A4581" s="42" t="s">
        <v>4666</v>
      </c>
      <c r="B4581" s="42" t="s">
        <v>4738</v>
      </c>
      <c r="C4581" s="42" t="s">
        <v>10318</v>
      </c>
      <c r="D4581" s="43" t="s">
        <v>228</v>
      </c>
      <c r="E4581" s="43" t="s">
        <v>1430</v>
      </c>
      <c r="F4581" s="42" t="s">
        <v>11469</v>
      </c>
      <c r="G4581" t="s">
        <v>13197</v>
      </c>
    </row>
    <row r="4582" spans="1:7" x14ac:dyDescent="0.3">
      <c r="A4582" s="42" t="s">
        <v>4666</v>
      </c>
      <c r="B4582" s="42" t="s">
        <v>4739</v>
      </c>
      <c r="C4582" s="42" t="s">
        <v>10319</v>
      </c>
      <c r="D4582" s="43" t="s">
        <v>228</v>
      </c>
      <c r="E4582" s="43" t="s">
        <v>1430</v>
      </c>
      <c r="F4582" s="42" t="s">
        <v>11469</v>
      </c>
      <c r="G4582" t="s">
        <v>13197</v>
      </c>
    </row>
    <row r="4583" spans="1:7" x14ac:dyDescent="0.3">
      <c r="A4583" s="42" t="s">
        <v>4666</v>
      </c>
      <c r="B4583" s="42" t="s">
        <v>4740</v>
      </c>
      <c r="C4583" s="42" t="s">
        <v>10320</v>
      </c>
      <c r="D4583" s="43" t="s">
        <v>228</v>
      </c>
      <c r="E4583" s="43" t="s">
        <v>1430</v>
      </c>
      <c r="F4583" s="42" t="s">
        <v>11469</v>
      </c>
      <c r="G4583" t="s">
        <v>13197</v>
      </c>
    </row>
    <row r="4584" spans="1:7" x14ac:dyDescent="0.3">
      <c r="A4584" s="42" t="s">
        <v>4666</v>
      </c>
      <c r="B4584" s="42" t="s">
        <v>4741</v>
      </c>
      <c r="C4584" s="42" t="s">
        <v>10321</v>
      </c>
      <c r="D4584" s="43" t="s">
        <v>228</v>
      </c>
      <c r="E4584" s="43" t="s">
        <v>1430</v>
      </c>
      <c r="F4584" s="42" t="s">
        <v>192</v>
      </c>
      <c r="G4584" t="s">
        <v>13196</v>
      </c>
    </row>
    <row r="4585" spans="1:7" x14ac:dyDescent="0.3">
      <c r="A4585" s="42" t="s">
        <v>4666</v>
      </c>
      <c r="B4585" s="42" t="s">
        <v>4742</v>
      </c>
      <c r="C4585" s="42" t="s">
        <v>10322</v>
      </c>
      <c r="D4585" s="43" t="s">
        <v>228</v>
      </c>
      <c r="E4585" s="43" t="s">
        <v>1430</v>
      </c>
      <c r="F4585" s="42" t="s">
        <v>11469</v>
      </c>
      <c r="G4585" t="s">
        <v>13197</v>
      </c>
    </row>
    <row r="4586" spans="1:7" x14ac:dyDescent="0.3">
      <c r="A4586" s="42" t="s">
        <v>4666</v>
      </c>
      <c r="B4586" s="42" t="s">
        <v>4743</v>
      </c>
      <c r="C4586" s="42" t="s">
        <v>10323</v>
      </c>
      <c r="D4586" s="43" t="s">
        <v>228</v>
      </c>
      <c r="E4586" s="43" t="s">
        <v>1430</v>
      </c>
      <c r="F4586" s="42" t="s">
        <v>11469</v>
      </c>
      <c r="G4586" t="s">
        <v>13197</v>
      </c>
    </row>
    <row r="4587" spans="1:7" x14ac:dyDescent="0.3">
      <c r="A4587" s="42" t="s">
        <v>4666</v>
      </c>
      <c r="B4587" s="42" t="s">
        <v>4744</v>
      </c>
      <c r="C4587" s="42" t="s">
        <v>10324</v>
      </c>
      <c r="D4587" s="43" t="s">
        <v>228</v>
      </c>
      <c r="E4587" s="43" t="s">
        <v>1430</v>
      </c>
      <c r="F4587" s="42" t="s">
        <v>11469</v>
      </c>
      <c r="G4587" t="s">
        <v>13197</v>
      </c>
    </row>
    <row r="4588" spans="1:7" x14ac:dyDescent="0.3">
      <c r="A4588" s="42" t="s">
        <v>4666</v>
      </c>
      <c r="B4588" s="42" t="s">
        <v>4745</v>
      </c>
      <c r="C4588" s="42" t="s">
        <v>10325</v>
      </c>
      <c r="D4588" s="43" t="s">
        <v>228</v>
      </c>
      <c r="E4588" s="43" t="s">
        <v>1430</v>
      </c>
      <c r="F4588" s="42" t="s">
        <v>11469</v>
      </c>
      <c r="G4588" t="s">
        <v>13197</v>
      </c>
    </row>
    <row r="4589" spans="1:7" x14ac:dyDescent="0.3">
      <c r="A4589" s="42" t="s">
        <v>4666</v>
      </c>
      <c r="B4589" s="42" t="s">
        <v>4746</v>
      </c>
      <c r="C4589" s="42" t="s">
        <v>10326</v>
      </c>
      <c r="D4589" s="43" t="s">
        <v>228</v>
      </c>
      <c r="E4589" s="43" t="s">
        <v>1430</v>
      </c>
      <c r="F4589" s="42" t="s">
        <v>11469</v>
      </c>
      <c r="G4589" t="s">
        <v>13197</v>
      </c>
    </row>
    <row r="4590" spans="1:7" x14ac:dyDescent="0.3">
      <c r="A4590" s="42" t="s">
        <v>4666</v>
      </c>
      <c r="B4590" s="42" t="s">
        <v>4747</v>
      </c>
      <c r="C4590" s="42" t="s">
        <v>10327</v>
      </c>
      <c r="D4590" s="43" t="s">
        <v>228</v>
      </c>
      <c r="E4590" s="43" t="s">
        <v>1430</v>
      </c>
      <c r="F4590" s="42" t="s">
        <v>11469</v>
      </c>
      <c r="G4590" t="s">
        <v>13197</v>
      </c>
    </row>
    <row r="4591" spans="1:7" x14ac:dyDescent="0.3">
      <c r="A4591" s="42" t="s">
        <v>4666</v>
      </c>
      <c r="B4591" s="42" t="s">
        <v>4748</v>
      </c>
      <c r="C4591" s="42" t="s">
        <v>10328</v>
      </c>
      <c r="D4591" s="43" t="s">
        <v>228</v>
      </c>
      <c r="E4591" s="43" t="s">
        <v>1430</v>
      </c>
      <c r="F4591" s="42" t="s">
        <v>11469</v>
      </c>
      <c r="G4591" t="s">
        <v>13197</v>
      </c>
    </row>
    <row r="4592" spans="1:7" x14ac:dyDescent="0.3">
      <c r="A4592" s="42" t="s">
        <v>4666</v>
      </c>
      <c r="B4592" s="42" t="s">
        <v>4749</v>
      </c>
      <c r="C4592" s="42" t="s">
        <v>10329</v>
      </c>
      <c r="D4592" s="43" t="s">
        <v>228</v>
      </c>
      <c r="E4592" s="43" t="s">
        <v>1430</v>
      </c>
      <c r="F4592" s="42" t="s">
        <v>137</v>
      </c>
      <c r="G4592" t="s">
        <v>13197</v>
      </c>
    </row>
    <row r="4593" spans="1:7" x14ac:dyDescent="0.3">
      <c r="A4593" s="42" t="s">
        <v>4666</v>
      </c>
      <c r="B4593" s="42" t="s">
        <v>4750</v>
      </c>
      <c r="C4593" s="42" t="s">
        <v>10330</v>
      </c>
      <c r="D4593" s="43" t="s">
        <v>228</v>
      </c>
      <c r="E4593" s="43" t="s">
        <v>1430</v>
      </c>
      <c r="F4593" s="42" t="s">
        <v>11469</v>
      </c>
      <c r="G4593" t="s">
        <v>13198</v>
      </c>
    </row>
    <row r="4594" spans="1:7" x14ac:dyDescent="0.3">
      <c r="A4594" s="42" t="s">
        <v>4666</v>
      </c>
      <c r="B4594" s="42" t="s">
        <v>4751</v>
      </c>
      <c r="C4594" s="42" t="s">
        <v>10331</v>
      </c>
      <c r="D4594" s="43" t="s">
        <v>228</v>
      </c>
      <c r="E4594" s="43" t="s">
        <v>1430</v>
      </c>
      <c r="F4594" s="42" t="s">
        <v>11469</v>
      </c>
      <c r="G4594" t="s">
        <v>13197</v>
      </c>
    </row>
    <row r="4595" spans="1:7" x14ac:dyDescent="0.3">
      <c r="A4595" s="42" t="s">
        <v>4666</v>
      </c>
      <c r="B4595" s="42" t="s">
        <v>4752</v>
      </c>
      <c r="C4595" s="42" t="s">
        <v>10332</v>
      </c>
      <c r="D4595" s="43" t="s">
        <v>228</v>
      </c>
      <c r="E4595" s="43" t="s">
        <v>1430</v>
      </c>
      <c r="F4595" s="42" t="s">
        <v>11469</v>
      </c>
      <c r="G4595" t="s">
        <v>13198</v>
      </c>
    </row>
    <row r="4596" spans="1:7" x14ac:dyDescent="0.3">
      <c r="A4596" s="42" t="s">
        <v>4666</v>
      </c>
      <c r="B4596" s="42" t="s">
        <v>4753</v>
      </c>
      <c r="C4596" s="42" t="s">
        <v>10333</v>
      </c>
      <c r="D4596" s="43" t="s">
        <v>228</v>
      </c>
      <c r="E4596" s="43" t="s">
        <v>1430</v>
      </c>
      <c r="F4596" s="42" t="s">
        <v>11469</v>
      </c>
      <c r="G4596" t="s">
        <v>13197</v>
      </c>
    </row>
    <row r="4597" spans="1:7" x14ac:dyDescent="0.3">
      <c r="A4597" s="42" t="s">
        <v>4666</v>
      </c>
      <c r="B4597" s="42" t="s">
        <v>4754</v>
      </c>
      <c r="C4597" s="42" t="s">
        <v>10334</v>
      </c>
      <c r="D4597" s="43" t="s">
        <v>228</v>
      </c>
      <c r="E4597" s="43" t="s">
        <v>1430</v>
      </c>
      <c r="F4597" s="42" t="s">
        <v>192</v>
      </c>
      <c r="G4597" t="s">
        <v>13196</v>
      </c>
    </row>
    <row r="4598" spans="1:7" x14ac:dyDescent="0.3">
      <c r="A4598" s="42" t="s">
        <v>4666</v>
      </c>
      <c r="B4598" s="42" t="s">
        <v>1805</v>
      </c>
      <c r="C4598" s="42" t="s">
        <v>10335</v>
      </c>
      <c r="D4598" s="43" t="s">
        <v>228</v>
      </c>
      <c r="E4598" s="43" t="s">
        <v>1430</v>
      </c>
      <c r="F4598" s="42" t="s">
        <v>11469</v>
      </c>
      <c r="G4598" t="s">
        <v>13197</v>
      </c>
    </row>
    <row r="4599" spans="1:7" x14ac:dyDescent="0.3">
      <c r="A4599" s="42" t="s">
        <v>4666</v>
      </c>
      <c r="B4599" s="42" t="s">
        <v>1204</v>
      </c>
      <c r="C4599" s="42" t="s">
        <v>10336</v>
      </c>
      <c r="D4599" s="43" t="s">
        <v>228</v>
      </c>
      <c r="E4599" s="43" t="s">
        <v>1430</v>
      </c>
      <c r="F4599" s="42" t="s">
        <v>192</v>
      </c>
      <c r="G4599" t="s">
        <v>13196</v>
      </c>
    </row>
    <row r="4600" spans="1:7" x14ac:dyDescent="0.3">
      <c r="A4600" s="42" t="s">
        <v>4666</v>
      </c>
      <c r="B4600" s="42" t="s">
        <v>4755</v>
      </c>
      <c r="C4600" s="42" t="s">
        <v>10337</v>
      </c>
      <c r="D4600" s="43" t="s">
        <v>228</v>
      </c>
      <c r="E4600" s="43" t="s">
        <v>1430</v>
      </c>
      <c r="F4600" s="42" t="s">
        <v>192</v>
      </c>
      <c r="G4600" t="s">
        <v>13196</v>
      </c>
    </row>
    <row r="4601" spans="1:7" x14ac:dyDescent="0.3">
      <c r="A4601" s="42" t="s">
        <v>4666</v>
      </c>
      <c r="B4601" s="42" t="s">
        <v>4756</v>
      </c>
      <c r="C4601" s="42" t="s">
        <v>10338</v>
      </c>
      <c r="D4601" s="43" t="s">
        <v>228</v>
      </c>
      <c r="E4601" s="43" t="s">
        <v>1430</v>
      </c>
      <c r="F4601" s="42" t="s">
        <v>11469</v>
      </c>
      <c r="G4601" t="s">
        <v>13197</v>
      </c>
    </row>
    <row r="4602" spans="1:7" x14ac:dyDescent="0.3">
      <c r="A4602" s="42" t="s">
        <v>4666</v>
      </c>
      <c r="B4602" s="42" t="s">
        <v>4757</v>
      </c>
      <c r="C4602" s="42" t="s">
        <v>10339</v>
      </c>
      <c r="D4602" s="43" t="s">
        <v>228</v>
      </c>
      <c r="E4602" s="43" t="s">
        <v>1430</v>
      </c>
      <c r="F4602" s="42" t="s">
        <v>11469</v>
      </c>
      <c r="G4602" t="s">
        <v>13197</v>
      </c>
    </row>
    <row r="4603" spans="1:7" x14ac:dyDescent="0.3">
      <c r="A4603" s="42" t="s">
        <v>4666</v>
      </c>
      <c r="B4603" s="42" t="s">
        <v>4758</v>
      </c>
      <c r="C4603" s="42" t="s">
        <v>10340</v>
      </c>
      <c r="D4603" s="43" t="s">
        <v>228</v>
      </c>
      <c r="E4603" s="43" t="s">
        <v>1430</v>
      </c>
      <c r="F4603" s="42" t="s">
        <v>11469</v>
      </c>
      <c r="G4603" t="s">
        <v>13197</v>
      </c>
    </row>
    <row r="4604" spans="1:7" x14ac:dyDescent="0.3">
      <c r="A4604" s="42" t="s">
        <v>4666</v>
      </c>
      <c r="B4604" s="42" t="s">
        <v>4759</v>
      </c>
      <c r="C4604" s="42" t="s">
        <v>10341</v>
      </c>
      <c r="D4604" s="43" t="s">
        <v>228</v>
      </c>
      <c r="E4604" s="43" t="s">
        <v>1430</v>
      </c>
      <c r="F4604" s="42" t="s">
        <v>11469</v>
      </c>
      <c r="G4604" t="s">
        <v>13197</v>
      </c>
    </row>
    <row r="4605" spans="1:7" x14ac:dyDescent="0.3">
      <c r="A4605" s="42" t="s">
        <v>4666</v>
      </c>
      <c r="B4605" s="42" t="s">
        <v>4760</v>
      </c>
      <c r="C4605" s="42" t="s">
        <v>10342</v>
      </c>
      <c r="D4605" s="43" t="s">
        <v>228</v>
      </c>
      <c r="E4605" s="43" t="s">
        <v>1430</v>
      </c>
      <c r="F4605" s="42" t="s">
        <v>11469</v>
      </c>
      <c r="G4605" t="s">
        <v>13197</v>
      </c>
    </row>
    <row r="4606" spans="1:7" x14ac:dyDescent="0.3">
      <c r="A4606" s="42" t="s">
        <v>4666</v>
      </c>
      <c r="B4606" s="42" t="s">
        <v>4761</v>
      </c>
      <c r="C4606" s="42" t="s">
        <v>10343</v>
      </c>
      <c r="D4606" s="43" t="s">
        <v>228</v>
      </c>
      <c r="E4606" s="43" t="s">
        <v>1430</v>
      </c>
      <c r="F4606" s="42" t="s">
        <v>11469</v>
      </c>
      <c r="G4606" t="s">
        <v>13197</v>
      </c>
    </row>
    <row r="4607" spans="1:7" x14ac:dyDescent="0.3">
      <c r="A4607" s="42" t="s">
        <v>4666</v>
      </c>
      <c r="B4607" s="42" t="s">
        <v>4762</v>
      </c>
      <c r="C4607" s="42" t="s">
        <v>10344</v>
      </c>
      <c r="D4607" s="43" t="s">
        <v>228</v>
      </c>
      <c r="E4607" s="43" t="s">
        <v>1430</v>
      </c>
      <c r="F4607" s="42" t="s">
        <v>11469</v>
      </c>
      <c r="G4607" t="s">
        <v>13197</v>
      </c>
    </row>
    <row r="4608" spans="1:7" x14ac:dyDescent="0.3">
      <c r="A4608" s="42" t="s">
        <v>4666</v>
      </c>
      <c r="B4608" s="42" t="s">
        <v>4763</v>
      </c>
      <c r="C4608" s="42" t="s">
        <v>10345</v>
      </c>
      <c r="D4608" s="43" t="s">
        <v>228</v>
      </c>
      <c r="E4608" s="43" t="s">
        <v>1430</v>
      </c>
      <c r="F4608" s="42" t="s">
        <v>137</v>
      </c>
      <c r="G4608" t="s">
        <v>13201</v>
      </c>
    </row>
    <row r="4609" spans="1:7" x14ac:dyDescent="0.3">
      <c r="A4609" s="42" t="s">
        <v>4666</v>
      </c>
      <c r="B4609" s="42" t="s">
        <v>4764</v>
      </c>
      <c r="C4609" s="42" t="s">
        <v>10346</v>
      </c>
      <c r="D4609" s="43" t="s">
        <v>228</v>
      </c>
      <c r="E4609" s="43" t="s">
        <v>1430</v>
      </c>
      <c r="F4609" s="42" t="s">
        <v>192</v>
      </c>
      <c r="G4609" t="s">
        <v>13196</v>
      </c>
    </row>
    <row r="4610" spans="1:7" x14ac:dyDescent="0.3">
      <c r="A4610" s="42" t="s">
        <v>4666</v>
      </c>
      <c r="B4610" s="42" t="s">
        <v>4765</v>
      </c>
      <c r="C4610" s="42" t="s">
        <v>10347</v>
      </c>
      <c r="D4610" s="43" t="s">
        <v>228</v>
      </c>
      <c r="E4610" s="43" t="s">
        <v>1430</v>
      </c>
      <c r="F4610" s="42" t="s">
        <v>11469</v>
      </c>
      <c r="G4610" t="s">
        <v>13197</v>
      </c>
    </row>
    <row r="4611" spans="1:7" x14ac:dyDescent="0.3">
      <c r="A4611" s="42" t="s">
        <v>4666</v>
      </c>
      <c r="B4611" s="42" t="s">
        <v>4766</v>
      </c>
      <c r="C4611" s="42" t="s">
        <v>10348</v>
      </c>
      <c r="D4611" s="43" t="s">
        <v>228</v>
      </c>
      <c r="E4611" s="43" t="s">
        <v>1430</v>
      </c>
      <c r="F4611" s="42" t="s">
        <v>11469</v>
      </c>
      <c r="G4611" t="s">
        <v>13197</v>
      </c>
    </row>
    <row r="4612" spans="1:7" x14ac:dyDescent="0.3">
      <c r="A4612" s="42" t="s">
        <v>4666</v>
      </c>
      <c r="B4612" s="42" t="s">
        <v>4767</v>
      </c>
      <c r="C4612" s="42" t="s">
        <v>10349</v>
      </c>
      <c r="D4612" s="43" t="s">
        <v>228</v>
      </c>
      <c r="E4612" s="43" t="s">
        <v>1430</v>
      </c>
      <c r="F4612" s="42" t="s">
        <v>11469</v>
      </c>
      <c r="G4612" t="s">
        <v>13197</v>
      </c>
    </row>
    <row r="4613" spans="1:7" x14ac:dyDescent="0.3">
      <c r="A4613" s="42" t="s">
        <v>4666</v>
      </c>
      <c r="B4613" s="42" t="s">
        <v>2118</v>
      </c>
      <c r="C4613" s="42" t="s">
        <v>10350</v>
      </c>
      <c r="D4613" s="43" t="s">
        <v>228</v>
      </c>
      <c r="E4613" s="43" t="s">
        <v>1430</v>
      </c>
      <c r="F4613" s="42" t="s">
        <v>11469</v>
      </c>
      <c r="G4613" t="s">
        <v>13197</v>
      </c>
    </row>
    <row r="4614" spans="1:7" x14ac:dyDescent="0.3">
      <c r="A4614" s="42" t="s">
        <v>4666</v>
      </c>
      <c r="B4614" s="42" t="s">
        <v>4768</v>
      </c>
      <c r="C4614" s="42" t="s">
        <v>10351</v>
      </c>
      <c r="D4614" s="43" t="s">
        <v>228</v>
      </c>
      <c r="E4614" s="43" t="s">
        <v>1430</v>
      </c>
      <c r="F4614" s="42" t="s">
        <v>192</v>
      </c>
      <c r="G4614" t="s">
        <v>13196</v>
      </c>
    </row>
    <row r="4615" spans="1:7" x14ac:dyDescent="0.3">
      <c r="A4615" s="42" t="s">
        <v>4666</v>
      </c>
      <c r="B4615" s="42" t="s">
        <v>4769</v>
      </c>
      <c r="C4615" s="42" t="s">
        <v>10352</v>
      </c>
      <c r="D4615" s="43" t="s">
        <v>228</v>
      </c>
      <c r="E4615" s="43" t="s">
        <v>1430</v>
      </c>
      <c r="F4615" s="42" t="s">
        <v>11469</v>
      </c>
      <c r="G4615" t="s">
        <v>13198</v>
      </c>
    </row>
    <row r="4616" spans="1:7" x14ac:dyDescent="0.3">
      <c r="A4616" s="42" t="s">
        <v>4666</v>
      </c>
      <c r="B4616" s="42" t="s">
        <v>4770</v>
      </c>
      <c r="C4616" s="42" t="s">
        <v>10353</v>
      </c>
      <c r="D4616" s="43" t="s">
        <v>228</v>
      </c>
      <c r="E4616" s="43" t="s">
        <v>1430</v>
      </c>
      <c r="F4616" s="42" t="s">
        <v>11469</v>
      </c>
      <c r="G4616" t="s">
        <v>13197</v>
      </c>
    </row>
    <row r="4617" spans="1:7" x14ac:dyDescent="0.3">
      <c r="A4617" s="42" t="s">
        <v>4666</v>
      </c>
      <c r="B4617" s="42" t="s">
        <v>4771</v>
      </c>
      <c r="C4617" s="42" t="s">
        <v>10354</v>
      </c>
      <c r="D4617" s="43" t="s">
        <v>228</v>
      </c>
      <c r="E4617" s="43" t="s">
        <v>1430</v>
      </c>
      <c r="F4617" s="42" t="s">
        <v>11469</v>
      </c>
      <c r="G4617" t="s">
        <v>13197</v>
      </c>
    </row>
    <row r="4618" spans="1:7" x14ac:dyDescent="0.3">
      <c r="A4618" s="42" t="s">
        <v>4666</v>
      </c>
      <c r="B4618" s="42" t="s">
        <v>4772</v>
      </c>
      <c r="C4618" s="42" t="s">
        <v>10355</v>
      </c>
      <c r="D4618" s="43" t="s">
        <v>228</v>
      </c>
      <c r="E4618" s="43" t="s">
        <v>1430</v>
      </c>
      <c r="F4618" s="42" t="s">
        <v>11469</v>
      </c>
      <c r="G4618" t="s">
        <v>13197</v>
      </c>
    </row>
    <row r="4619" spans="1:7" x14ac:dyDescent="0.3">
      <c r="A4619" s="42" t="s">
        <v>4666</v>
      </c>
      <c r="B4619" s="42" t="s">
        <v>1898</v>
      </c>
      <c r="C4619" s="42" t="s">
        <v>10356</v>
      </c>
      <c r="D4619" s="43" t="s">
        <v>228</v>
      </c>
      <c r="E4619" s="43" t="s">
        <v>1430</v>
      </c>
      <c r="F4619" s="42" t="s">
        <v>192</v>
      </c>
      <c r="G4619" t="s">
        <v>13196</v>
      </c>
    </row>
    <row r="4620" spans="1:7" x14ac:dyDescent="0.3">
      <c r="A4620" s="42" t="s">
        <v>4666</v>
      </c>
      <c r="B4620" s="42" t="s">
        <v>4773</v>
      </c>
      <c r="C4620" s="42" t="s">
        <v>10357</v>
      </c>
      <c r="D4620" s="43" t="s">
        <v>228</v>
      </c>
      <c r="E4620" s="43" t="s">
        <v>1430</v>
      </c>
      <c r="F4620" s="42" t="s">
        <v>11469</v>
      </c>
      <c r="G4620" t="s">
        <v>13197</v>
      </c>
    </row>
    <row r="4621" spans="1:7" x14ac:dyDescent="0.3">
      <c r="A4621" s="42" t="s">
        <v>4666</v>
      </c>
      <c r="B4621" s="42" t="s">
        <v>4774</v>
      </c>
      <c r="C4621" s="42" t="s">
        <v>10358</v>
      </c>
      <c r="D4621" s="43" t="s">
        <v>228</v>
      </c>
      <c r="E4621" s="43" t="s">
        <v>1430</v>
      </c>
      <c r="F4621" s="42" t="s">
        <v>11469</v>
      </c>
      <c r="G4621" t="s">
        <v>13197</v>
      </c>
    </row>
    <row r="4622" spans="1:7" x14ac:dyDescent="0.3">
      <c r="A4622" s="42" t="s">
        <v>4666</v>
      </c>
      <c r="B4622" s="42" t="s">
        <v>4775</v>
      </c>
      <c r="C4622" s="42" t="s">
        <v>10359</v>
      </c>
      <c r="D4622" s="43" t="s">
        <v>228</v>
      </c>
      <c r="E4622" s="43" t="s">
        <v>1430</v>
      </c>
      <c r="F4622" s="42" t="s">
        <v>192</v>
      </c>
      <c r="G4622" t="s">
        <v>13196</v>
      </c>
    </row>
    <row r="4623" spans="1:7" x14ac:dyDescent="0.3">
      <c r="A4623" s="42" t="s">
        <v>4666</v>
      </c>
      <c r="B4623" s="42" t="s">
        <v>4776</v>
      </c>
      <c r="C4623" s="42" t="s">
        <v>10360</v>
      </c>
      <c r="D4623" s="43" t="s">
        <v>228</v>
      </c>
      <c r="E4623" s="43" t="s">
        <v>1430</v>
      </c>
      <c r="F4623" s="42" t="s">
        <v>11469</v>
      </c>
      <c r="G4623" t="s">
        <v>13197</v>
      </c>
    </row>
    <row r="4624" spans="1:7" x14ac:dyDescent="0.3">
      <c r="A4624" s="42" t="s">
        <v>4666</v>
      </c>
      <c r="B4624" s="42" t="s">
        <v>4777</v>
      </c>
      <c r="C4624" s="42" t="s">
        <v>10361</v>
      </c>
      <c r="D4624" s="43" t="s">
        <v>228</v>
      </c>
      <c r="E4624" s="43" t="s">
        <v>1430</v>
      </c>
      <c r="F4624" s="42" t="s">
        <v>11469</v>
      </c>
      <c r="G4624" t="s">
        <v>13197</v>
      </c>
    </row>
    <row r="4625" spans="1:7" x14ac:dyDescent="0.3">
      <c r="A4625" s="42" t="s">
        <v>4666</v>
      </c>
      <c r="B4625" s="42" t="s">
        <v>4778</v>
      </c>
      <c r="C4625" s="42" t="s">
        <v>10362</v>
      </c>
      <c r="D4625" s="43" t="s">
        <v>228</v>
      </c>
      <c r="E4625" s="43" t="s">
        <v>1430</v>
      </c>
      <c r="F4625" s="42" t="s">
        <v>11469</v>
      </c>
      <c r="G4625" t="s">
        <v>13197</v>
      </c>
    </row>
    <row r="4626" spans="1:7" x14ac:dyDescent="0.3">
      <c r="A4626" s="42" t="s">
        <v>4666</v>
      </c>
      <c r="B4626" s="42" t="s">
        <v>4779</v>
      </c>
      <c r="C4626" s="42" t="s">
        <v>10363</v>
      </c>
      <c r="D4626" s="43" t="s">
        <v>228</v>
      </c>
      <c r="E4626" s="43" t="s">
        <v>1430</v>
      </c>
      <c r="F4626" s="42" t="s">
        <v>11469</v>
      </c>
      <c r="G4626" t="s">
        <v>13197</v>
      </c>
    </row>
    <row r="4627" spans="1:7" x14ac:dyDescent="0.3">
      <c r="A4627" s="42" t="s">
        <v>4666</v>
      </c>
      <c r="B4627" s="42" t="s">
        <v>4780</v>
      </c>
      <c r="C4627" s="42" t="s">
        <v>10364</v>
      </c>
      <c r="D4627" s="43" t="s">
        <v>228</v>
      </c>
      <c r="E4627" s="43" t="s">
        <v>1430</v>
      </c>
      <c r="F4627" s="42" t="s">
        <v>11469</v>
      </c>
      <c r="G4627" t="s">
        <v>13197</v>
      </c>
    </row>
    <row r="4628" spans="1:7" x14ac:dyDescent="0.3">
      <c r="A4628" s="42" t="s">
        <v>4666</v>
      </c>
      <c r="B4628" s="42" t="s">
        <v>4781</v>
      </c>
      <c r="C4628" s="42" t="s">
        <v>10365</v>
      </c>
      <c r="D4628" s="43" t="s">
        <v>228</v>
      </c>
      <c r="E4628" s="43" t="s">
        <v>1430</v>
      </c>
      <c r="F4628" s="42" t="s">
        <v>11469</v>
      </c>
      <c r="G4628" t="s">
        <v>13197</v>
      </c>
    </row>
    <row r="4629" spans="1:7" x14ac:dyDescent="0.3">
      <c r="A4629" s="42" t="s">
        <v>4666</v>
      </c>
      <c r="B4629" s="42" t="s">
        <v>4782</v>
      </c>
      <c r="C4629" s="42" t="s">
        <v>10366</v>
      </c>
      <c r="D4629" s="43" t="s">
        <v>228</v>
      </c>
      <c r="E4629" s="43" t="s">
        <v>1430</v>
      </c>
      <c r="F4629" s="42" t="s">
        <v>11469</v>
      </c>
      <c r="G4629" t="s">
        <v>13197</v>
      </c>
    </row>
    <row r="4630" spans="1:7" x14ac:dyDescent="0.3">
      <c r="A4630" s="42" t="s">
        <v>4666</v>
      </c>
      <c r="B4630" s="42" t="s">
        <v>4783</v>
      </c>
      <c r="C4630" s="42" t="s">
        <v>10367</v>
      </c>
      <c r="D4630" s="43" t="s">
        <v>228</v>
      </c>
      <c r="E4630" s="43" t="s">
        <v>1430</v>
      </c>
      <c r="F4630" s="42" t="s">
        <v>11469</v>
      </c>
      <c r="G4630" t="s">
        <v>13197</v>
      </c>
    </row>
    <row r="4631" spans="1:7" x14ac:dyDescent="0.3">
      <c r="A4631" s="42" t="s">
        <v>4666</v>
      </c>
      <c r="B4631" s="42" t="s">
        <v>3817</v>
      </c>
      <c r="C4631" s="42" t="s">
        <v>10368</v>
      </c>
      <c r="D4631" s="43" t="s">
        <v>228</v>
      </c>
      <c r="E4631" s="43" t="s">
        <v>1430</v>
      </c>
      <c r="F4631" s="42" t="s">
        <v>11469</v>
      </c>
      <c r="G4631" t="s">
        <v>13197</v>
      </c>
    </row>
    <row r="4632" spans="1:7" x14ac:dyDescent="0.3">
      <c r="A4632" s="42" t="s">
        <v>4666</v>
      </c>
      <c r="B4632" s="42" t="s">
        <v>1237</v>
      </c>
      <c r="C4632" s="42" t="s">
        <v>10369</v>
      </c>
      <c r="D4632" s="43" t="s">
        <v>228</v>
      </c>
      <c r="E4632" s="43" t="s">
        <v>1430</v>
      </c>
      <c r="F4632" s="42" t="s">
        <v>11469</v>
      </c>
      <c r="G4632" t="s">
        <v>13197</v>
      </c>
    </row>
    <row r="4633" spans="1:7" x14ac:dyDescent="0.3">
      <c r="A4633" s="42" t="s">
        <v>4666</v>
      </c>
      <c r="B4633" s="42" t="s">
        <v>4784</v>
      </c>
      <c r="C4633" s="42" t="s">
        <v>10370</v>
      </c>
      <c r="D4633" s="43" t="s">
        <v>228</v>
      </c>
      <c r="E4633" s="43" t="s">
        <v>1430</v>
      </c>
      <c r="F4633" s="42" t="s">
        <v>192</v>
      </c>
      <c r="G4633" t="s">
        <v>13196</v>
      </c>
    </row>
    <row r="4634" spans="1:7" x14ac:dyDescent="0.3">
      <c r="A4634" s="42" t="s">
        <v>4666</v>
      </c>
      <c r="B4634" s="42" t="s">
        <v>4785</v>
      </c>
      <c r="C4634" s="42" t="s">
        <v>10371</v>
      </c>
      <c r="D4634" s="43" t="s">
        <v>228</v>
      </c>
      <c r="E4634" s="43" t="s">
        <v>1430</v>
      </c>
      <c r="F4634" s="42" t="s">
        <v>11469</v>
      </c>
      <c r="G4634" t="s">
        <v>13197</v>
      </c>
    </row>
    <row r="4635" spans="1:7" x14ac:dyDescent="0.3">
      <c r="A4635" s="42" t="s">
        <v>4666</v>
      </c>
      <c r="B4635" s="42" t="s">
        <v>4786</v>
      </c>
      <c r="C4635" s="42" t="s">
        <v>10372</v>
      </c>
      <c r="D4635" s="43" t="s">
        <v>228</v>
      </c>
      <c r="E4635" s="43" t="s">
        <v>1430</v>
      </c>
      <c r="F4635" s="42" t="s">
        <v>11469</v>
      </c>
      <c r="G4635" t="s">
        <v>13197</v>
      </c>
    </row>
    <row r="4636" spans="1:7" x14ac:dyDescent="0.3">
      <c r="A4636" s="42" t="s">
        <v>4666</v>
      </c>
      <c r="B4636" s="42" t="s">
        <v>4787</v>
      </c>
      <c r="C4636" s="42" t="s">
        <v>10373</v>
      </c>
      <c r="D4636" s="43" t="s">
        <v>228</v>
      </c>
      <c r="E4636" s="43" t="s">
        <v>1430</v>
      </c>
      <c r="F4636" s="42" t="s">
        <v>11469</v>
      </c>
      <c r="G4636" t="s">
        <v>13197</v>
      </c>
    </row>
    <row r="4637" spans="1:7" x14ac:dyDescent="0.3">
      <c r="A4637" s="42" t="s">
        <v>4666</v>
      </c>
      <c r="B4637" s="42" t="s">
        <v>4788</v>
      </c>
      <c r="C4637" s="42" t="s">
        <v>10374</v>
      </c>
      <c r="D4637" s="43" t="s">
        <v>228</v>
      </c>
      <c r="E4637" s="43" t="s">
        <v>1430</v>
      </c>
      <c r="F4637" s="42" t="s">
        <v>11469</v>
      </c>
      <c r="G4637" t="s">
        <v>13198</v>
      </c>
    </row>
    <row r="4638" spans="1:7" x14ac:dyDescent="0.3">
      <c r="A4638" s="42" t="s">
        <v>4666</v>
      </c>
      <c r="B4638" s="42" t="s">
        <v>4789</v>
      </c>
      <c r="C4638" s="42" t="s">
        <v>10375</v>
      </c>
      <c r="D4638" s="43" t="s">
        <v>228</v>
      </c>
      <c r="E4638" s="43" t="s">
        <v>1430</v>
      </c>
      <c r="F4638" s="42" t="s">
        <v>11469</v>
      </c>
      <c r="G4638" t="s">
        <v>13197</v>
      </c>
    </row>
    <row r="4639" spans="1:7" x14ac:dyDescent="0.3">
      <c r="A4639" s="42" t="s">
        <v>4666</v>
      </c>
      <c r="B4639" s="42" t="s">
        <v>4790</v>
      </c>
      <c r="C4639" s="42" t="s">
        <v>10376</v>
      </c>
      <c r="D4639" s="43" t="s">
        <v>228</v>
      </c>
      <c r="E4639" s="43" t="s">
        <v>1430</v>
      </c>
      <c r="F4639" s="42" t="s">
        <v>192</v>
      </c>
      <c r="G4639" t="s">
        <v>13196</v>
      </c>
    </row>
    <row r="4640" spans="1:7" x14ac:dyDescent="0.3">
      <c r="A4640" s="42" t="s">
        <v>4666</v>
      </c>
      <c r="B4640" s="42" t="s">
        <v>4791</v>
      </c>
      <c r="C4640" s="42" t="s">
        <v>10377</v>
      </c>
      <c r="D4640" s="43" t="s">
        <v>228</v>
      </c>
      <c r="E4640" s="43" t="s">
        <v>1430</v>
      </c>
      <c r="F4640" s="42" t="s">
        <v>11469</v>
      </c>
      <c r="G4640" t="s">
        <v>13197</v>
      </c>
    </row>
    <row r="4641" spans="1:7" x14ac:dyDescent="0.3">
      <c r="A4641" s="42" t="s">
        <v>4666</v>
      </c>
      <c r="B4641" s="42" t="s">
        <v>4792</v>
      </c>
      <c r="C4641" s="42" t="s">
        <v>10378</v>
      </c>
      <c r="D4641" s="43" t="s">
        <v>228</v>
      </c>
      <c r="E4641" s="43" t="s">
        <v>1430</v>
      </c>
      <c r="F4641" s="42" t="s">
        <v>11469</v>
      </c>
      <c r="G4641" t="s">
        <v>13197</v>
      </c>
    </row>
    <row r="4642" spans="1:7" x14ac:dyDescent="0.3">
      <c r="A4642" s="42" t="s">
        <v>4666</v>
      </c>
      <c r="B4642" s="42" t="s">
        <v>4793</v>
      </c>
      <c r="C4642" s="42" t="s">
        <v>10379</v>
      </c>
      <c r="D4642" s="43" t="s">
        <v>228</v>
      </c>
      <c r="E4642" s="43" t="s">
        <v>1430</v>
      </c>
      <c r="F4642" s="42" t="s">
        <v>11469</v>
      </c>
      <c r="G4642" t="s">
        <v>13197</v>
      </c>
    </row>
    <row r="4643" spans="1:7" x14ac:dyDescent="0.3">
      <c r="A4643" s="42" t="s">
        <v>4666</v>
      </c>
      <c r="B4643" s="42" t="s">
        <v>4794</v>
      </c>
      <c r="C4643" s="42" t="s">
        <v>10380</v>
      </c>
      <c r="D4643" s="43" t="s">
        <v>228</v>
      </c>
      <c r="E4643" s="43" t="s">
        <v>1430</v>
      </c>
      <c r="F4643" s="42" t="s">
        <v>11469</v>
      </c>
      <c r="G4643" t="s">
        <v>13197</v>
      </c>
    </row>
    <row r="4644" spans="1:7" x14ac:dyDescent="0.3">
      <c r="A4644" s="42" t="s">
        <v>4666</v>
      </c>
      <c r="B4644" s="42" t="s">
        <v>4795</v>
      </c>
      <c r="C4644" s="42" t="s">
        <v>10381</v>
      </c>
      <c r="D4644" s="43" t="s">
        <v>228</v>
      </c>
      <c r="E4644" s="43" t="s">
        <v>1430</v>
      </c>
      <c r="F4644" s="42" t="s">
        <v>192</v>
      </c>
      <c r="G4644" t="s">
        <v>13196</v>
      </c>
    </row>
    <row r="4645" spans="1:7" x14ac:dyDescent="0.3">
      <c r="A4645" s="42" t="s">
        <v>4666</v>
      </c>
      <c r="B4645" s="42" t="s">
        <v>3542</v>
      </c>
      <c r="C4645" s="42" t="s">
        <v>10382</v>
      </c>
      <c r="D4645" s="43" t="s">
        <v>228</v>
      </c>
      <c r="E4645" s="43" t="s">
        <v>1430</v>
      </c>
      <c r="F4645" s="42" t="s">
        <v>11469</v>
      </c>
      <c r="G4645" t="s">
        <v>13198</v>
      </c>
    </row>
    <row r="4646" spans="1:7" x14ac:dyDescent="0.3">
      <c r="A4646" s="42" t="s">
        <v>4666</v>
      </c>
      <c r="B4646" s="42" t="s">
        <v>4796</v>
      </c>
      <c r="C4646" s="42" t="s">
        <v>10383</v>
      </c>
      <c r="D4646" s="43" t="s">
        <v>228</v>
      </c>
      <c r="E4646" s="43" t="s">
        <v>1430</v>
      </c>
      <c r="F4646" s="42" t="s">
        <v>11469</v>
      </c>
      <c r="G4646" t="s">
        <v>13197</v>
      </c>
    </row>
    <row r="4647" spans="1:7" x14ac:dyDescent="0.3">
      <c r="A4647" s="42" t="s">
        <v>4666</v>
      </c>
      <c r="B4647" s="42" t="s">
        <v>4797</v>
      </c>
      <c r="C4647" s="42" t="s">
        <v>10384</v>
      </c>
      <c r="D4647" s="43" t="s">
        <v>228</v>
      </c>
      <c r="E4647" s="43" t="s">
        <v>1430</v>
      </c>
      <c r="F4647" s="42" t="s">
        <v>11469</v>
      </c>
      <c r="G4647" t="s">
        <v>13197</v>
      </c>
    </row>
    <row r="4648" spans="1:7" x14ac:dyDescent="0.3">
      <c r="A4648" s="42" t="s">
        <v>4666</v>
      </c>
      <c r="B4648" s="42" t="s">
        <v>4798</v>
      </c>
      <c r="C4648" s="42" t="s">
        <v>10385</v>
      </c>
      <c r="D4648" s="43" t="s">
        <v>228</v>
      </c>
      <c r="E4648" s="43" t="s">
        <v>1430</v>
      </c>
      <c r="F4648" s="42" t="s">
        <v>11469</v>
      </c>
      <c r="G4648" t="s">
        <v>13197</v>
      </c>
    </row>
    <row r="4649" spans="1:7" x14ac:dyDescent="0.3">
      <c r="A4649" s="42" t="s">
        <v>4666</v>
      </c>
      <c r="B4649" s="42" t="s">
        <v>4799</v>
      </c>
      <c r="C4649" s="42" t="s">
        <v>10386</v>
      </c>
      <c r="D4649" s="43" t="s">
        <v>228</v>
      </c>
      <c r="E4649" s="43" t="s">
        <v>1430</v>
      </c>
      <c r="F4649" s="42" t="s">
        <v>11469</v>
      </c>
      <c r="G4649" t="s">
        <v>13197</v>
      </c>
    </row>
    <row r="4650" spans="1:7" x14ac:dyDescent="0.3">
      <c r="A4650" s="42" t="s">
        <v>4666</v>
      </c>
      <c r="B4650" s="42" t="s">
        <v>4800</v>
      </c>
      <c r="C4650" s="42" t="s">
        <v>10387</v>
      </c>
      <c r="D4650" s="43" t="s">
        <v>228</v>
      </c>
      <c r="E4650" s="43" t="s">
        <v>1430</v>
      </c>
      <c r="F4650" s="42" t="s">
        <v>11469</v>
      </c>
      <c r="G4650" t="s">
        <v>13197</v>
      </c>
    </row>
    <row r="4651" spans="1:7" x14ac:dyDescent="0.3">
      <c r="A4651" s="42" t="s">
        <v>4666</v>
      </c>
      <c r="B4651" s="42" t="s">
        <v>4801</v>
      </c>
      <c r="C4651" s="42" t="s">
        <v>10388</v>
      </c>
      <c r="D4651" s="43" t="s">
        <v>228</v>
      </c>
      <c r="E4651" s="43" t="s">
        <v>1430</v>
      </c>
      <c r="F4651" s="42" t="s">
        <v>11469</v>
      </c>
      <c r="G4651" t="s">
        <v>13197</v>
      </c>
    </row>
    <row r="4652" spans="1:7" x14ac:dyDescent="0.3">
      <c r="A4652" s="42" t="s">
        <v>4666</v>
      </c>
      <c r="B4652" s="42" t="s">
        <v>4802</v>
      </c>
      <c r="C4652" s="42" t="s">
        <v>10389</v>
      </c>
      <c r="D4652" s="43" t="s">
        <v>228</v>
      </c>
      <c r="E4652" s="43" t="s">
        <v>1430</v>
      </c>
      <c r="F4652" s="42" t="s">
        <v>11469</v>
      </c>
      <c r="G4652" t="s">
        <v>13197</v>
      </c>
    </row>
    <row r="4653" spans="1:7" x14ac:dyDescent="0.3">
      <c r="A4653" s="42" t="s">
        <v>4666</v>
      </c>
      <c r="B4653" s="42" t="s">
        <v>4803</v>
      </c>
      <c r="C4653" s="42" t="s">
        <v>10390</v>
      </c>
      <c r="D4653" s="43" t="s">
        <v>228</v>
      </c>
      <c r="E4653" s="43" t="s">
        <v>1430</v>
      </c>
      <c r="F4653" s="42" t="s">
        <v>11469</v>
      </c>
      <c r="G4653" t="s">
        <v>13197</v>
      </c>
    </row>
    <row r="4654" spans="1:7" x14ac:dyDescent="0.3">
      <c r="A4654" s="42" t="s">
        <v>4666</v>
      </c>
      <c r="B4654" s="42" t="s">
        <v>4804</v>
      </c>
      <c r="C4654" s="42" t="s">
        <v>10391</v>
      </c>
      <c r="D4654" s="43" t="s">
        <v>228</v>
      </c>
      <c r="E4654" s="43" t="s">
        <v>1430</v>
      </c>
      <c r="F4654" s="42" t="s">
        <v>11469</v>
      </c>
      <c r="G4654" t="s">
        <v>13197</v>
      </c>
    </row>
    <row r="4655" spans="1:7" x14ac:dyDescent="0.3">
      <c r="A4655" s="42" t="s">
        <v>4666</v>
      </c>
      <c r="B4655" s="42" t="s">
        <v>4805</v>
      </c>
      <c r="C4655" s="42" t="s">
        <v>10392</v>
      </c>
      <c r="D4655" s="43" t="s">
        <v>228</v>
      </c>
      <c r="E4655" s="43" t="s">
        <v>1430</v>
      </c>
      <c r="F4655" s="42" t="s">
        <v>11469</v>
      </c>
      <c r="G4655" t="s">
        <v>13198</v>
      </c>
    </row>
    <row r="4656" spans="1:7" x14ac:dyDescent="0.3">
      <c r="A4656" s="42" t="s">
        <v>4666</v>
      </c>
      <c r="B4656" s="42" t="s">
        <v>4806</v>
      </c>
      <c r="C4656" s="42" t="s">
        <v>10393</v>
      </c>
      <c r="D4656" s="43" t="s">
        <v>228</v>
      </c>
      <c r="E4656" s="43" t="s">
        <v>1430</v>
      </c>
      <c r="F4656" s="42" t="s">
        <v>11469</v>
      </c>
      <c r="G4656" t="s">
        <v>13197</v>
      </c>
    </row>
    <row r="4657" spans="1:7" x14ac:dyDescent="0.3">
      <c r="A4657" s="42" t="s">
        <v>4666</v>
      </c>
      <c r="B4657" s="42" t="s">
        <v>4807</v>
      </c>
      <c r="C4657" s="42" t="s">
        <v>10394</v>
      </c>
      <c r="D4657" s="43" t="s">
        <v>228</v>
      </c>
      <c r="E4657" s="43" t="s">
        <v>1430</v>
      </c>
      <c r="F4657" s="42" t="s">
        <v>11469</v>
      </c>
      <c r="G4657" t="s">
        <v>13197</v>
      </c>
    </row>
    <row r="4658" spans="1:7" x14ac:dyDescent="0.3">
      <c r="A4658" s="42" t="s">
        <v>4666</v>
      </c>
      <c r="B4658" s="42" t="s">
        <v>4808</v>
      </c>
      <c r="C4658" s="42" t="s">
        <v>10395</v>
      </c>
      <c r="D4658" s="43" t="s">
        <v>228</v>
      </c>
      <c r="E4658" s="43" t="s">
        <v>1430</v>
      </c>
      <c r="F4658" s="42" t="s">
        <v>11469</v>
      </c>
      <c r="G4658" t="s">
        <v>13197</v>
      </c>
    </row>
    <row r="4659" spans="1:7" x14ac:dyDescent="0.3">
      <c r="A4659" s="42" t="s">
        <v>4666</v>
      </c>
      <c r="B4659" s="42" t="s">
        <v>4809</v>
      </c>
      <c r="C4659" s="42" t="s">
        <v>10396</v>
      </c>
      <c r="D4659" s="43" t="s">
        <v>228</v>
      </c>
      <c r="E4659" s="43" t="s">
        <v>1430</v>
      </c>
      <c r="F4659" s="42" t="s">
        <v>11469</v>
      </c>
      <c r="G4659" t="s">
        <v>13197</v>
      </c>
    </row>
    <row r="4660" spans="1:7" x14ac:dyDescent="0.3">
      <c r="A4660" s="42" t="s">
        <v>4666</v>
      </c>
      <c r="B4660" s="42" t="s">
        <v>4810</v>
      </c>
      <c r="C4660" s="42" t="s">
        <v>10397</v>
      </c>
      <c r="D4660" s="43" t="s">
        <v>228</v>
      </c>
      <c r="E4660" s="43" t="s">
        <v>1430</v>
      </c>
      <c r="F4660" s="42" t="s">
        <v>11469</v>
      </c>
      <c r="G4660" t="s">
        <v>13197</v>
      </c>
    </row>
    <row r="4661" spans="1:7" x14ac:dyDescent="0.3">
      <c r="A4661" s="42" t="s">
        <v>4666</v>
      </c>
      <c r="B4661" s="42" t="s">
        <v>1269</v>
      </c>
      <c r="C4661" s="42" t="s">
        <v>10398</v>
      </c>
      <c r="D4661" s="43" t="s">
        <v>228</v>
      </c>
      <c r="E4661" s="43" t="s">
        <v>1430</v>
      </c>
      <c r="F4661" s="42" t="s">
        <v>11469</v>
      </c>
      <c r="G4661" t="s">
        <v>13197</v>
      </c>
    </row>
    <row r="4662" spans="1:7" x14ac:dyDescent="0.3">
      <c r="A4662" s="42" t="s">
        <v>4666</v>
      </c>
      <c r="B4662" s="42" t="s">
        <v>4811</v>
      </c>
      <c r="C4662" s="42" t="s">
        <v>10399</v>
      </c>
      <c r="D4662" s="43" t="s">
        <v>228</v>
      </c>
      <c r="E4662" s="43" t="s">
        <v>1430</v>
      </c>
      <c r="F4662" s="42" t="s">
        <v>11469</v>
      </c>
      <c r="G4662" t="s">
        <v>13197</v>
      </c>
    </row>
    <row r="4663" spans="1:7" x14ac:dyDescent="0.3">
      <c r="A4663" s="42" t="s">
        <v>4666</v>
      </c>
      <c r="B4663" s="42" t="s">
        <v>4812</v>
      </c>
      <c r="C4663" s="42" t="s">
        <v>10400</v>
      </c>
      <c r="D4663" s="43" t="s">
        <v>228</v>
      </c>
      <c r="E4663" s="43" t="s">
        <v>1430</v>
      </c>
      <c r="F4663" s="42" t="s">
        <v>11469</v>
      </c>
      <c r="G4663" t="s">
        <v>13197</v>
      </c>
    </row>
    <row r="4664" spans="1:7" x14ac:dyDescent="0.3">
      <c r="A4664" s="42" t="s">
        <v>4666</v>
      </c>
      <c r="B4664" s="42" t="s">
        <v>4813</v>
      </c>
      <c r="C4664" s="42" t="s">
        <v>10401</v>
      </c>
      <c r="D4664" s="43" t="s">
        <v>228</v>
      </c>
      <c r="E4664" s="43" t="s">
        <v>1430</v>
      </c>
      <c r="F4664" s="42" t="s">
        <v>11469</v>
      </c>
      <c r="G4664" t="s">
        <v>13197</v>
      </c>
    </row>
    <row r="4665" spans="1:7" x14ac:dyDescent="0.3">
      <c r="A4665" s="42" t="s">
        <v>4666</v>
      </c>
      <c r="B4665" s="42" t="s">
        <v>4814</v>
      </c>
      <c r="C4665" s="42" t="s">
        <v>10402</v>
      </c>
      <c r="D4665" s="43" t="s">
        <v>228</v>
      </c>
      <c r="E4665" s="43" t="s">
        <v>1430</v>
      </c>
      <c r="F4665" s="42" t="s">
        <v>11469</v>
      </c>
      <c r="G4665" t="s">
        <v>13197</v>
      </c>
    </row>
    <row r="4666" spans="1:7" x14ac:dyDescent="0.3">
      <c r="A4666" s="42" t="s">
        <v>4666</v>
      </c>
      <c r="B4666" s="42" t="s">
        <v>4815</v>
      </c>
      <c r="C4666" s="42" t="s">
        <v>10403</v>
      </c>
      <c r="D4666" s="43" t="s">
        <v>228</v>
      </c>
      <c r="E4666" s="43" t="s">
        <v>1430</v>
      </c>
      <c r="F4666" s="42" t="s">
        <v>11469</v>
      </c>
      <c r="G4666" t="s">
        <v>13197</v>
      </c>
    </row>
    <row r="4667" spans="1:7" x14ac:dyDescent="0.3">
      <c r="A4667" s="42" t="s">
        <v>4666</v>
      </c>
      <c r="B4667" s="42" t="s">
        <v>4816</v>
      </c>
      <c r="C4667" s="42" t="s">
        <v>10404</v>
      </c>
      <c r="D4667" s="43" t="s">
        <v>228</v>
      </c>
      <c r="E4667" s="43" t="s">
        <v>1430</v>
      </c>
      <c r="F4667" s="42" t="s">
        <v>11469</v>
      </c>
      <c r="G4667" t="s">
        <v>13198</v>
      </c>
    </row>
    <row r="4668" spans="1:7" x14ac:dyDescent="0.3">
      <c r="A4668" s="42" t="s">
        <v>4666</v>
      </c>
      <c r="B4668" s="42" t="s">
        <v>1277</v>
      </c>
      <c r="C4668" s="42" t="s">
        <v>10405</v>
      </c>
      <c r="D4668" s="43" t="s">
        <v>228</v>
      </c>
      <c r="E4668" s="43" t="s">
        <v>1430</v>
      </c>
      <c r="F4668" s="42" t="s">
        <v>192</v>
      </c>
      <c r="G4668" t="s">
        <v>13196</v>
      </c>
    </row>
    <row r="4669" spans="1:7" x14ac:dyDescent="0.3">
      <c r="A4669" s="42" t="s">
        <v>4666</v>
      </c>
      <c r="B4669" s="42" t="s">
        <v>4817</v>
      </c>
      <c r="C4669" s="42" t="s">
        <v>10406</v>
      </c>
      <c r="D4669" s="43" t="s">
        <v>228</v>
      </c>
      <c r="E4669" s="43" t="s">
        <v>1430</v>
      </c>
      <c r="F4669" s="42" t="s">
        <v>192</v>
      </c>
      <c r="G4669" t="s">
        <v>13196</v>
      </c>
    </row>
    <row r="4670" spans="1:7" x14ac:dyDescent="0.3">
      <c r="A4670" s="42" t="s">
        <v>4666</v>
      </c>
      <c r="B4670" s="42" t="s">
        <v>4818</v>
      </c>
      <c r="C4670" s="42" t="s">
        <v>10407</v>
      </c>
      <c r="D4670" s="43" t="s">
        <v>228</v>
      </c>
      <c r="E4670" s="43" t="s">
        <v>1430</v>
      </c>
      <c r="F4670" s="42" t="s">
        <v>11469</v>
      </c>
      <c r="G4670" t="s">
        <v>13197</v>
      </c>
    </row>
    <row r="4671" spans="1:7" x14ac:dyDescent="0.3">
      <c r="A4671" s="42" t="s">
        <v>4666</v>
      </c>
      <c r="B4671" s="42" t="s">
        <v>4819</v>
      </c>
      <c r="C4671" s="42" t="s">
        <v>10408</v>
      </c>
      <c r="D4671" s="43" t="s">
        <v>228</v>
      </c>
      <c r="E4671" s="43" t="s">
        <v>1430</v>
      </c>
      <c r="F4671" s="42" t="s">
        <v>11469</v>
      </c>
      <c r="G4671" t="s">
        <v>13200</v>
      </c>
    </row>
    <row r="4672" spans="1:7" x14ac:dyDescent="0.3">
      <c r="A4672" s="42" t="s">
        <v>4666</v>
      </c>
      <c r="B4672" s="42" t="s">
        <v>4820</v>
      </c>
      <c r="C4672" s="42" t="s">
        <v>10409</v>
      </c>
      <c r="D4672" s="43" t="s">
        <v>228</v>
      </c>
      <c r="E4672" s="43" t="s">
        <v>1430</v>
      </c>
      <c r="F4672" s="42" t="s">
        <v>11469</v>
      </c>
      <c r="G4672" t="s">
        <v>13197</v>
      </c>
    </row>
    <row r="4673" spans="1:7" x14ac:dyDescent="0.3">
      <c r="A4673" s="42" t="s">
        <v>4666</v>
      </c>
      <c r="B4673" s="42" t="s">
        <v>4821</v>
      </c>
      <c r="C4673" s="42" t="s">
        <v>10410</v>
      </c>
      <c r="D4673" s="43" t="s">
        <v>228</v>
      </c>
      <c r="E4673" s="43" t="s">
        <v>1430</v>
      </c>
      <c r="F4673" s="42" t="s">
        <v>11469</v>
      </c>
      <c r="G4673" t="s">
        <v>13197</v>
      </c>
    </row>
    <row r="4674" spans="1:7" x14ac:dyDescent="0.3">
      <c r="A4674" s="42" t="s">
        <v>4666</v>
      </c>
      <c r="B4674" s="42" t="s">
        <v>4822</v>
      </c>
      <c r="C4674" s="42" t="s">
        <v>10411</v>
      </c>
      <c r="D4674" s="43" t="s">
        <v>228</v>
      </c>
      <c r="E4674" s="43" t="s">
        <v>1430</v>
      </c>
      <c r="F4674" s="42" t="s">
        <v>11469</v>
      </c>
      <c r="G4674" t="s">
        <v>13197</v>
      </c>
    </row>
    <row r="4675" spans="1:7" x14ac:dyDescent="0.3">
      <c r="A4675" s="42" t="s">
        <v>4666</v>
      </c>
      <c r="B4675" s="42" t="s">
        <v>4823</v>
      </c>
      <c r="C4675" s="42" t="s">
        <v>10412</v>
      </c>
      <c r="D4675" s="43" t="s">
        <v>228</v>
      </c>
      <c r="E4675" s="43" t="s">
        <v>1430</v>
      </c>
      <c r="F4675" s="42" t="s">
        <v>11469</v>
      </c>
      <c r="G4675" t="s">
        <v>13197</v>
      </c>
    </row>
    <row r="4676" spans="1:7" x14ac:dyDescent="0.3">
      <c r="A4676" s="42" t="s">
        <v>4666</v>
      </c>
      <c r="B4676" s="42" t="s">
        <v>4824</v>
      </c>
      <c r="C4676" s="42" t="s">
        <v>10413</v>
      </c>
      <c r="D4676" s="43" t="s">
        <v>228</v>
      </c>
      <c r="E4676" s="43" t="s">
        <v>1430</v>
      </c>
      <c r="F4676" s="42" t="s">
        <v>192</v>
      </c>
      <c r="G4676" t="s">
        <v>13196</v>
      </c>
    </row>
    <row r="4677" spans="1:7" x14ac:dyDescent="0.3">
      <c r="A4677" s="42" t="s">
        <v>4666</v>
      </c>
      <c r="B4677" s="42" t="s">
        <v>4825</v>
      </c>
      <c r="C4677" s="42" t="s">
        <v>10414</v>
      </c>
      <c r="D4677" s="43" t="s">
        <v>228</v>
      </c>
      <c r="E4677" s="43" t="s">
        <v>1430</v>
      </c>
      <c r="F4677" s="42" t="s">
        <v>11469</v>
      </c>
      <c r="G4677" t="s">
        <v>13197</v>
      </c>
    </row>
    <row r="4678" spans="1:7" x14ac:dyDescent="0.3">
      <c r="A4678" s="42" t="s">
        <v>4666</v>
      </c>
      <c r="B4678" s="42" t="s">
        <v>4826</v>
      </c>
      <c r="C4678" s="42" t="s">
        <v>10415</v>
      </c>
      <c r="D4678" s="43" t="s">
        <v>228</v>
      </c>
      <c r="E4678" s="43" t="s">
        <v>1430</v>
      </c>
      <c r="F4678" s="42" t="s">
        <v>11469</v>
      </c>
      <c r="G4678" t="s">
        <v>13197</v>
      </c>
    </row>
    <row r="4679" spans="1:7" x14ac:dyDescent="0.3">
      <c r="A4679" s="42" t="s">
        <v>4666</v>
      </c>
      <c r="B4679" s="42" t="s">
        <v>4827</v>
      </c>
      <c r="C4679" s="42" t="s">
        <v>10416</v>
      </c>
      <c r="D4679" s="43" t="s">
        <v>228</v>
      </c>
      <c r="E4679" s="43" t="s">
        <v>1430</v>
      </c>
      <c r="F4679" s="42" t="s">
        <v>11469</v>
      </c>
      <c r="G4679" t="s">
        <v>13197</v>
      </c>
    </row>
    <row r="4680" spans="1:7" x14ac:dyDescent="0.3">
      <c r="A4680" s="42" t="s">
        <v>4666</v>
      </c>
      <c r="B4680" s="42" t="s">
        <v>4828</v>
      </c>
      <c r="C4680" s="42" t="s">
        <v>10417</v>
      </c>
      <c r="D4680" s="43" t="s">
        <v>228</v>
      </c>
      <c r="E4680" s="43" t="s">
        <v>1430</v>
      </c>
      <c r="F4680" s="42" t="s">
        <v>11469</v>
      </c>
      <c r="G4680" t="s">
        <v>13197</v>
      </c>
    </row>
    <row r="4681" spans="1:7" x14ac:dyDescent="0.3">
      <c r="A4681" s="42" t="s">
        <v>4666</v>
      </c>
      <c r="B4681" s="42" t="s">
        <v>4829</v>
      </c>
      <c r="C4681" s="42" t="s">
        <v>10418</v>
      </c>
      <c r="D4681" s="43" t="s">
        <v>228</v>
      </c>
      <c r="E4681" s="43" t="s">
        <v>1430</v>
      </c>
      <c r="F4681" s="42" t="s">
        <v>192</v>
      </c>
      <c r="G4681" t="s">
        <v>13196</v>
      </c>
    </row>
    <row r="4682" spans="1:7" x14ac:dyDescent="0.3">
      <c r="A4682" s="42" t="s">
        <v>4666</v>
      </c>
      <c r="B4682" s="42" t="s">
        <v>4830</v>
      </c>
      <c r="C4682" s="42" t="s">
        <v>10419</v>
      </c>
      <c r="D4682" s="43" t="s">
        <v>228</v>
      </c>
      <c r="E4682" s="43" t="s">
        <v>1430</v>
      </c>
      <c r="F4682" s="42" t="s">
        <v>192</v>
      </c>
      <c r="G4682" t="s">
        <v>13196</v>
      </c>
    </row>
    <row r="4683" spans="1:7" x14ac:dyDescent="0.3">
      <c r="A4683" s="42" t="s">
        <v>4666</v>
      </c>
      <c r="B4683" s="42" t="s">
        <v>4831</v>
      </c>
      <c r="C4683" s="42" t="s">
        <v>10420</v>
      </c>
      <c r="D4683" s="43" t="s">
        <v>228</v>
      </c>
      <c r="E4683" s="43" t="s">
        <v>1430</v>
      </c>
      <c r="F4683" s="42" t="s">
        <v>11469</v>
      </c>
      <c r="G4683" t="s">
        <v>13197</v>
      </c>
    </row>
    <row r="4684" spans="1:7" x14ac:dyDescent="0.3">
      <c r="A4684" s="42" t="s">
        <v>4666</v>
      </c>
      <c r="B4684" s="42" t="s">
        <v>4832</v>
      </c>
      <c r="C4684" s="42" t="s">
        <v>10421</v>
      </c>
      <c r="D4684" s="43" t="s">
        <v>228</v>
      </c>
      <c r="E4684" s="43" t="s">
        <v>1430</v>
      </c>
      <c r="F4684" s="42" t="s">
        <v>11469</v>
      </c>
      <c r="G4684" t="s">
        <v>13197</v>
      </c>
    </row>
    <row r="4685" spans="1:7" x14ac:dyDescent="0.3">
      <c r="A4685" s="42" t="s">
        <v>4666</v>
      </c>
      <c r="B4685" s="42" t="s">
        <v>4833</v>
      </c>
      <c r="C4685" s="42" t="s">
        <v>10422</v>
      </c>
      <c r="D4685" s="43" t="s">
        <v>228</v>
      </c>
      <c r="E4685" s="43" t="s">
        <v>1430</v>
      </c>
      <c r="F4685" s="42" t="s">
        <v>11469</v>
      </c>
      <c r="G4685" t="s">
        <v>13197</v>
      </c>
    </row>
    <row r="4686" spans="1:7" x14ac:dyDescent="0.3">
      <c r="A4686" s="42" t="s">
        <v>4666</v>
      </c>
      <c r="B4686" s="42" t="s">
        <v>4834</v>
      </c>
      <c r="C4686" s="42" t="s">
        <v>10423</v>
      </c>
      <c r="D4686" s="43" t="s">
        <v>228</v>
      </c>
      <c r="E4686" s="43" t="s">
        <v>1430</v>
      </c>
      <c r="F4686" s="42" t="s">
        <v>11469</v>
      </c>
      <c r="G4686" t="s">
        <v>13197</v>
      </c>
    </row>
    <row r="4687" spans="1:7" x14ac:dyDescent="0.3">
      <c r="A4687" s="42" t="s">
        <v>4666</v>
      </c>
      <c r="B4687" s="42" t="s">
        <v>4835</v>
      </c>
      <c r="C4687" s="42" t="s">
        <v>10424</v>
      </c>
      <c r="D4687" s="43" t="s">
        <v>228</v>
      </c>
      <c r="E4687" s="43" t="s">
        <v>1430</v>
      </c>
      <c r="F4687" s="42" t="s">
        <v>11469</v>
      </c>
      <c r="G4687" t="s">
        <v>13197</v>
      </c>
    </row>
    <row r="4688" spans="1:7" x14ac:dyDescent="0.3">
      <c r="A4688" s="42" t="s">
        <v>4666</v>
      </c>
      <c r="B4688" s="42" t="s">
        <v>4836</v>
      </c>
      <c r="C4688" s="42" t="s">
        <v>10425</v>
      </c>
      <c r="D4688" s="43" t="s">
        <v>228</v>
      </c>
      <c r="E4688" s="43" t="s">
        <v>1430</v>
      </c>
      <c r="F4688" s="42" t="s">
        <v>11469</v>
      </c>
      <c r="G4688" t="s">
        <v>13198</v>
      </c>
    </row>
    <row r="4689" spans="1:7" x14ac:dyDescent="0.3">
      <c r="A4689" s="42" t="s">
        <v>4666</v>
      </c>
      <c r="B4689" s="42" t="s">
        <v>4837</v>
      </c>
      <c r="C4689" s="42" t="s">
        <v>10426</v>
      </c>
      <c r="D4689" s="43" t="s">
        <v>228</v>
      </c>
      <c r="E4689" s="43" t="s">
        <v>1430</v>
      </c>
      <c r="F4689" s="42" t="s">
        <v>192</v>
      </c>
      <c r="G4689" t="s">
        <v>13196</v>
      </c>
    </row>
    <row r="4690" spans="1:7" x14ac:dyDescent="0.3">
      <c r="A4690" s="42" t="s">
        <v>4666</v>
      </c>
      <c r="B4690" s="42" t="s">
        <v>4838</v>
      </c>
      <c r="C4690" s="42" t="s">
        <v>10427</v>
      </c>
      <c r="D4690" s="43" t="s">
        <v>228</v>
      </c>
      <c r="E4690" s="43" t="s">
        <v>1430</v>
      </c>
      <c r="F4690" s="42" t="s">
        <v>11469</v>
      </c>
      <c r="G4690" t="s">
        <v>13197</v>
      </c>
    </row>
    <row r="4691" spans="1:7" x14ac:dyDescent="0.3">
      <c r="A4691" s="42" t="s">
        <v>4666</v>
      </c>
      <c r="B4691" s="42" t="s">
        <v>4839</v>
      </c>
      <c r="C4691" s="42" t="s">
        <v>10428</v>
      </c>
      <c r="D4691" s="43" t="s">
        <v>228</v>
      </c>
      <c r="E4691" s="43" t="s">
        <v>1430</v>
      </c>
      <c r="F4691" s="42" t="s">
        <v>11469</v>
      </c>
      <c r="G4691" t="s">
        <v>13197</v>
      </c>
    </row>
    <row r="4692" spans="1:7" x14ac:dyDescent="0.3">
      <c r="A4692" s="42" t="s">
        <v>4666</v>
      </c>
      <c r="B4692" s="42" t="s">
        <v>4840</v>
      </c>
      <c r="C4692" s="42" t="s">
        <v>10429</v>
      </c>
      <c r="D4692" s="43" t="s">
        <v>228</v>
      </c>
      <c r="E4692" s="43" t="s">
        <v>1430</v>
      </c>
      <c r="F4692" s="42" t="s">
        <v>11469</v>
      </c>
      <c r="G4692" t="s">
        <v>13197</v>
      </c>
    </row>
    <row r="4693" spans="1:7" x14ac:dyDescent="0.3">
      <c r="A4693" s="42" t="s">
        <v>4666</v>
      </c>
      <c r="B4693" s="42" t="s">
        <v>4841</v>
      </c>
      <c r="C4693" s="42" t="s">
        <v>10430</v>
      </c>
      <c r="D4693" s="43" t="s">
        <v>228</v>
      </c>
      <c r="E4693" s="43" t="s">
        <v>1430</v>
      </c>
      <c r="F4693" s="42" t="s">
        <v>11469</v>
      </c>
      <c r="G4693" t="s">
        <v>13197</v>
      </c>
    </row>
    <row r="4694" spans="1:7" x14ac:dyDescent="0.3">
      <c r="A4694" s="42" t="s">
        <v>4666</v>
      </c>
      <c r="B4694" s="42" t="s">
        <v>4842</v>
      </c>
      <c r="C4694" s="42" t="s">
        <v>10431</v>
      </c>
      <c r="D4694" s="43" t="s">
        <v>228</v>
      </c>
      <c r="E4694" s="43" t="s">
        <v>1430</v>
      </c>
      <c r="F4694" s="42" t="s">
        <v>11469</v>
      </c>
      <c r="G4694" t="s">
        <v>13197</v>
      </c>
    </row>
    <row r="4695" spans="1:7" x14ac:dyDescent="0.3">
      <c r="A4695" s="42" t="s">
        <v>4666</v>
      </c>
      <c r="B4695" s="42" t="s">
        <v>4843</v>
      </c>
      <c r="C4695" s="42" t="s">
        <v>10432</v>
      </c>
      <c r="D4695" s="43" t="s">
        <v>228</v>
      </c>
      <c r="E4695" s="43" t="s">
        <v>1430</v>
      </c>
      <c r="F4695" s="42" t="s">
        <v>11469</v>
      </c>
      <c r="G4695" t="s">
        <v>13198</v>
      </c>
    </row>
    <row r="4696" spans="1:7" x14ac:dyDescent="0.3">
      <c r="A4696" s="42" t="s">
        <v>4666</v>
      </c>
      <c r="B4696" s="42" t="s">
        <v>4844</v>
      </c>
      <c r="C4696" s="42" t="s">
        <v>10433</v>
      </c>
      <c r="D4696" s="43" t="s">
        <v>228</v>
      </c>
      <c r="E4696" s="43" t="s">
        <v>1430</v>
      </c>
      <c r="F4696" s="42" t="s">
        <v>11469</v>
      </c>
      <c r="G4696" t="s">
        <v>13197</v>
      </c>
    </row>
    <row r="4697" spans="1:7" x14ac:dyDescent="0.3">
      <c r="A4697" s="42" t="s">
        <v>4666</v>
      </c>
      <c r="B4697" s="42" t="s">
        <v>4845</v>
      </c>
      <c r="C4697" s="42" t="s">
        <v>10434</v>
      </c>
      <c r="D4697" s="43" t="s">
        <v>228</v>
      </c>
      <c r="E4697" s="43" t="s">
        <v>1430</v>
      </c>
      <c r="F4697" s="42" t="s">
        <v>11469</v>
      </c>
      <c r="G4697" t="s">
        <v>13197</v>
      </c>
    </row>
    <row r="4698" spans="1:7" x14ac:dyDescent="0.3">
      <c r="A4698" s="42" t="s">
        <v>4666</v>
      </c>
      <c r="B4698" s="42" t="s">
        <v>4846</v>
      </c>
      <c r="C4698" s="42" t="s">
        <v>10435</v>
      </c>
      <c r="D4698" s="43" t="s">
        <v>228</v>
      </c>
      <c r="E4698" s="43" t="s">
        <v>1430</v>
      </c>
      <c r="F4698" s="42" t="s">
        <v>11469</v>
      </c>
      <c r="G4698" t="s">
        <v>13197</v>
      </c>
    </row>
    <row r="4699" spans="1:7" x14ac:dyDescent="0.3">
      <c r="A4699" s="42" t="s">
        <v>4666</v>
      </c>
      <c r="B4699" s="42" t="s">
        <v>4847</v>
      </c>
      <c r="C4699" s="42" t="s">
        <v>10436</v>
      </c>
      <c r="D4699" s="43" t="s">
        <v>228</v>
      </c>
      <c r="E4699" s="43" t="s">
        <v>1430</v>
      </c>
      <c r="F4699" s="42" t="s">
        <v>11469</v>
      </c>
      <c r="G4699" t="s">
        <v>13197</v>
      </c>
    </row>
    <row r="4700" spans="1:7" x14ac:dyDescent="0.3">
      <c r="A4700" s="42" t="s">
        <v>4666</v>
      </c>
      <c r="B4700" s="42" t="s">
        <v>4848</v>
      </c>
      <c r="C4700" s="42" t="s">
        <v>10437</v>
      </c>
      <c r="D4700" s="43" t="s">
        <v>228</v>
      </c>
      <c r="E4700" s="43" t="s">
        <v>1430</v>
      </c>
      <c r="F4700" s="42" t="s">
        <v>192</v>
      </c>
      <c r="G4700" t="s">
        <v>13196</v>
      </c>
    </row>
    <row r="4701" spans="1:7" x14ac:dyDescent="0.3">
      <c r="A4701" s="42" t="s">
        <v>4666</v>
      </c>
      <c r="B4701" s="42" t="s">
        <v>4849</v>
      </c>
      <c r="C4701" s="42" t="s">
        <v>10438</v>
      </c>
      <c r="D4701" s="43" t="s">
        <v>228</v>
      </c>
      <c r="E4701" s="43" t="s">
        <v>1430</v>
      </c>
      <c r="F4701" s="42" t="s">
        <v>11469</v>
      </c>
      <c r="G4701" t="s">
        <v>13197</v>
      </c>
    </row>
    <row r="4702" spans="1:7" x14ac:dyDescent="0.3">
      <c r="A4702" s="42" t="s">
        <v>4666</v>
      </c>
      <c r="B4702" s="42" t="s">
        <v>4850</v>
      </c>
      <c r="C4702" s="42" t="s">
        <v>10439</v>
      </c>
      <c r="D4702" s="43" t="s">
        <v>228</v>
      </c>
      <c r="E4702" s="43" t="s">
        <v>1430</v>
      </c>
      <c r="F4702" s="42" t="s">
        <v>11469</v>
      </c>
      <c r="G4702" t="s">
        <v>13197</v>
      </c>
    </row>
    <row r="4703" spans="1:7" x14ac:dyDescent="0.3">
      <c r="A4703" s="42" t="s">
        <v>4666</v>
      </c>
      <c r="B4703" s="42" t="s">
        <v>4851</v>
      </c>
      <c r="C4703" s="42" t="s">
        <v>10440</v>
      </c>
      <c r="D4703" s="43" t="s">
        <v>228</v>
      </c>
      <c r="E4703" s="43" t="s">
        <v>1430</v>
      </c>
      <c r="F4703" s="42" t="s">
        <v>11469</v>
      </c>
      <c r="G4703" t="s">
        <v>13197</v>
      </c>
    </row>
    <row r="4704" spans="1:7" x14ac:dyDescent="0.3">
      <c r="A4704" s="42" t="s">
        <v>4666</v>
      </c>
      <c r="B4704" s="42" t="s">
        <v>4852</v>
      </c>
      <c r="C4704" s="42" t="s">
        <v>10441</v>
      </c>
      <c r="D4704" s="43" t="s">
        <v>228</v>
      </c>
      <c r="E4704" s="43" t="s">
        <v>1430</v>
      </c>
      <c r="F4704" s="42" t="s">
        <v>11469</v>
      </c>
      <c r="G4704" t="s">
        <v>13197</v>
      </c>
    </row>
    <row r="4705" spans="1:7" x14ac:dyDescent="0.3">
      <c r="A4705" s="42" t="s">
        <v>4666</v>
      </c>
      <c r="B4705" s="42" t="s">
        <v>4853</v>
      </c>
      <c r="C4705" s="42" t="s">
        <v>10442</v>
      </c>
      <c r="D4705" s="43" t="s">
        <v>228</v>
      </c>
      <c r="E4705" s="43" t="s">
        <v>1430</v>
      </c>
      <c r="F4705" s="42" t="s">
        <v>11469</v>
      </c>
      <c r="G4705" t="s">
        <v>13197</v>
      </c>
    </row>
    <row r="4706" spans="1:7" x14ac:dyDescent="0.3">
      <c r="A4706" s="42" t="s">
        <v>4666</v>
      </c>
      <c r="B4706" s="42" t="s">
        <v>4854</v>
      </c>
      <c r="C4706" s="42" t="s">
        <v>10443</v>
      </c>
      <c r="D4706" s="43" t="s">
        <v>228</v>
      </c>
      <c r="E4706" s="43" t="s">
        <v>1430</v>
      </c>
      <c r="F4706" s="42" t="s">
        <v>192</v>
      </c>
      <c r="G4706" t="s">
        <v>13196</v>
      </c>
    </row>
    <row r="4707" spans="1:7" x14ac:dyDescent="0.3">
      <c r="A4707" s="42" t="s">
        <v>4666</v>
      </c>
      <c r="B4707" s="42" t="s">
        <v>4855</v>
      </c>
      <c r="C4707" s="42" t="s">
        <v>10444</v>
      </c>
      <c r="D4707" s="43" t="s">
        <v>228</v>
      </c>
      <c r="E4707" s="43" t="s">
        <v>1430</v>
      </c>
      <c r="F4707" s="42" t="s">
        <v>11469</v>
      </c>
      <c r="G4707" t="s">
        <v>13197</v>
      </c>
    </row>
    <row r="4708" spans="1:7" x14ac:dyDescent="0.3">
      <c r="A4708" s="42" t="s">
        <v>4666</v>
      </c>
      <c r="B4708" s="42" t="s">
        <v>4856</v>
      </c>
      <c r="C4708" s="42" t="s">
        <v>10445</v>
      </c>
      <c r="D4708" s="43" t="s">
        <v>228</v>
      </c>
      <c r="E4708" s="43" t="s">
        <v>1430</v>
      </c>
      <c r="F4708" s="42" t="s">
        <v>11469</v>
      </c>
      <c r="G4708" t="s">
        <v>13197</v>
      </c>
    </row>
    <row r="4709" spans="1:7" x14ac:dyDescent="0.3">
      <c r="A4709" s="42" t="s">
        <v>4666</v>
      </c>
      <c r="B4709" s="42" t="s">
        <v>4857</v>
      </c>
      <c r="C4709" s="42" t="s">
        <v>10446</v>
      </c>
      <c r="D4709" s="43" t="s">
        <v>228</v>
      </c>
      <c r="E4709" s="43" t="s">
        <v>1430</v>
      </c>
      <c r="F4709" s="42" t="s">
        <v>11469</v>
      </c>
      <c r="G4709" t="s">
        <v>13197</v>
      </c>
    </row>
    <row r="4710" spans="1:7" x14ac:dyDescent="0.3">
      <c r="A4710" s="42" t="s">
        <v>4666</v>
      </c>
      <c r="B4710" s="42" t="s">
        <v>4858</v>
      </c>
      <c r="C4710" s="42" t="s">
        <v>10447</v>
      </c>
      <c r="D4710" s="43" t="s">
        <v>228</v>
      </c>
      <c r="E4710" s="43" t="s">
        <v>1430</v>
      </c>
      <c r="F4710" s="42" t="s">
        <v>11469</v>
      </c>
      <c r="G4710" t="s">
        <v>13197</v>
      </c>
    </row>
    <row r="4711" spans="1:7" x14ac:dyDescent="0.3">
      <c r="A4711" s="42" t="s">
        <v>4666</v>
      </c>
      <c r="B4711" s="42" t="s">
        <v>4859</v>
      </c>
      <c r="C4711" s="42" t="s">
        <v>10448</v>
      </c>
      <c r="D4711" s="43" t="s">
        <v>228</v>
      </c>
      <c r="E4711" s="43" t="s">
        <v>1430</v>
      </c>
      <c r="F4711" s="42" t="s">
        <v>11469</v>
      </c>
      <c r="G4711" t="s">
        <v>13198</v>
      </c>
    </row>
    <row r="4712" spans="1:7" x14ac:dyDescent="0.3">
      <c r="A4712" s="42" t="s">
        <v>4666</v>
      </c>
      <c r="B4712" s="42" t="s">
        <v>4860</v>
      </c>
      <c r="C4712" s="42" t="s">
        <v>10449</v>
      </c>
      <c r="D4712" s="43" t="s">
        <v>228</v>
      </c>
      <c r="E4712" s="43" t="s">
        <v>1430</v>
      </c>
      <c r="F4712" s="42" t="s">
        <v>11469</v>
      </c>
      <c r="G4712" t="s">
        <v>13197</v>
      </c>
    </row>
    <row r="4713" spans="1:7" x14ac:dyDescent="0.3">
      <c r="A4713" s="42" t="s">
        <v>4666</v>
      </c>
      <c r="B4713" s="42" t="s">
        <v>4861</v>
      </c>
      <c r="C4713" s="42" t="s">
        <v>10450</v>
      </c>
      <c r="D4713" s="43" t="s">
        <v>228</v>
      </c>
      <c r="E4713" s="43" t="s">
        <v>1430</v>
      </c>
      <c r="F4713" s="42" t="s">
        <v>11469</v>
      </c>
      <c r="G4713" t="s">
        <v>13197</v>
      </c>
    </row>
    <row r="4714" spans="1:7" x14ac:dyDescent="0.3">
      <c r="A4714" s="42" t="s">
        <v>4666</v>
      </c>
      <c r="B4714" s="42" t="s">
        <v>4862</v>
      </c>
      <c r="C4714" s="42" t="s">
        <v>10451</v>
      </c>
      <c r="D4714" s="43" t="s">
        <v>228</v>
      </c>
      <c r="E4714" s="43" t="s">
        <v>1430</v>
      </c>
      <c r="F4714" s="42" t="s">
        <v>11469</v>
      </c>
      <c r="G4714" t="s">
        <v>13197</v>
      </c>
    </row>
    <row r="4715" spans="1:7" x14ac:dyDescent="0.3">
      <c r="A4715" s="42" t="s">
        <v>4666</v>
      </c>
      <c r="B4715" s="42" t="s">
        <v>4863</v>
      </c>
      <c r="C4715" s="42" t="s">
        <v>10452</v>
      </c>
      <c r="D4715" s="43" t="s">
        <v>228</v>
      </c>
      <c r="E4715" s="43" t="s">
        <v>1430</v>
      </c>
      <c r="F4715" s="42" t="s">
        <v>11469</v>
      </c>
      <c r="G4715" t="s">
        <v>13197</v>
      </c>
    </row>
    <row r="4716" spans="1:7" x14ac:dyDescent="0.3">
      <c r="A4716" s="42" t="s">
        <v>4666</v>
      </c>
      <c r="B4716" s="42" t="s">
        <v>4864</v>
      </c>
      <c r="C4716" s="42" t="s">
        <v>10453</v>
      </c>
      <c r="D4716" s="43" t="s">
        <v>228</v>
      </c>
      <c r="E4716" s="43" t="s">
        <v>1430</v>
      </c>
      <c r="F4716" s="42" t="s">
        <v>11469</v>
      </c>
      <c r="G4716" t="s">
        <v>13197</v>
      </c>
    </row>
    <row r="4717" spans="1:7" x14ac:dyDescent="0.3">
      <c r="A4717" s="42" t="s">
        <v>4666</v>
      </c>
      <c r="B4717" s="42" t="s">
        <v>4865</v>
      </c>
      <c r="C4717" s="42" t="s">
        <v>10454</v>
      </c>
      <c r="D4717" s="43" t="s">
        <v>228</v>
      </c>
      <c r="E4717" s="43" t="s">
        <v>1430</v>
      </c>
      <c r="F4717" s="42" t="s">
        <v>11469</v>
      </c>
      <c r="G4717" t="s">
        <v>13197</v>
      </c>
    </row>
    <row r="4718" spans="1:7" x14ac:dyDescent="0.3">
      <c r="A4718" s="42" t="s">
        <v>4666</v>
      </c>
      <c r="B4718" s="42" t="s">
        <v>4866</v>
      </c>
      <c r="C4718" s="42" t="s">
        <v>10455</v>
      </c>
      <c r="D4718" s="43" t="s">
        <v>228</v>
      </c>
      <c r="E4718" s="43" t="s">
        <v>1430</v>
      </c>
      <c r="F4718" s="42" t="s">
        <v>11469</v>
      </c>
      <c r="G4718" t="s">
        <v>13197</v>
      </c>
    </row>
    <row r="4719" spans="1:7" x14ac:dyDescent="0.3">
      <c r="A4719" s="42" t="s">
        <v>4666</v>
      </c>
      <c r="B4719" s="42" t="s">
        <v>4867</v>
      </c>
      <c r="C4719" s="42" t="s">
        <v>10456</v>
      </c>
      <c r="D4719" s="43" t="s">
        <v>228</v>
      </c>
      <c r="E4719" s="43" t="s">
        <v>1430</v>
      </c>
      <c r="F4719" s="42" t="s">
        <v>11469</v>
      </c>
      <c r="G4719" t="s">
        <v>13197</v>
      </c>
    </row>
    <row r="4720" spans="1:7" x14ac:dyDescent="0.3">
      <c r="A4720" s="42" t="s">
        <v>4666</v>
      </c>
      <c r="B4720" s="42" t="s">
        <v>4868</v>
      </c>
      <c r="C4720" s="42" t="s">
        <v>10457</v>
      </c>
      <c r="D4720" s="43" t="s">
        <v>228</v>
      </c>
      <c r="E4720" s="43" t="s">
        <v>1430</v>
      </c>
      <c r="F4720" s="42" t="s">
        <v>11469</v>
      </c>
      <c r="G4720" t="s">
        <v>13197</v>
      </c>
    </row>
    <row r="4721" spans="1:7" x14ac:dyDescent="0.3">
      <c r="A4721" s="42" t="s">
        <v>4666</v>
      </c>
      <c r="B4721" s="42" t="s">
        <v>4869</v>
      </c>
      <c r="C4721" s="42" t="s">
        <v>10458</v>
      </c>
      <c r="D4721" s="43" t="s">
        <v>228</v>
      </c>
      <c r="E4721" s="43" t="s">
        <v>1430</v>
      </c>
      <c r="F4721" s="42" t="s">
        <v>11469</v>
      </c>
      <c r="G4721" t="s">
        <v>13197</v>
      </c>
    </row>
    <row r="4722" spans="1:7" x14ac:dyDescent="0.3">
      <c r="A4722" s="42" t="s">
        <v>4666</v>
      </c>
      <c r="B4722" s="42" t="s">
        <v>4532</v>
      </c>
      <c r="C4722" s="42" t="s">
        <v>10459</v>
      </c>
      <c r="D4722" s="43" t="s">
        <v>228</v>
      </c>
      <c r="E4722" s="43" t="s">
        <v>1430</v>
      </c>
      <c r="F4722" s="42" t="s">
        <v>192</v>
      </c>
      <c r="G4722" t="s">
        <v>13196</v>
      </c>
    </row>
    <row r="4723" spans="1:7" x14ac:dyDescent="0.3">
      <c r="A4723" s="42" t="s">
        <v>4666</v>
      </c>
      <c r="B4723" s="42" t="s">
        <v>4870</v>
      </c>
      <c r="C4723" s="42" t="s">
        <v>10460</v>
      </c>
      <c r="D4723" s="43" t="s">
        <v>228</v>
      </c>
      <c r="E4723" s="43" t="s">
        <v>1430</v>
      </c>
      <c r="F4723" s="42" t="s">
        <v>137</v>
      </c>
      <c r="G4723" t="s">
        <v>13201</v>
      </c>
    </row>
    <row r="4724" spans="1:7" x14ac:dyDescent="0.3">
      <c r="A4724" s="42" t="s">
        <v>4666</v>
      </c>
      <c r="B4724" s="42" t="s">
        <v>4871</v>
      </c>
      <c r="C4724" s="42" t="s">
        <v>10461</v>
      </c>
      <c r="D4724" s="43" t="s">
        <v>228</v>
      </c>
      <c r="E4724" s="43" t="s">
        <v>1430</v>
      </c>
      <c r="F4724" s="42" t="s">
        <v>11469</v>
      </c>
      <c r="G4724" t="s">
        <v>13197</v>
      </c>
    </row>
    <row r="4725" spans="1:7" x14ac:dyDescent="0.3">
      <c r="A4725" s="42" t="s">
        <v>4666</v>
      </c>
      <c r="B4725" s="42" t="s">
        <v>4872</v>
      </c>
      <c r="C4725" s="42" t="s">
        <v>10462</v>
      </c>
      <c r="D4725" s="43" t="s">
        <v>228</v>
      </c>
      <c r="E4725" s="43" t="s">
        <v>1430</v>
      </c>
      <c r="F4725" s="42" t="s">
        <v>192</v>
      </c>
      <c r="G4725" t="s">
        <v>13196</v>
      </c>
    </row>
    <row r="4726" spans="1:7" x14ac:dyDescent="0.3">
      <c r="A4726" s="42" t="s">
        <v>4666</v>
      </c>
      <c r="B4726" s="42" t="s">
        <v>4873</v>
      </c>
      <c r="C4726" s="42" t="s">
        <v>10463</v>
      </c>
      <c r="D4726" s="43" t="s">
        <v>228</v>
      </c>
      <c r="E4726" s="43" t="s">
        <v>1430</v>
      </c>
      <c r="F4726" s="42" t="s">
        <v>11469</v>
      </c>
      <c r="G4726" t="s">
        <v>13197</v>
      </c>
    </row>
    <row r="4727" spans="1:7" x14ac:dyDescent="0.3">
      <c r="A4727" s="42" t="s">
        <v>4666</v>
      </c>
      <c r="B4727" s="42" t="s">
        <v>4874</v>
      </c>
      <c r="C4727" s="42" t="s">
        <v>10464</v>
      </c>
      <c r="D4727" s="43" t="s">
        <v>228</v>
      </c>
      <c r="E4727" s="43" t="s">
        <v>1430</v>
      </c>
      <c r="F4727" s="42" t="s">
        <v>11469</v>
      </c>
      <c r="G4727" t="s">
        <v>13197</v>
      </c>
    </row>
    <row r="4728" spans="1:7" x14ac:dyDescent="0.3">
      <c r="A4728" s="42" t="s">
        <v>4666</v>
      </c>
      <c r="B4728" s="42" t="s">
        <v>3839</v>
      </c>
      <c r="C4728" s="42" t="s">
        <v>10465</v>
      </c>
      <c r="D4728" s="43" t="s">
        <v>228</v>
      </c>
      <c r="E4728" s="43" t="s">
        <v>1430</v>
      </c>
      <c r="F4728" s="42" t="s">
        <v>11469</v>
      </c>
      <c r="G4728" t="s">
        <v>13197</v>
      </c>
    </row>
    <row r="4729" spans="1:7" x14ac:dyDescent="0.3">
      <c r="A4729" s="42" t="s">
        <v>4666</v>
      </c>
      <c r="B4729" s="42" t="s">
        <v>4875</v>
      </c>
      <c r="C4729" s="42" t="s">
        <v>10466</v>
      </c>
      <c r="D4729" s="43" t="s">
        <v>228</v>
      </c>
      <c r="E4729" s="43" t="s">
        <v>1430</v>
      </c>
      <c r="F4729" s="42" t="s">
        <v>11469</v>
      </c>
      <c r="G4729" t="s">
        <v>13197</v>
      </c>
    </row>
    <row r="4730" spans="1:7" x14ac:dyDescent="0.3">
      <c r="A4730" s="42" t="s">
        <v>4666</v>
      </c>
      <c r="B4730" s="42" t="s">
        <v>4876</v>
      </c>
      <c r="C4730" s="42" t="s">
        <v>10467</v>
      </c>
      <c r="D4730" s="43" t="s">
        <v>228</v>
      </c>
      <c r="E4730" s="43" t="s">
        <v>1430</v>
      </c>
      <c r="F4730" s="42" t="s">
        <v>11469</v>
      </c>
      <c r="G4730" t="s">
        <v>13197</v>
      </c>
    </row>
    <row r="4731" spans="1:7" x14ac:dyDescent="0.3">
      <c r="A4731" s="42" t="s">
        <v>4666</v>
      </c>
      <c r="B4731" s="42" t="s">
        <v>4877</v>
      </c>
      <c r="C4731" s="42" t="s">
        <v>10468</v>
      </c>
      <c r="D4731" s="43" t="s">
        <v>228</v>
      </c>
      <c r="E4731" s="43" t="s">
        <v>1430</v>
      </c>
      <c r="F4731" s="42" t="s">
        <v>11469</v>
      </c>
      <c r="G4731" t="s">
        <v>13197</v>
      </c>
    </row>
    <row r="4732" spans="1:7" x14ac:dyDescent="0.3">
      <c r="A4732" s="42" t="s">
        <v>4666</v>
      </c>
      <c r="B4732" s="42" t="s">
        <v>4878</v>
      </c>
      <c r="C4732" s="42" t="s">
        <v>10469</v>
      </c>
      <c r="D4732" s="43" t="s">
        <v>228</v>
      </c>
      <c r="E4732" s="43" t="s">
        <v>1430</v>
      </c>
      <c r="F4732" s="42" t="s">
        <v>11469</v>
      </c>
      <c r="G4732" t="s">
        <v>13197</v>
      </c>
    </row>
    <row r="4733" spans="1:7" x14ac:dyDescent="0.3">
      <c r="A4733" s="42" t="s">
        <v>4666</v>
      </c>
      <c r="B4733" s="42" t="s">
        <v>4879</v>
      </c>
      <c r="C4733" s="42" t="s">
        <v>10470</v>
      </c>
      <c r="D4733" s="43" t="s">
        <v>228</v>
      </c>
      <c r="E4733" s="43" t="s">
        <v>1430</v>
      </c>
      <c r="F4733" s="42" t="s">
        <v>11469</v>
      </c>
      <c r="G4733" t="s">
        <v>13197</v>
      </c>
    </row>
    <row r="4734" spans="1:7" x14ac:dyDescent="0.3">
      <c r="A4734" s="42" t="s">
        <v>4666</v>
      </c>
      <c r="B4734" s="42" t="s">
        <v>4880</v>
      </c>
      <c r="C4734" s="42" t="s">
        <v>10471</v>
      </c>
      <c r="D4734" s="43" t="s">
        <v>228</v>
      </c>
      <c r="E4734" s="43" t="s">
        <v>1430</v>
      </c>
      <c r="F4734" s="42" t="s">
        <v>192</v>
      </c>
      <c r="G4734" t="s">
        <v>13196</v>
      </c>
    </row>
    <row r="4735" spans="1:7" x14ac:dyDescent="0.3">
      <c r="A4735" s="42" t="s">
        <v>4666</v>
      </c>
      <c r="B4735" s="42" t="s">
        <v>4881</v>
      </c>
      <c r="C4735" s="42" t="s">
        <v>10472</v>
      </c>
      <c r="D4735" s="43" t="s">
        <v>228</v>
      </c>
      <c r="E4735" s="43" t="s">
        <v>1430</v>
      </c>
      <c r="F4735" s="42" t="s">
        <v>11469</v>
      </c>
      <c r="G4735" t="s">
        <v>13197</v>
      </c>
    </row>
    <row r="4736" spans="1:7" x14ac:dyDescent="0.3">
      <c r="A4736" s="42" t="s">
        <v>4666</v>
      </c>
      <c r="B4736" s="42" t="s">
        <v>4882</v>
      </c>
      <c r="C4736" s="42" t="s">
        <v>10473</v>
      </c>
      <c r="D4736" s="43" t="s">
        <v>228</v>
      </c>
      <c r="E4736" s="43" t="s">
        <v>1430</v>
      </c>
      <c r="F4736" s="42" t="s">
        <v>11469</v>
      </c>
      <c r="G4736" t="s">
        <v>13197</v>
      </c>
    </row>
    <row r="4737" spans="1:7" x14ac:dyDescent="0.3">
      <c r="A4737" s="42" t="s">
        <v>4666</v>
      </c>
      <c r="B4737" s="42" t="s">
        <v>3995</v>
      </c>
      <c r="C4737" s="42" t="s">
        <v>10474</v>
      </c>
      <c r="D4737" s="43" t="s">
        <v>228</v>
      </c>
      <c r="E4737" s="43" t="s">
        <v>1430</v>
      </c>
      <c r="F4737" s="42" t="s">
        <v>192</v>
      </c>
      <c r="G4737" t="s">
        <v>13196</v>
      </c>
    </row>
    <row r="4738" spans="1:7" x14ac:dyDescent="0.3">
      <c r="A4738" s="42" t="s">
        <v>4666</v>
      </c>
      <c r="B4738" s="42" t="s">
        <v>4883</v>
      </c>
      <c r="C4738" s="42" t="s">
        <v>10475</v>
      </c>
      <c r="D4738" s="43" t="s">
        <v>228</v>
      </c>
      <c r="E4738" s="43" t="s">
        <v>1430</v>
      </c>
      <c r="F4738" s="42" t="s">
        <v>11469</v>
      </c>
      <c r="G4738" t="s">
        <v>13197</v>
      </c>
    </row>
    <row r="4739" spans="1:7" x14ac:dyDescent="0.3">
      <c r="A4739" s="42" t="s">
        <v>4666</v>
      </c>
      <c r="B4739" s="42" t="s">
        <v>4884</v>
      </c>
      <c r="C4739" s="42" t="s">
        <v>10476</v>
      </c>
      <c r="D4739" s="43" t="s">
        <v>228</v>
      </c>
      <c r="E4739" s="43" t="s">
        <v>1430</v>
      </c>
      <c r="F4739" s="42" t="s">
        <v>11469</v>
      </c>
      <c r="G4739" t="s">
        <v>13197</v>
      </c>
    </row>
    <row r="4740" spans="1:7" x14ac:dyDescent="0.3">
      <c r="A4740" s="42" t="s">
        <v>4666</v>
      </c>
      <c r="B4740" s="42" t="s">
        <v>4885</v>
      </c>
      <c r="C4740" s="42" t="s">
        <v>10477</v>
      </c>
      <c r="D4740" s="43" t="s">
        <v>228</v>
      </c>
      <c r="E4740" s="43" t="s">
        <v>1430</v>
      </c>
      <c r="F4740" s="42" t="s">
        <v>11469</v>
      </c>
      <c r="G4740" t="s">
        <v>13197</v>
      </c>
    </row>
    <row r="4741" spans="1:7" x14ac:dyDescent="0.3">
      <c r="A4741" s="42" t="s">
        <v>4666</v>
      </c>
      <c r="B4741" s="42" t="s">
        <v>4886</v>
      </c>
      <c r="C4741" s="42" t="s">
        <v>10478</v>
      </c>
      <c r="D4741" s="43" t="s">
        <v>228</v>
      </c>
      <c r="E4741" s="43" t="s">
        <v>1430</v>
      </c>
      <c r="F4741" s="42" t="s">
        <v>11469</v>
      </c>
      <c r="G4741" t="s">
        <v>13197</v>
      </c>
    </row>
    <row r="4742" spans="1:7" x14ac:dyDescent="0.3">
      <c r="A4742" s="42" t="s">
        <v>4666</v>
      </c>
      <c r="B4742" s="42" t="s">
        <v>1357</v>
      </c>
      <c r="C4742" s="42" t="s">
        <v>10479</v>
      </c>
      <c r="D4742" s="43" t="s">
        <v>228</v>
      </c>
      <c r="E4742" s="43" t="s">
        <v>1430</v>
      </c>
      <c r="F4742" s="42" t="s">
        <v>11469</v>
      </c>
      <c r="G4742" t="s">
        <v>13197</v>
      </c>
    </row>
    <row r="4743" spans="1:7" x14ac:dyDescent="0.3">
      <c r="A4743" s="42" t="s">
        <v>4666</v>
      </c>
      <c r="B4743" s="42" t="s">
        <v>1062</v>
      </c>
      <c r="C4743" s="42" t="s">
        <v>10480</v>
      </c>
      <c r="D4743" s="43" t="s">
        <v>228</v>
      </c>
      <c r="E4743" s="43" t="s">
        <v>1430</v>
      </c>
      <c r="F4743" s="42" t="s">
        <v>192</v>
      </c>
      <c r="G4743" t="s">
        <v>13196</v>
      </c>
    </row>
    <row r="4744" spans="1:7" x14ac:dyDescent="0.3">
      <c r="A4744" s="42" t="s">
        <v>4666</v>
      </c>
      <c r="B4744" s="42" t="s">
        <v>4887</v>
      </c>
      <c r="C4744" s="42" t="s">
        <v>10481</v>
      </c>
      <c r="D4744" s="43" t="s">
        <v>228</v>
      </c>
      <c r="E4744" s="43" t="s">
        <v>1430</v>
      </c>
      <c r="F4744" s="42" t="s">
        <v>11469</v>
      </c>
      <c r="G4744" t="s">
        <v>13197</v>
      </c>
    </row>
    <row r="4745" spans="1:7" x14ac:dyDescent="0.3">
      <c r="A4745" s="42" t="s">
        <v>4666</v>
      </c>
      <c r="B4745" s="42" t="s">
        <v>4888</v>
      </c>
      <c r="C4745" s="42" t="s">
        <v>10482</v>
      </c>
      <c r="D4745" s="43" t="s">
        <v>228</v>
      </c>
      <c r="E4745" s="43" t="s">
        <v>1430</v>
      </c>
      <c r="F4745" s="42" t="s">
        <v>11469</v>
      </c>
      <c r="G4745" t="s">
        <v>13197</v>
      </c>
    </row>
    <row r="4746" spans="1:7" x14ac:dyDescent="0.3">
      <c r="A4746" s="42" t="s">
        <v>4666</v>
      </c>
      <c r="B4746" s="42" t="s">
        <v>4889</v>
      </c>
      <c r="C4746" s="42" t="s">
        <v>10483</v>
      </c>
      <c r="D4746" s="43" t="s">
        <v>228</v>
      </c>
      <c r="E4746" s="43" t="s">
        <v>1430</v>
      </c>
      <c r="F4746" s="42" t="s">
        <v>11469</v>
      </c>
      <c r="G4746" t="s">
        <v>13197</v>
      </c>
    </row>
    <row r="4747" spans="1:7" x14ac:dyDescent="0.3">
      <c r="A4747" s="42" t="s">
        <v>4666</v>
      </c>
      <c r="B4747" s="42" t="s">
        <v>4890</v>
      </c>
      <c r="C4747" s="42" t="s">
        <v>10484</v>
      </c>
      <c r="D4747" s="43" t="s">
        <v>228</v>
      </c>
      <c r="E4747" s="43" t="s">
        <v>1430</v>
      </c>
      <c r="F4747" s="42" t="s">
        <v>11469</v>
      </c>
      <c r="G4747" t="s">
        <v>13197</v>
      </c>
    </row>
    <row r="4748" spans="1:7" x14ac:dyDescent="0.3">
      <c r="A4748" s="42" t="s">
        <v>4666</v>
      </c>
      <c r="B4748" s="42" t="s">
        <v>4891</v>
      </c>
      <c r="C4748" s="42" t="s">
        <v>10485</v>
      </c>
      <c r="D4748" s="43" t="s">
        <v>228</v>
      </c>
      <c r="E4748" s="43" t="s">
        <v>1430</v>
      </c>
      <c r="F4748" s="42" t="s">
        <v>11469</v>
      </c>
      <c r="G4748" t="s">
        <v>13197</v>
      </c>
    </row>
    <row r="4749" spans="1:7" x14ac:dyDescent="0.3">
      <c r="A4749" s="42" t="s">
        <v>4666</v>
      </c>
      <c r="B4749" s="42" t="s">
        <v>4892</v>
      </c>
      <c r="C4749" s="42" t="s">
        <v>10486</v>
      </c>
      <c r="D4749" s="43" t="s">
        <v>228</v>
      </c>
      <c r="E4749" s="43" t="s">
        <v>1430</v>
      </c>
      <c r="F4749" s="42" t="s">
        <v>11469</v>
      </c>
      <c r="G4749" t="s">
        <v>13197</v>
      </c>
    </row>
    <row r="4750" spans="1:7" x14ac:dyDescent="0.3">
      <c r="A4750" s="42" t="s">
        <v>4666</v>
      </c>
      <c r="B4750" s="42" t="s">
        <v>4893</v>
      </c>
      <c r="C4750" s="42" t="s">
        <v>10487</v>
      </c>
      <c r="D4750" s="43" t="s">
        <v>228</v>
      </c>
      <c r="E4750" s="43" t="s">
        <v>1430</v>
      </c>
      <c r="F4750" s="42" t="s">
        <v>11469</v>
      </c>
      <c r="G4750" t="s">
        <v>13197</v>
      </c>
    </row>
    <row r="4751" spans="1:7" x14ac:dyDescent="0.3">
      <c r="A4751" s="42" t="s">
        <v>4666</v>
      </c>
      <c r="B4751" s="42" t="s">
        <v>4894</v>
      </c>
      <c r="C4751" s="42" t="s">
        <v>10488</v>
      </c>
      <c r="D4751" s="43" t="s">
        <v>228</v>
      </c>
      <c r="E4751" s="43" t="s">
        <v>1430</v>
      </c>
      <c r="F4751" s="42" t="s">
        <v>192</v>
      </c>
      <c r="G4751" t="s">
        <v>13196</v>
      </c>
    </row>
    <row r="4752" spans="1:7" x14ac:dyDescent="0.3">
      <c r="A4752" s="42" t="s">
        <v>4666</v>
      </c>
      <c r="B4752" s="42" t="s">
        <v>4895</v>
      </c>
      <c r="C4752" s="42" t="s">
        <v>10489</v>
      </c>
      <c r="D4752" s="43" t="s">
        <v>228</v>
      </c>
      <c r="E4752" s="43" t="s">
        <v>1430</v>
      </c>
      <c r="F4752" s="42" t="s">
        <v>11469</v>
      </c>
      <c r="G4752" t="s">
        <v>13197</v>
      </c>
    </row>
    <row r="4753" spans="1:7" x14ac:dyDescent="0.3">
      <c r="A4753" s="42" t="s">
        <v>4666</v>
      </c>
      <c r="B4753" s="42" t="s">
        <v>3700</v>
      </c>
      <c r="C4753" s="42" t="s">
        <v>10490</v>
      </c>
      <c r="D4753" s="43" t="s">
        <v>228</v>
      </c>
      <c r="E4753" s="43" t="s">
        <v>1430</v>
      </c>
      <c r="F4753" s="42" t="s">
        <v>11469</v>
      </c>
      <c r="G4753" t="s">
        <v>13197</v>
      </c>
    </row>
    <row r="4754" spans="1:7" x14ac:dyDescent="0.3">
      <c r="A4754" s="42" t="s">
        <v>4666</v>
      </c>
      <c r="B4754" s="42" t="s">
        <v>4896</v>
      </c>
      <c r="C4754" s="42" t="s">
        <v>10491</v>
      </c>
      <c r="D4754" s="43" t="s">
        <v>228</v>
      </c>
      <c r="E4754" s="43" t="s">
        <v>1430</v>
      </c>
      <c r="F4754" s="42" t="s">
        <v>11469</v>
      </c>
      <c r="G4754" t="s">
        <v>13197</v>
      </c>
    </row>
    <row r="4755" spans="1:7" x14ac:dyDescent="0.3">
      <c r="A4755" s="42" t="s">
        <v>4666</v>
      </c>
      <c r="B4755" s="42" t="s">
        <v>4897</v>
      </c>
      <c r="C4755" s="42" t="s">
        <v>10492</v>
      </c>
      <c r="D4755" s="43" t="s">
        <v>228</v>
      </c>
      <c r="E4755" s="43" t="s">
        <v>1430</v>
      </c>
      <c r="F4755" s="42" t="s">
        <v>11469</v>
      </c>
      <c r="G4755" t="s">
        <v>13197</v>
      </c>
    </row>
    <row r="4756" spans="1:7" x14ac:dyDescent="0.3">
      <c r="A4756" s="42" t="s">
        <v>4666</v>
      </c>
      <c r="B4756" s="42" t="s">
        <v>4898</v>
      </c>
      <c r="C4756" s="42" t="s">
        <v>10493</v>
      </c>
      <c r="D4756" s="43" t="s">
        <v>228</v>
      </c>
      <c r="E4756" s="43" t="s">
        <v>1430</v>
      </c>
      <c r="F4756" s="42" t="s">
        <v>11469</v>
      </c>
      <c r="G4756" t="s">
        <v>13198</v>
      </c>
    </row>
    <row r="4757" spans="1:7" x14ac:dyDescent="0.3">
      <c r="A4757" s="42" t="s">
        <v>4666</v>
      </c>
      <c r="B4757" s="42" t="s">
        <v>4899</v>
      </c>
      <c r="C4757" s="42" t="s">
        <v>10494</v>
      </c>
      <c r="D4757" s="43" t="s">
        <v>228</v>
      </c>
      <c r="E4757" s="43" t="s">
        <v>1430</v>
      </c>
      <c r="F4757" s="42" t="s">
        <v>11469</v>
      </c>
      <c r="G4757" t="s">
        <v>13197</v>
      </c>
    </row>
    <row r="4758" spans="1:7" x14ac:dyDescent="0.3">
      <c r="A4758" s="42" t="s">
        <v>4666</v>
      </c>
      <c r="B4758" s="42" t="s">
        <v>4900</v>
      </c>
      <c r="C4758" s="42" t="s">
        <v>10495</v>
      </c>
      <c r="D4758" s="43" t="s">
        <v>228</v>
      </c>
      <c r="E4758" s="43" t="s">
        <v>1430</v>
      </c>
      <c r="F4758" s="42" t="s">
        <v>11469</v>
      </c>
      <c r="G4758" t="s">
        <v>13197</v>
      </c>
    </row>
    <row r="4759" spans="1:7" x14ac:dyDescent="0.3">
      <c r="A4759" s="42" t="s">
        <v>4666</v>
      </c>
      <c r="B4759" s="42" t="s">
        <v>4901</v>
      </c>
      <c r="C4759" s="42" t="s">
        <v>10496</v>
      </c>
      <c r="D4759" s="43" t="s">
        <v>228</v>
      </c>
      <c r="E4759" s="43" t="s">
        <v>1430</v>
      </c>
      <c r="F4759" s="42" t="s">
        <v>11469</v>
      </c>
      <c r="G4759" t="s">
        <v>13197</v>
      </c>
    </row>
    <row r="4760" spans="1:7" x14ac:dyDescent="0.3">
      <c r="A4760" s="42" t="s">
        <v>4666</v>
      </c>
      <c r="B4760" s="42" t="s">
        <v>4902</v>
      </c>
      <c r="C4760" s="42" t="s">
        <v>10497</v>
      </c>
      <c r="D4760" s="43" t="s">
        <v>228</v>
      </c>
      <c r="E4760" s="43" t="s">
        <v>1430</v>
      </c>
      <c r="F4760" s="42" t="s">
        <v>11469</v>
      </c>
      <c r="G4760" t="s">
        <v>13197</v>
      </c>
    </row>
    <row r="4761" spans="1:7" x14ac:dyDescent="0.3">
      <c r="A4761" s="42" t="s">
        <v>4666</v>
      </c>
      <c r="B4761" s="42" t="s">
        <v>4903</v>
      </c>
      <c r="C4761" s="42" t="s">
        <v>10498</v>
      </c>
      <c r="D4761" s="43" t="s">
        <v>228</v>
      </c>
      <c r="E4761" s="43" t="s">
        <v>1430</v>
      </c>
      <c r="F4761" s="42" t="s">
        <v>11469</v>
      </c>
      <c r="G4761" t="s">
        <v>13197</v>
      </c>
    </row>
    <row r="4762" spans="1:7" x14ac:dyDescent="0.3">
      <c r="A4762" s="42" t="s">
        <v>4666</v>
      </c>
      <c r="B4762" s="42" t="s">
        <v>4904</v>
      </c>
      <c r="C4762" s="42" t="s">
        <v>10499</v>
      </c>
      <c r="D4762" s="43" t="s">
        <v>228</v>
      </c>
      <c r="E4762" s="43" t="s">
        <v>1430</v>
      </c>
      <c r="F4762" s="42" t="s">
        <v>11469</v>
      </c>
      <c r="G4762" t="s">
        <v>13197</v>
      </c>
    </row>
    <row r="4763" spans="1:7" x14ac:dyDescent="0.3">
      <c r="A4763" s="42" t="s">
        <v>4666</v>
      </c>
      <c r="B4763" s="42" t="s">
        <v>4905</v>
      </c>
      <c r="C4763" s="42" t="s">
        <v>10500</v>
      </c>
      <c r="D4763" s="43" t="s">
        <v>228</v>
      </c>
      <c r="E4763" s="43" t="s">
        <v>1430</v>
      </c>
      <c r="F4763" s="42" t="s">
        <v>192</v>
      </c>
      <c r="G4763" t="s">
        <v>13197</v>
      </c>
    </row>
    <row r="4764" spans="1:7" x14ac:dyDescent="0.3">
      <c r="A4764" s="42" t="s">
        <v>4666</v>
      </c>
      <c r="B4764" s="42" t="s">
        <v>4906</v>
      </c>
      <c r="C4764" s="42" t="s">
        <v>10501</v>
      </c>
      <c r="D4764" s="43" t="s">
        <v>228</v>
      </c>
      <c r="E4764" s="43" t="s">
        <v>1430</v>
      </c>
      <c r="F4764" s="42" t="s">
        <v>11469</v>
      </c>
      <c r="G4764" t="s">
        <v>13197</v>
      </c>
    </row>
    <row r="4765" spans="1:7" x14ac:dyDescent="0.3">
      <c r="A4765" s="42" t="s">
        <v>4666</v>
      </c>
      <c r="B4765" s="42" t="s">
        <v>4907</v>
      </c>
      <c r="C4765" s="42" t="s">
        <v>10502</v>
      </c>
      <c r="D4765" s="43" t="s">
        <v>228</v>
      </c>
      <c r="E4765" s="43" t="s">
        <v>1430</v>
      </c>
      <c r="F4765" s="42" t="s">
        <v>192</v>
      </c>
      <c r="G4765" t="s">
        <v>13196</v>
      </c>
    </row>
    <row r="4766" spans="1:7" x14ac:dyDescent="0.3">
      <c r="A4766" s="42" t="s">
        <v>4666</v>
      </c>
      <c r="B4766" s="42" t="s">
        <v>4908</v>
      </c>
      <c r="C4766" s="42" t="s">
        <v>10503</v>
      </c>
      <c r="D4766" s="43" t="s">
        <v>228</v>
      </c>
      <c r="E4766" s="43" t="s">
        <v>1430</v>
      </c>
      <c r="F4766" s="42" t="s">
        <v>11469</v>
      </c>
      <c r="G4766" t="s">
        <v>13197</v>
      </c>
    </row>
    <row r="4767" spans="1:7" x14ac:dyDescent="0.3">
      <c r="A4767" s="42" t="s">
        <v>4666</v>
      </c>
      <c r="B4767" s="42" t="s">
        <v>4909</v>
      </c>
      <c r="C4767" s="42" t="s">
        <v>10504</v>
      </c>
      <c r="D4767" s="43" t="s">
        <v>228</v>
      </c>
      <c r="E4767" s="43" t="s">
        <v>1430</v>
      </c>
      <c r="F4767" s="42" t="s">
        <v>11469</v>
      </c>
      <c r="G4767" t="s">
        <v>13197</v>
      </c>
    </row>
    <row r="4768" spans="1:7" x14ac:dyDescent="0.3">
      <c r="A4768" s="42" t="s">
        <v>4666</v>
      </c>
      <c r="B4768" s="42" t="s">
        <v>4910</v>
      </c>
      <c r="C4768" s="42" t="s">
        <v>10505</v>
      </c>
      <c r="D4768" s="43" t="s">
        <v>228</v>
      </c>
      <c r="E4768" s="43" t="s">
        <v>1430</v>
      </c>
      <c r="F4768" s="42" t="s">
        <v>11469</v>
      </c>
      <c r="G4768" t="s">
        <v>13197</v>
      </c>
    </row>
    <row r="4769" spans="1:7" x14ac:dyDescent="0.3">
      <c r="A4769" s="42" t="s">
        <v>4666</v>
      </c>
      <c r="B4769" s="42" t="s">
        <v>4911</v>
      </c>
      <c r="C4769" s="42" t="s">
        <v>10506</v>
      </c>
      <c r="D4769" s="43" t="s">
        <v>228</v>
      </c>
      <c r="E4769" s="43" t="s">
        <v>1430</v>
      </c>
      <c r="F4769" s="42" t="s">
        <v>11469</v>
      </c>
      <c r="G4769" t="s">
        <v>13197</v>
      </c>
    </row>
    <row r="4770" spans="1:7" x14ac:dyDescent="0.3">
      <c r="A4770" s="42" t="s">
        <v>4666</v>
      </c>
      <c r="B4770" s="42" t="s">
        <v>4912</v>
      </c>
      <c r="C4770" s="42" t="s">
        <v>10507</v>
      </c>
      <c r="D4770" s="43" t="s">
        <v>228</v>
      </c>
      <c r="E4770" s="43" t="s">
        <v>1430</v>
      </c>
      <c r="F4770" s="42" t="s">
        <v>11469</v>
      </c>
      <c r="G4770" t="s">
        <v>13197</v>
      </c>
    </row>
    <row r="4771" spans="1:7" x14ac:dyDescent="0.3">
      <c r="A4771" s="42" t="s">
        <v>4666</v>
      </c>
      <c r="B4771" s="42" t="s">
        <v>4913</v>
      </c>
      <c r="C4771" s="42" t="s">
        <v>10508</v>
      </c>
      <c r="D4771" s="43" t="s">
        <v>228</v>
      </c>
      <c r="E4771" s="43" t="s">
        <v>1430</v>
      </c>
      <c r="F4771" s="42" t="s">
        <v>192</v>
      </c>
      <c r="G4771" t="s">
        <v>13196</v>
      </c>
    </row>
    <row r="4772" spans="1:7" x14ac:dyDescent="0.3">
      <c r="A4772" s="42" t="s">
        <v>4666</v>
      </c>
      <c r="B4772" s="42" t="s">
        <v>4914</v>
      </c>
      <c r="C4772" s="42" t="s">
        <v>10509</v>
      </c>
      <c r="D4772" s="43" t="s">
        <v>228</v>
      </c>
      <c r="E4772" s="43" t="s">
        <v>1430</v>
      </c>
      <c r="F4772" s="42" t="s">
        <v>11469</v>
      </c>
      <c r="G4772" t="s">
        <v>13197</v>
      </c>
    </row>
    <row r="4773" spans="1:7" x14ac:dyDescent="0.3">
      <c r="A4773" s="42" t="s">
        <v>4666</v>
      </c>
      <c r="B4773" s="42" t="s">
        <v>4915</v>
      </c>
      <c r="C4773" s="42" t="s">
        <v>10510</v>
      </c>
      <c r="D4773" s="43" t="s">
        <v>228</v>
      </c>
      <c r="E4773" s="43" t="s">
        <v>1430</v>
      </c>
      <c r="F4773" s="42" t="s">
        <v>11469</v>
      </c>
      <c r="G4773" t="s">
        <v>13197</v>
      </c>
    </row>
    <row r="4774" spans="1:7" x14ac:dyDescent="0.3">
      <c r="A4774" s="42" t="s">
        <v>4666</v>
      </c>
      <c r="B4774" s="42" t="s">
        <v>4916</v>
      </c>
      <c r="C4774" s="42" t="s">
        <v>10511</v>
      </c>
      <c r="D4774" s="43" t="s">
        <v>228</v>
      </c>
      <c r="E4774" s="43" t="s">
        <v>1430</v>
      </c>
      <c r="F4774" s="42" t="s">
        <v>11469</v>
      </c>
      <c r="G4774" t="s">
        <v>13197</v>
      </c>
    </row>
    <row r="4775" spans="1:7" x14ac:dyDescent="0.3">
      <c r="A4775" s="42" t="s">
        <v>4666</v>
      </c>
      <c r="B4775" s="42" t="s">
        <v>4917</v>
      </c>
      <c r="C4775" s="42" t="s">
        <v>10512</v>
      </c>
      <c r="D4775" s="43" t="s">
        <v>228</v>
      </c>
      <c r="E4775" s="43" t="s">
        <v>1430</v>
      </c>
      <c r="F4775" s="42" t="s">
        <v>11469</v>
      </c>
      <c r="G4775" t="s">
        <v>13197</v>
      </c>
    </row>
    <row r="4776" spans="1:7" x14ac:dyDescent="0.3">
      <c r="A4776" s="42" t="s">
        <v>4666</v>
      </c>
      <c r="B4776" s="42" t="s">
        <v>4918</v>
      </c>
      <c r="C4776" s="42" t="s">
        <v>10513</v>
      </c>
      <c r="D4776" s="43" t="s">
        <v>228</v>
      </c>
      <c r="E4776" s="43" t="s">
        <v>1430</v>
      </c>
      <c r="F4776" s="42" t="s">
        <v>192</v>
      </c>
      <c r="G4776" t="s">
        <v>13196</v>
      </c>
    </row>
    <row r="4777" spans="1:7" x14ac:dyDescent="0.3">
      <c r="A4777" s="42" t="s">
        <v>4666</v>
      </c>
      <c r="B4777" s="42" t="s">
        <v>4919</v>
      </c>
      <c r="C4777" s="42" t="s">
        <v>10514</v>
      </c>
      <c r="D4777" s="43" t="s">
        <v>228</v>
      </c>
      <c r="E4777" s="43" t="s">
        <v>1430</v>
      </c>
      <c r="F4777" s="42" t="s">
        <v>11469</v>
      </c>
      <c r="G4777" t="s">
        <v>13197</v>
      </c>
    </row>
    <row r="4778" spans="1:7" x14ac:dyDescent="0.3">
      <c r="A4778" s="42" t="s">
        <v>4666</v>
      </c>
      <c r="B4778" s="42" t="s">
        <v>4920</v>
      </c>
      <c r="C4778" s="42" t="s">
        <v>10515</v>
      </c>
      <c r="D4778" s="43" t="s">
        <v>228</v>
      </c>
      <c r="E4778" s="43" t="s">
        <v>1430</v>
      </c>
      <c r="F4778" s="42" t="s">
        <v>11469</v>
      </c>
      <c r="G4778" t="s">
        <v>13197</v>
      </c>
    </row>
    <row r="4779" spans="1:7" x14ac:dyDescent="0.3">
      <c r="A4779" s="42" t="s">
        <v>4666</v>
      </c>
      <c r="B4779" s="42" t="s">
        <v>1395</v>
      </c>
      <c r="C4779" s="42" t="s">
        <v>10516</v>
      </c>
      <c r="D4779" s="43" t="s">
        <v>228</v>
      </c>
      <c r="E4779" s="43" t="s">
        <v>1430</v>
      </c>
      <c r="F4779" s="42" t="s">
        <v>11469</v>
      </c>
      <c r="G4779" t="s">
        <v>13197</v>
      </c>
    </row>
    <row r="4780" spans="1:7" x14ac:dyDescent="0.3">
      <c r="A4780" s="42" t="s">
        <v>4666</v>
      </c>
      <c r="B4780" s="42" t="s">
        <v>4921</v>
      </c>
      <c r="C4780" s="42" t="s">
        <v>10517</v>
      </c>
      <c r="D4780" s="43" t="s">
        <v>228</v>
      </c>
      <c r="E4780" s="43" t="s">
        <v>1430</v>
      </c>
      <c r="F4780" s="42" t="s">
        <v>11469</v>
      </c>
      <c r="G4780" t="s">
        <v>13197</v>
      </c>
    </row>
    <row r="4781" spans="1:7" x14ac:dyDescent="0.3">
      <c r="A4781" s="42" t="s">
        <v>4666</v>
      </c>
      <c r="B4781" s="42" t="s">
        <v>4922</v>
      </c>
      <c r="C4781" s="42" t="s">
        <v>10518</v>
      </c>
      <c r="D4781" s="43" t="s">
        <v>228</v>
      </c>
      <c r="E4781" s="43" t="s">
        <v>1430</v>
      </c>
      <c r="F4781" s="42" t="s">
        <v>11469</v>
      </c>
      <c r="G4781" t="s">
        <v>13197</v>
      </c>
    </row>
    <row r="4782" spans="1:7" x14ac:dyDescent="0.3">
      <c r="A4782" s="42" t="s">
        <v>4666</v>
      </c>
      <c r="B4782" s="42" t="s">
        <v>4923</v>
      </c>
      <c r="C4782" s="42" t="s">
        <v>10519</v>
      </c>
      <c r="D4782" s="43" t="s">
        <v>228</v>
      </c>
      <c r="E4782" s="43" t="s">
        <v>1430</v>
      </c>
      <c r="F4782" s="42" t="s">
        <v>11469</v>
      </c>
      <c r="G4782" t="s">
        <v>13197</v>
      </c>
    </row>
    <row r="4783" spans="1:7" x14ac:dyDescent="0.3">
      <c r="A4783" s="42" t="s">
        <v>4666</v>
      </c>
      <c r="B4783" s="42" t="s">
        <v>4924</v>
      </c>
      <c r="C4783" s="42" t="s">
        <v>10520</v>
      </c>
      <c r="D4783" s="43" t="s">
        <v>228</v>
      </c>
      <c r="E4783" s="43" t="s">
        <v>1430</v>
      </c>
      <c r="F4783" s="42" t="s">
        <v>11469</v>
      </c>
      <c r="G4783" t="s">
        <v>13197</v>
      </c>
    </row>
    <row r="4784" spans="1:7" x14ac:dyDescent="0.3">
      <c r="A4784" s="42" t="s">
        <v>4666</v>
      </c>
      <c r="B4784" s="42" t="s">
        <v>4925</v>
      </c>
      <c r="C4784" s="42" t="s">
        <v>10521</v>
      </c>
      <c r="D4784" s="43" t="s">
        <v>228</v>
      </c>
      <c r="E4784" s="43" t="s">
        <v>1430</v>
      </c>
      <c r="F4784" s="42" t="s">
        <v>192</v>
      </c>
      <c r="G4784" t="s">
        <v>13196</v>
      </c>
    </row>
    <row r="4785" spans="1:7" x14ac:dyDescent="0.3">
      <c r="A4785" s="42" t="s">
        <v>4666</v>
      </c>
      <c r="B4785" s="42" t="s">
        <v>4926</v>
      </c>
      <c r="C4785" s="42" t="s">
        <v>10522</v>
      </c>
      <c r="D4785" s="43" t="s">
        <v>228</v>
      </c>
      <c r="E4785" s="43" t="s">
        <v>1430</v>
      </c>
      <c r="F4785" s="42" t="s">
        <v>11469</v>
      </c>
      <c r="G4785" t="s">
        <v>13197</v>
      </c>
    </row>
    <row r="4786" spans="1:7" x14ac:dyDescent="0.3">
      <c r="A4786" s="42" t="s">
        <v>4666</v>
      </c>
      <c r="B4786" s="42" t="s">
        <v>4927</v>
      </c>
      <c r="C4786" s="42" t="s">
        <v>10523</v>
      </c>
      <c r="D4786" s="43" t="s">
        <v>228</v>
      </c>
      <c r="E4786" s="43" t="s">
        <v>1430</v>
      </c>
      <c r="F4786" s="42" t="s">
        <v>137</v>
      </c>
      <c r="G4786" t="s">
        <v>13197</v>
      </c>
    </row>
    <row r="4787" spans="1:7" x14ac:dyDescent="0.3">
      <c r="A4787" s="42" t="s">
        <v>4666</v>
      </c>
      <c r="B4787" s="42" t="s">
        <v>4928</v>
      </c>
      <c r="C4787" s="42" t="s">
        <v>10524</v>
      </c>
      <c r="D4787" s="43" t="s">
        <v>228</v>
      </c>
      <c r="E4787" s="43" t="s">
        <v>1430</v>
      </c>
      <c r="F4787" s="42" t="s">
        <v>11469</v>
      </c>
      <c r="G4787" t="s">
        <v>13197</v>
      </c>
    </row>
    <row r="4788" spans="1:7" x14ac:dyDescent="0.3">
      <c r="A4788" s="42" t="s">
        <v>4666</v>
      </c>
      <c r="B4788" s="42" t="s">
        <v>4929</v>
      </c>
      <c r="C4788" s="42" t="s">
        <v>10525</v>
      </c>
      <c r="D4788" s="43" t="s">
        <v>228</v>
      </c>
      <c r="E4788" s="43" t="s">
        <v>1430</v>
      </c>
      <c r="F4788" s="42" t="s">
        <v>11469</v>
      </c>
      <c r="G4788" t="s">
        <v>13197</v>
      </c>
    </row>
    <row r="4789" spans="1:7" x14ac:dyDescent="0.3">
      <c r="A4789" s="42" t="s">
        <v>4666</v>
      </c>
      <c r="B4789" s="42" t="s">
        <v>4930</v>
      </c>
      <c r="C4789" s="42" t="s">
        <v>10526</v>
      </c>
      <c r="D4789" s="43" t="s">
        <v>228</v>
      </c>
      <c r="E4789" s="43" t="s">
        <v>1430</v>
      </c>
      <c r="F4789" s="42" t="s">
        <v>11469</v>
      </c>
      <c r="G4789" t="s">
        <v>13197</v>
      </c>
    </row>
    <row r="4790" spans="1:7" x14ac:dyDescent="0.3">
      <c r="A4790" s="42" t="s">
        <v>4666</v>
      </c>
      <c r="B4790" s="42" t="s">
        <v>4931</v>
      </c>
      <c r="C4790" s="42" t="s">
        <v>10527</v>
      </c>
      <c r="D4790" s="43" t="s">
        <v>228</v>
      </c>
      <c r="E4790" s="43" t="s">
        <v>1430</v>
      </c>
      <c r="F4790" s="42" t="s">
        <v>192</v>
      </c>
      <c r="G4790" t="s">
        <v>13196</v>
      </c>
    </row>
    <row r="4791" spans="1:7" x14ac:dyDescent="0.3">
      <c r="A4791" s="42" t="s">
        <v>4666</v>
      </c>
      <c r="B4791" s="42" t="s">
        <v>4932</v>
      </c>
      <c r="C4791" s="42" t="s">
        <v>10528</v>
      </c>
      <c r="D4791" s="43" t="s">
        <v>228</v>
      </c>
      <c r="E4791" s="43" t="s">
        <v>1430</v>
      </c>
      <c r="F4791" s="42" t="s">
        <v>11469</v>
      </c>
      <c r="G4791" t="s">
        <v>13197</v>
      </c>
    </row>
    <row r="4792" spans="1:7" x14ac:dyDescent="0.3">
      <c r="A4792" s="42" t="s">
        <v>4666</v>
      </c>
      <c r="B4792" s="42" t="s">
        <v>4933</v>
      </c>
      <c r="C4792" s="42" t="s">
        <v>10529</v>
      </c>
      <c r="D4792" s="43" t="s">
        <v>228</v>
      </c>
      <c r="E4792" s="43" t="s">
        <v>1430</v>
      </c>
      <c r="F4792" s="42" t="s">
        <v>11469</v>
      </c>
      <c r="G4792" t="s">
        <v>13197</v>
      </c>
    </row>
    <row r="4793" spans="1:7" x14ac:dyDescent="0.3">
      <c r="A4793" s="42" t="s">
        <v>4666</v>
      </c>
      <c r="B4793" s="42" t="s">
        <v>4934</v>
      </c>
      <c r="C4793" s="42" t="s">
        <v>10530</v>
      </c>
      <c r="D4793" s="43" t="s">
        <v>228</v>
      </c>
      <c r="E4793" s="43" t="s">
        <v>1430</v>
      </c>
      <c r="F4793" s="42" t="s">
        <v>11469</v>
      </c>
      <c r="G4793" t="s">
        <v>13197</v>
      </c>
    </row>
    <row r="4794" spans="1:7" x14ac:dyDescent="0.3">
      <c r="A4794" s="42" t="s">
        <v>4666</v>
      </c>
      <c r="B4794" s="42" t="s">
        <v>4935</v>
      </c>
      <c r="C4794" s="42" t="s">
        <v>10531</v>
      </c>
      <c r="D4794" s="43" t="s">
        <v>228</v>
      </c>
      <c r="E4794" s="43" t="s">
        <v>1430</v>
      </c>
      <c r="F4794" s="42" t="s">
        <v>11469</v>
      </c>
      <c r="G4794" t="s">
        <v>13197</v>
      </c>
    </row>
    <row r="4795" spans="1:7" x14ac:dyDescent="0.3">
      <c r="A4795" s="42" t="s">
        <v>4666</v>
      </c>
      <c r="B4795" s="42" t="s">
        <v>4936</v>
      </c>
      <c r="C4795" s="42" t="s">
        <v>10532</v>
      </c>
      <c r="D4795" s="43" t="s">
        <v>228</v>
      </c>
      <c r="E4795" s="43" t="s">
        <v>1430</v>
      </c>
      <c r="F4795" s="42" t="s">
        <v>11469</v>
      </c>
      <c r="G4795" t="s">
        <v>13197</v>
      </c>
    </row>
    <row r="4796" spans="1:7" x14ac:dyDescent="0.3">
      <c r="A4796" s="42" t="s">
        <v>4666</v>
      </c>
      <c r="B4796" s="42" t="s">
        <v>4937</v>
      </c>
      <c r="C4796" s="42" t="s">
        <v>10533</v>
      </c>
      <c r="D4796" s="43" t="s">
        <v>228</v>
      </c>
      <c r="E4796" s="43" t="s">
        <v>1430</v>
      </c>
      <c r="F4796" s="42" t="s">
        <v>11469</v>
      </c>
      <c r="G4796" t="s">
        <v>13197</v>
      </c>
    </row>
    <row r="4797" spans="1:7" x14ac:dyDescent="0.3">
      <c r="A4797" s="42" t="s">
        <v>4666</v>
      </c>
      <c r="B4797" s="42" t="s">
        <v>4938</v>
      </c>
      <c r="C4797" s="42" t="s">
        <v>10534</v>
      </c>
      <c r="D4797" s="43" t="s">
        <v>228</v>
      </c>
      <c r="E4797" s="43" t="s">
        <v>1430</v>
      </c>
      <c r="F4797" s="42" t="s">
        <v>11469</v>
      </c>
      <c r="G4797" t="s">
        <v>13197</v>
      </c>
    </row>
    <row r="4798" spans="1:7" x14ac:dyDescent="0.3">
      <c r="A4798" s="42" t="s">
        <v>4666</v>
      </c>
      <c r="B4798" s="42" t="s">
        <v>4939</v>
      </c>
      <c r="C4798" s="42" t="s">
        <v>10535</v>
      </c>
      <c r="D4798" s="43" t="s">
        <v>228</v>
      </c>
      <c r="E4798" s="43" t="s">
        <v>1430</v>
      </c>
      <c r="F4798" s="42" t="s">
        <v>11469</v>
      </c>
      <c r="G4798" t="s">
        <v>13197</v>
      </c>
    </row>
    <row r="4799" spans="1:7" x14ac:dyDescent="0.3">
      <c r="A4799" s="42" t="s">
        <v>4666</v>
      </c>
      <c r="B4799" s="42" t="s">
        <v>4940</v>
      </c>
      <c r="C4799" s="42" t="s">
        <v>10536</v>
      </c>
      <c r="D4799" s="43" t="s">
        <v>228</v>
      </c>
      <c r="E4799" s="43" t="s">
        <v>1430</v>
      </c>
      <c r="F4799" s="42" t="s">
        <v>11469</v>
      </c>
      <c r="G4799" t="s">
        <v>13197</v>
      </c>
    </row>
    <row r="4800" spans="1:7" x14ac:dyDescent="0.3">
      <c r="A4800" s="42" t="s">
        <v>4666</v>
      </c>
      <c r="B4800" s="42" t="s">
        <v>4941</v>
      </c>
      <c r="C4800" s="42" t="s">
        <v>10537</v>
      </c>
      <c r="D4800" s="43" t="s">
        <v>228</v>
      </c>
      <c r="E4800" s="43" t="s">
        <v>1430</v>
      </c>
      <c r="F4800" s="42" t="s">
        <v>192</v>
      </c>
      <c r="G4800" t="s">
        <v>13196</v>
      </c>
    </row>
    <row r="4801" spans="1:7" x14ac:dyDescent="0.3">
      <c r="A4801" s="42" t="s">
        <v>4666</v>
      </c>
      <c r="B4801" s="42" t="s">
        <v>4942</v>
      </c>
      <c r="C4801" s="42" t="s">
        <v>10538</v>
      </c>
      <c r="D4801" s="43" t="s">
        <v>228</v>
      </c>
      <c r="E4801" s="43" t="s">
        <v>1430</v>
      </c>
      <c r="F4801" s="42" t="s">
        <v>11469</v>
      </c>
      <c r="G4801" t="s">
        <v>13197</v>
      </c>
    </row>
    <row r="4802" spans="1:7" x14ac:dyDescent="0.3">
      <c r="A4802" s="42" t="s">
        <v>4666</v>
      </c>
      <c r="B4802" s="42" t="s">
        <v>4943</v>
      </c>
      <c r="C4802" s="42" t="s">
        <v>10539</v>
      </c>
      <c r="D4802" s="43" t="s">
        <v>228</v>
      </c>
      <c r="E4802" s="43" t="s">
        <v>1430</v>
      </c>
      <c r="F4802" s="42" t="s">
        <v>11469</v>
      </c>
      <c r="G4802" t="s">
        <v>13198</v>
      </c>
    </row>
    <row r="4803" spans="1:7" x14ac:dyDescent="0.3">
      <c r="A4803" s="42" t="s">
        <v>4666</v>
      </c>
      <c r="B4803" s="42" t="s">
        <v>4944</v>
      </c>
      <c r="C4803" s="42" t="s">
        <v>10540</v>
      </c>
      <c r="D4803" s="43" t="s">
        <v>228</v>
      </c>
      <c r="E4803" s="43" t="s">
        <v>1430</v>
      </c>
      <c r="F4803" s="42" t="s">
        <v>11469</v>
      </c>
      <c r="G4803" t="s">
        <v>13197</v>
      </c>
    </row>
    <row r="4804" spans="1:7" x14ac:dyDescent="0.3">
      <c r="A4804" s="42" t="s">
        <v>4945</v>
      </c>
      <c r="B4804" s="42" t="s">
        <v>4946</v>
      </c>
      <c r="C4804" s="42" t="s">
        <v>10541</v>
      </c>
      <c r="D4804" s="43" t="s">
        <v>228</v>
      </c>
      <c r="E4804" s="43" t="s">
        <v>1430</v>
      </c>
      <c r="F4804" s="42" t="s">
        <v>11469</v>
      </c>
      <c r="G4804" t="s">
        <v>13197</v>
      </c>
    </row>
    <row r="4805" spans="1:7" x14ac:dyDescent="0.3">
      <c r="A4805" s="42" t="s">
        <v>4945</v>
      </c>
      <c r="B4805" s="42" t="s">
        <v>4947</v>
      </c>
      <c r="C4805" s="42" t="s">
        <v>10542</v>
      </c>
      <c r="D4805" s="43" t="s">
        <v>228</v>
      </c>
      <c r="E4805" s="43" t="s">
        <v>1430</v>
      </c>
      <c r="F4805" s="42" t="s">
        <v>11469</v>
      </c>
      <c r="G4805" t="s">
        <v>13197</v>
      </c>
    </row>
    <row r="4806" spans="1:7" x14ac:dyDescent="0.3">
      <c r="A4806" s="42" t="s">
        <v>4945</v>
      </c>
      <c r="B4806" s="42" t="s">
        <v>4948</v>
      </c>
      <c r="C4806" s="42" t="s">
        <v>10543</v>
      </c>
      <c r="D4806" s="43" t="s">
        <v>228</v>
      </c>
      <c r="E4806" s="43" t="s">
        <v>1430</v>
      </c>
      <c r="F4806" s="42" t="s">
        <v>11469</v>
      </c>
      <c r="G4806" t="s">
        <v>13197</v>
      </c>
    </row>
    <row r="4807" spans="1:7" x14ac:dyDescent="0.3">
      <c r="A4807" s="42" t="s">
        <v>4945</v>
      </c>
      <c r="B4807" s="42" t="s">
        <v>4949</v>
      </c>
      <c r="C4807" s="42" t="s">
        <v>10544</v>
      </c>
      <c r="D4807" s="43" t="s">
        <v>228</v>
      </c>
      <c r="E4807" s="43" t="s">
        <v>1430</v>
      </c>
      <c r="F4807" s="42" t="s">
        <v>11469</v>
      </c>
      <c r="G4807" t="s">
        <v>13197</v>
      </c>
    </row>
    <row r="4808" spans="1:7" x14ac:dyDescent="0.3">
      <c r="A4808" s="42" t="s">
        <v>4945</v>
      </c>
      <c r="B4808" s="42" t="s">
        <v>4950</v>
      </c>
      <c r="C4808" s="42" t="s">
        <v>10545</v>
      </c>
      <c r="D4808" s="43" t="s">
        <v>228</v>
      </c>
      <c r="E4808" s="43" t="s">
        <v>1430</v>
      </c>
      <c r="F4808" s="42" t="s">
        <v>11469</v>
      </c>
      <c r="G4808" t="s">
        <v>13197</v>
      </c>
    </row>
    <row r="4809" spans="1:7" x14ac:dyDescent="0.3">
      <c r="A4809" s="42" t="s">
        <v>4945</v>
      </c>
      <c r="B4809" s="42" t="s">
        <v>4951</v>
      </c>
      <c r="C4809" s="42" t="s">
        <v>10546</v>
      </c>
      <c r="D4809" s="43" t="s">
        <v>228</v>
      </c>
      <c r="E4809" s="43" t="s">
        <v>1430</v>
      </c>
      <c r="F4809" s="42" t="s">
        <v>11469</v>
      </c>
      <c r="G4809" t="s">
        <v>13197</v>
      </c>
    </row>
    <row r="4810" spans="1:7" x14ac:dyDescent="0.3">
      <c r="A4810" s="42" t="s">
        <v>4945</v>
      </c>
      <c r="B4810" s="42" t="s">
        <v>4952</v>
      </c>
      <c r="C4810" s="42" t="s">
        <v>10547</v>
      </c>
      <c r="D4810" s="43" t="s">
        <v>228</v>
      </c>
      <c r="E4810" s="43" t="s">
        <v>1430</v>
      </c>
      <c r="F4810" s="42" t="s">
        <v>11469</v>
      </c>
      <c r="G4810" t="s">
        <v>13197</v>
      </c>
    </row>
    <row r="4811" spans="1:7" x14ac:dyDescent="0.3">
      <c r="A4811" s="42" t="s">
        <v>4945</v>
      </c>
      <c r="B4811" s="42" t="s">
        <v>4953</v>
      </c>
      <c r="C4811" s="42" t="s">
        <v>10548</v>
      </c>
      <c r="D4811" s="43" t="s">
        <v>228</v>
      </c>
      <c r="E4811" s="43" t="s">
        <v>1430</v>
      </c>
      <c r="F4811" s="42" t="s">
        <v>11469</v>
      </c>
      <c r="G4811" t="s">
        <v>13200</v>
      </c>
    </row>
    <row r="4812" spans="1:7" x14ac:dyDescent="0.3">
      <c r="A4812" s="42" t="s">
        <v>4945</v>
      </c>
      <c r="B4812" s="42" t="s">
        <v>4954</v>
      </c>
      <c r="C4812" s="42" t="s">
        <v>10549</v>
      </c>
      <c r="D4812" s="43" t="s">
        <v>228</v>
      </c>
      <c r="E4812" s="43" t="s">
        <v>1430</v>
      </c>
      <c r="F4812" s="42" t="s">
        <v>11469</v>
      </c>
      <c r="G4812" t="s">
        <v>13197</v>
      </c>
    </row>
    <row r="4813" spans="1:7" x14ac:dyDescent="0.3">
      <c r="A4813" s="42" t="s">
        <v>4945</v>
      </c>
      <c r="B4813" s="42" t="s">
        <v>4955</v>
      </c>
      <c r="C4813" s="42" t="s">
        <v>10550</v>
      </c>
      <c r="D4813" s="43" t="s">
        <v>228</v>
      </c>
      <c r="E4813" s="43" t="s">
        <v>1430</v>
      </c>
      <c r="F4813" s="42" t="s">
        <v>11469</v>
      </c>
      <c r="G4813" t="s">
        <v>13197</v>
      </c>
    </row>
    <row r="4814" spans="1:7" x14ac:dyDescent="0.3">
      <c r="A4814" s="42" t="s">
        <v>4945</v>
      </c>
      <c r="B4814" s="42" t="s">
        <v>1607</v>
      </c>
      <c r="C4814" s="42" t="s">
        <v>10551</v>
      </c>
      <c r="D4814" s="43" t="s">
        <v>228</v>
      </c>
      <c r="E4814" s="43" t="s">
        <v>1430</v>
      </c>
      <c r="F4814" s="42" t="s">
        <v>11469</v>
      </c>
      <c r="G4814" t="s">
        <v>13197</v>
      </c>
    </row>
    <row r="4815" spans="1:7" x14ac:dyDescent="0.3">
      <c r="A4815" s="42" t="s">
        <v>4945</v>
      </c>
      <c r="B4815" s="42" t="s">
        <v>4956</v>
      </c>
      <c r="C4815" s="42" t="s">
        <v>10552</v>
      </c>
      <c r="D4815" s="43" t="s">
        <v>228</v>
      </c>
      <c r="E4815" s="43" t="s">
        <v>1430</v>
      </c>
      <c r="F4815" s="42" t="s">
        <v>11469</v>
      </c>
      <c r="G4815" t="s">
        <v>13197</v>
      </c>
    </row>
    <row r="4816" spans="1:7" x14ac:dyDescent="0.3">
      <c r="A4816" s="42" t="s">
        <v>4945</v>
      </c>
      <c r="B4816" s="42" t="s">
        <v>4957</v>
      </c>
      <c r="C4816" s="42" t="s">
        <v>10553</v>
      </c>
      <c r="D4816" s="43" t="s">
        <v>228</v>
      </c>
      <c r="E4816" s="43" t="s">
        <v>1430</v>
      </c>
      <c r="F4816" s="42" t="s">
        <v>11469</v>
      </c>
      <c r="G4816" t="s">
        <v>13197</v>
      </c>
    </row>
    <row r="4817" spans="1:7" x14ac:dyDescent="0.3">
      <c r="A4817" s="42" t="s">
        <v>4945</v>
      </c>
      <c r="B4817" s="42" t="s">
        <v>4958</v>
      </c>
      <c r="C4817" s="42" t="s">
        <v>10554</v>
      </c>
      <c r="D4817" s="43" t="s">
        <v>228</v>
      </c>
      <c r="E4817" s="43" t="s">
        <v>1430</v>
      </c>
      <c r="F4817" s="42" t="s">
        <v>11469</v>
      </c>
      <c r="G4817" t="s">
        <v>13197</v>
      </c>
    </row>
    <row r="4818" spans="1:7" x14ac:dyDescent="0.3">
      <c r="A4818" s="42" t="s">
        <v>4945</v>
      </c>
      <c r="B4818" s="42" t="s">
        <v>4959</v>
      </c>
      <c r="C4818" s="42" t="s">
        <v>10555</v>
      </c>
      <c r="D4818" s="43" t="s">
        <v>228</v>
      </c>
      <c r="E4818" s="43" t="s">
        <v>1430</v>
      </c>
      <c r="F4818" s="42" t="s">
        <v>11469</v>
      </c>
      <c r="G4818" t="s">
        <v>13197</v>
      </c>
    </row>
    <row r="4819" spans="1:7" x14ac:dyDescent="0.3">
      <c r="A4819" s="42" t="s">
        <v>4945</v>
      </c>
      <c r="B4819" s="42" t="s">
        <v>4960</v>
      </c>
      <c r="C4819" s="42" t="s">
        <v>10556</v>
      </c>
      <c r="D4819" s="43" t="s">
        <v>228</v>
      </c>
      <c r="E4819" s="43" t="s">
        <v>1430</v>
      </c>
      <c r="F4819" s="42" t="s">
        <v>11469</v>
      </c>
      <c r="G4819" t="s">
        <v>13197</v>
      </c>
    </row>
    <row r="4820" spans="1:7" x14ac:dyDescent="0.3">
      <c r="A4820" s="42" t="s">
        <v>4945</v>
      </c>
      <c r="B4820" s="42" t="s">
        <v>4961</v>
      </c>
      <c r="C4820" s="42" t="s">
        <v>10557</v>
      </c>
      <c r="D4820" s="43" t="s">
        <v>228</v>
      </c>
      <c r="E4820" s="43" t="s">
        <v>1430</v>
      </c>
      <c r="F4820" s="42" t="s">
        <v>11469</v>
      </c>
      <c r="G4820" t="s">
        <v>13197</v>
      </c>
    </row>
    <row r="4821" spans="1:7" x14ac:dyDescent="0.3">
      <c r="A4821" s="42" t="s">
        <v>4945</v>
      </c>
      <c r="B4821" s="42" t="s">
        <v>4962</v>
      </c>
      <c r="C4821" s="42" t="s">
        <v>10558</v>
      </c>
      <c r="D4821" s="43" t="s">
        <v>228</v>
      </c>
      <c r="E4821" s="43" t="s">
        <v>1430</v>
      </c>
      <c r="F4821" s="42" t="s">
        <v>11469</v>
      </c>
      <c r="G4821" t="s">
        <v>13197</v>
      </c>
    </row>
    <row r="4822" spans="1:7" x14ac:dyDescent="0.3">
      <c r="A4822" s="42" t="s">
        <v>4945</v>
      </c>
      <c r="B4822" s="42" t="s">
        <v>4963</v>
      </c>
      <c r="C4822" s="42" t="s">
        <v>10559</v>
      </c>
      <c r="D4822" s="43" t="s">
        <v>228</v>
      </c>
      <c r="E4822" s="43" t="s">
        <v>1430</v>
      </c>
      <c r="F4822" s="42" t="s">
        <v>11469</v>
      </c>
      <c r="G4822" t="s">
        <v>13197</v>
      </c>
    </row>
    <row r="4823" spans="1:7" x14ac:dyDescent="0.3">
      <c r="A4823" s="42" t="s">
        <v>4945</v>
      </c>
      <c r="B4823" s="42" t="s">
        <v>4964</v>
      </c>
      <c r="C4823" s="42" t="s">
        <v>10560</v>
      </c>
      <c r="D4823" s="43" t="s">
        <v>228</v>
      </c>
      <c r="E4823" s="43" t="s">
        <v>1430</v>
      </c>
      <c r="F4823" s="42" t="s">
        <v>11469</v>
      </c>
      <c r="G4823" t="s">
        <v>13198</v>
      </c>
    </row>
    <row r="4824" spans="1:7" x14ac:dyDescent="0.3">
      <c r="A4824" s="42" t="s">
        <v>4945</v>
      </c>
      <c r="B4824" s="42" t="s">
        <v>4965</v>
      </c>
      <c r="C4824" s="42" t="s">
        <v>10561</v>
      </c>
      <c r="D4824" s="43" t="s">
        <v>228</v>
      </c>
      <c r="E4824" s="43" t="s">
        <v>1430</v>
      </c>
      <c r="F4824" s="42" t="s">
        <v>11469</v>
      </c>
      <c r="G4824" t="s">
        <v>13197</v>
      </c>
    </row>
    <row r="4825" spans="1:7" x14ac:dyDescent="0.3">
      <c r="A4825" s="42" t="s">
        <v>4945</v>
      </c>
      <c r="B4825" s="42" t="s">
        <v>4966</v>
      </c>
      <c r="C4825" s="42" t="s">
        <v>10562</v>
      </c>
      <c r="D4825" s="43" t="s">
        <v>228</v>
      </c>
      <c r="E4825" s="43" t="s">
        <v>1430</v>
      </c>
      <c r="F4825" s="42" t="s">
        <v>11469</v>
      </c>
      <c r="G4825" t="s">
        <v>13198</v>
      </c>
    </row>
    <row r="4826" spans="1:7" x14ac:dyDescent="0.3">
      <c r="A4826" s="42" t="s">
        <v>4945</v>
      </c>
      <c r="B4826" s="42" t="s">
        <v>4967</v>
      </c>
      <c r="C4826" s="42" t="s">
        <v>10563</v>
      </c>
      <c r="D4826" s="43" t="s">
        <v>228</v>
      </c>
      <c r="E4826" s="43" t="s">
        <v>1430</v>
      </c>
      <c r="F4826" s="42" t="s">
        <v>11469</v>
      </c>
      <c r="G4826" t="s">
        <v>13197</v>
      </c>
    </row>
    <row r="4827" spans="1:7" x14ac:dyDescent="0.3">
      <c r="A4827" s="42" t="s">
        <v>4945</v>
      </c>
      <c r="B4827" s="42" t="s">
        <v>4968</v>
      </c>
      <c r="C4827" s="42" t="s">
        <v>10564</v>
      </c>
      <c r="D4827" s="43" t="s">
        <v>228</v>
      </c>
      <c r="E4827" s="43" t="s">
        <v>1430</v>
      </c>
      <c r="F4827" s="42" t="s">
        <v>11469</v>
      </c>
      <c r="G4827" t="s">
        <v>13197</v>
      </c>
    </row>
    <row r="4828" spans="1:7" x14ac:dyDescent="0.3">
      <c r="A4828" s="42" t="s">
        <v>4945</v>
      </c>
      <c r="B4828" s="42" t="s">
        <v>4969</v>
      </c>
      <c r="C4828" s="42" t="s">
        <v>10565</v>
      </c>
      <c r="D4828" s="43" t="s">
        <v>228</v>
      </c>
      <c r="E4828" s="43" t="s">
        <v>1430</v>
      </c>
      <c r="F4828" s="42" t="s">
        <v>11469</v>
      </c>
      <c r="G4828" t="s">
        <v>13197</v>
      </c>
    </row>
    <row r="4829" spans="1:7" x14ac:dyDescent="0.3">
      <c r="A4829" s="42" t="s">
        <v>4945</v>
      </c>
      <c r="B4829" s="42" t="s">
        <v>4970</v>
      </c>
      <c r="C4829" s="42" t="s">
        <v>10566</v>
      </c>
      <c r="D4829" s="43" t="s">
        <v>228</v>
      </c>
      <c r="E4829" s="43" t="s">
        <v>1430</v>
      </c>
      <c r="F4829" s="42" t="s">
        <v>11469</v>
      </c>
      <c r="G4829" t="s">
        <v>13197</v>
      </c>
    </row>
    <row r="4830" spans="1:7" x14ac:dyDescent="0.3">
      <c r="A4830" s="42" t="s">
        <v>4945</v>
      </c>
      <c r="B4830" s="42" t="s">
        <v>4971</v>
      </c>
      <c r="C4830" s="42" t="s">
        <v>10567</v>
      </c>
      <c r="D4830" s="43" t="s">
        <v>228</v>
      </c>
      <c r="E4830" s="43" t="s">
        <v>1430</v>
      </c>
      <c r="F4830" s="42" t="s">
        <v>11469</v>
      </c>
      <c r="G4830" t="s">
        <v>13197</v>
      </c>
    </row>
    <row r="4831" spans="1:7" x14ac:dyDescent="0.3">
      <c r="A4831" s="42" t="s">
        <v>4945</v>
      </c>
      <c r="B4831" s="42" t="s">
        <v>3547</v>
      </c>
      <c r="C4831" s="42" t="s">
        <v>10568</v>
      </c>
      <c r="D4831" s="43" t="s">
        <v>228</v>
      </c>
      <c r="E4831" s="43" t="s">
        <v>1430</v>
      </c>
      <c r="F4831" s="42" t="s">
        <v>192</v>
      </c>
      <c r="G4831" t="s">
        <v>13196</v>
      </c>
    </row>
    <row r="4832" spans="1:7" x14ac:dyDescent="0.3">
      <c r="A4832" s="42" t="s">
        <v>4945</v>
      </c>
      <c r="B4832" s="42" t="s">
        <v>4972</v>
      </c>
      <c r="C4832" s="42" t="s">
        <v>10569</v>
      </c>
      <c r="D4832" s="43" t="s">
        <v>228</v>
      </c>
      <c r="E4832" s="43" t="s">
        <v>1430</v>
      </c>
      <c r="F4832" s="42" t="s">
        <v>11469</v>
      </c>
      <c r="G4832" t="s">
        <v>13197</v>
      </c>
    </row>
    <row r="4833" spans="1:7" x14ac:dyDescent="0.3">
      <c r="A4833" s="42" t="s">
        <v>4945</v>
      </c>
      <c r="B4833" s="42" t="s">
        <v>4973</v>
      </c>
      <c r="C4833" s="42" t="s">
        <v>10570</v>
      </c>
      <c r="D4833" s="43" t="s">
        <v>228</v>
      </c>
      <c r="E4833" s="43" t="s">
        <v>1430</v>
      </c>
      <c r="F4833" s="42" t="s">
        <v>11469</v>
      </c>
      <c r="G4833" t="s">
        <v>13197</v>
      </c>
    </row>
    <row r="4834" spans="1:7" x14ac:dyDescent="0.3">
      <c r="A4834" s="42" t="s">
        <v>4945</v>
      </c>
      <c r="B4834" s="42" t="s">
        <v>4974</v>
      </c>
      <c r="C4834" s="42" t="s">
        <v>10571</v>
      </c>
      <c r="D4834" s="43" t="s">
        <v>228</v>
      </c>
      <c r="E4834" s="43" t="s">
        <v>1430</v>
      </c>
      <c r="F4834" s="42" t="s">
        <v>11469</v>
      </c>
      <c r="G4834" t="s">
        <v>13197</v>
      </c>
    </row>
    <row r="4835" spans="1:7" x14ac:dyDescent="0.3">
      <c r="A4835" s="42" t="s">
        <v>4945</v>
      </c>
      <c r="B4835" s="42" t="s">
        <v>4975</v>
      </c>
      <c r="C4835" s="42" t="s">
        <v>10572</v>
      </c>
      <c r="D4835" s="43" t="s">
        <v>228</v>
      </c>
      <c r="E4835" s="43" t="s">
        <v>1430</v>
      </c>
      <c r="F4835" s="42" t="s">
        <v>11469</v>
      </c>
      <c r="G4835" t="s">
        <v>13197</v>
      </c>
    </row>
    <row r="4836" spans="1:7" x14ac:dyDescent="0.3">
      <c r="A4836" s="42" t="s">
        <v>4945</v>
      </c>
      <c r="B4836" s="42" t="s">
        <v>4976</v>
      </c>
      <c r="C4836" s="42" t="s">
        <v>10573</v>
      </c>
      <c r="D4836" s="43" t="s">
        <v>228</v>
      </c>
      <c r="E4836" s="43" t="s">
        <v>1430</v>
      </c>
      <c r="F4836" s="42" t="s">
        <v>11469</v>
      </c>
      <c r="G4836" t="s">
        <v>13197</v>
      </c>
    </row>
    <row r="4837" spans="1:7" x14ac:dyDescent="0.3">
      <c r="A4837" s="42" t="s">
        <v>4945</v>
      </c>
      <c r="B4837" s="42" t="s">
        <v>4977</v>
      </c>
      <c r="C4837" s="42" t="s">
        <v>10574</v>
      </c>
      <c r="D4837" s="43" t="s">
        <v>228</v>
      </c>
      <c r="E4837" s="43" t="s">
        <v>1430</v>
      </c>
      <c r="F4837" s="42" t="s">
        <v>11469</v>
      </c>
      <c r="G4837" t="s">
        <v>13197</v>
      </c>
    </row>
    <row r="4838" spans="1:7" x14ac:dyDescent="0.3">
      <c r="A4838" s="42" t="s">
        <v>4945</v>
      </c>
      <c r="B4838" s="42" t="s">
        <v>4978</v>
      </c>
      <c r="C4838" s="42" t="s">
        <v>10575</v>
      </c>
      <c r="D4838" s="43" t="s">
        <v>228</v>
      </c>
      <c r="E4838" s="43" t="s">
        <v>1430</v>
      </c>
      <c r="F4838" s="42" t="s">
        <v>11469</v>
      </c>
      <c r="G4838" t="s">
        <v>13197</v>
      </c>
    </row>
    <row r="4839" spans="1:7" x14ac:dyDescent="0.3">
      <c r="A4839" s="42" t="s">
        <v>4945</v>
      </c>
      <c r="B4839" s="42" t="s">
        <v>4979</v>
      </c>
      <c r="C4839" s="42" t="s">
        <v>10576</v>
      </c>
      <c r="D4839" s="43" t="s">
        <v>228</v>
      </c>
      <c r="E4839" s="43" t="s">
        <v>1430</v>
      </c>
      <c r="F4839" s="42" t="s">
        <v>11469</v>
      </c>
      <c r="G4839" t="s">
        <v>13197</v>
      </c>
    </row>
    <row r="4840" spans="1:7" x14ac:dyDescent="0.3">
      <c r="A4840" s="42" t="s">
        <v>4945</v>
      </c>
      <c r="B4840" s="42" t="s">
        <v>4980</v>
      </c>
      <c r="C4840" s="42" t="s">
        <v>10577</v>
      </c>
      <c r="D4840" s="43" t="s">
        <v>228</v>
      </c>
      <c r="E4840" s="43" t="s">
        <v>1430</v>
      </c>
      <c r="F4840" s="42" t="s">
        <v>192</v>
      </c>
      <c r="G4840" t="s">
        <v>13196</v>
      </c>
    </row>
    <row r="4841" spans="1:7" x14ac:dyDescent="0.3">
      <c r="A4841" s="42" t="s">
        <v>4945</v>
      </c>
      <c r="B4841" s="42" t="s">
        <v>4981</v>
      </c>
      <c r="C4841" s="42" t="s">
        <v>10578</v>
      </c>
      <c r="D4841" s="43" t="s">
        <v>228</v>
      </c>
      <c r="E4841" s="43" t="s">
        <v>1430</v>
      </c>
      <c r="F4841" s="42" t="s">
        <v>11469</v>
      </c>
      <c r="G4841" t="s">
        <v>13197</v>
      </c>
    </row>
    <row r="4842" spans="1:7" x14ac:dyDescent="0.3">
      <c r="A4842" s="42" t="s">
        <v>4945</v>
      </c>
      <c r="B4842" s="42" t="s">
        <v>4982</v>
      </c>
      <c r="C4842" s="42" t="s">
        <v>10579</v>
      </c>
      <c r="D4842" s="43" t="s">
        <v>228</v>
      </c>
      <c r="E4842" s="43" t="s">
        <v>1430</v>
      </c>
      <c r="F4842" s="42" t="s">
        <v>11469</v>
      </c>
      <c r="G4842" t="s">
        <v>13197</v>
      </c>
    </row>
    <row r="4843" spans="1:7" x14ac:dyDescent="0.3">
      <c r="A4843" s="42" t="s">
        <v>4945</v>
      </c>
      <c r="B4843" s="42" t="s">
        <v>4983</v>
      </c>
      <c r="C4843" s="42" t="s">
        <v>10580</v>
      </c>
      <c r="D4843" s="43" t="s">
        <v>228</v>
      </c>
      <c r="E4843" s="43" t="s">
        <v>1430</v>
      </c>
      <c r="F4843" s="42" t="s">
        <v>192</v>
      </c>
      <c r="G4843" t="s">
        <v>13196</v>
      </c>
    </row>
    <row r="4844" spans="1:7" x14ac:dyDescent="0.3">
      <c r="A4844" s="42" t="s">
        <v>4945</v>
      </c>
      <c r="B4844" s="42" t="s">
        <v>4984</v>
      </c>
      <c r="C4844" s="42" t="s">
        <v>10581</v>
      </c>
      <c r="D4844" s="43" t="s">
        <v>228</v>
      </c>
      <c r="E4844" s="43" t="s">
        <v>1430</v>
      </c>
      <c r="F4844" s="42" t="s">
        <v>11469</v>
      </c>
      <c r="G4844" t="s">
        <v>13197</v>
      </c>
    </row>
    <row r="4845" spans="1:7" x14ac:dyDescent="0.3">
      <c r="A4845" s="42" t="s">
        <v>4945</v>
      </c>
      <c r="B4845" s="42" t="s">
        <v>4985</v>
      </c>
      <c r="C4845" s="42" t="s">
        <v>10582</v>
      </c>
      <c r="D4845" s="43" t="s">
        <v>228</v>
      </c>
      <c r="E4845" s="43" t="s">
        <v>1430</v>
      </c>
      <c r="F4845" s="42" t="s">
        <v>11469</v>
      </c>
      <c r="G4845" t="s">
        <v>13197</v>
      </c>
    </row>
    <row r="4846" spans="1:7" x14ac:dyDescent="0.3">
      <c r="A4846" s="42" t="s">
        <v>4945</v>
      </c>
      <c r="B4846" s="42" t="s">
        <v>4986</v>
      </c>
      <c r="C4846" s="42" t="s">
        <v>10583</v>
      </c>
      <c r="D4846" s="43" t="s">
        <v>228</v>
      </c>
      <c r="E4846" s="43" t="s">
        <v>1430</v>
      </c>
      <c r="F4846" s="42" t="s">
        <v>11469</v>
      </c>
      <c r="G4846" t="s">
        <v>13197</v>
      </c>
    </row>
    <row r="4847" spans="1:7" x14ac:dyDescent="0.3">
      <c r="A4847" s="42" t="s">
        <v>4945</v>
      </c>
      <c r="B4847" s="42" t="s">
        <v>4987</v>
      </c>
      <c r="C4847" s="42" t="s">
        <v>10584</v>
      </c>
      <c r="D4847" s="43" t="s">
        <v>228</v>
      </c>
      <c r="E4847" s="43" t="s">
        <v>1430</v>
      </c>
      <c r="F4847" s="42" t="s">
        <v>11469</v>
      </c>
      <c r="G4847" t="s">
        <v>13197</v>
      </c>
    </row>
    <row r="4848" spans="1:7" x14ac:dyDescent="0.3">
      <c r="A4848" s="42" t="s">
        <v>4945</v>
      </c>
      <c r="B4848" s="42" t="s">
        <v>4988</v>
      </c>
      <c r="C4848" s="42" t="s">
        <v>10585</v>
      </c>
      <c r="D4848" s="43" t="s">
        <v>228</v>
      </c>
      <c r="E4848" s="43" t="s">
        <v>1430</v>
      </c>
      <c r="F4848" s="42" t="s">
        <v>192</v>
      </c>
      <c r="G4848" t="s">
        <v>13196</v>
      </c>
    </row>
    <row r="4849" spans="1:7" x14ac:dyDescent="0.3">
      <c r="A4849" s="42" t="s">
        <v>4945</v>
      </c>
      <c r="B4849" s="42" t="s">
        <v>4989</v>
      </c>
      <c r="C4849" s="42" t="s">
        <v>10586</v>
      </c>
      <c r="D4849" s="43" t="s">
        <v>228</v>
      </c>
      <c r="E4849" s="43" t="s">
        <v>1430</v>
      </c>
      <c r="F4849" s="42" t="s">
        <v>192</v>
      </c>
      <c r="G4849" t="s">
        <v>13196</v>
      </c>
    </row>
    <row r="4850" spans="1:7" x14ac:dyDescent="0.3">
      <c r="A4850" s="42" t="s">
        <v>4945</v>
      </c>
      <c r="B4850" s="42" t="s">
        <v>4990</v>
      </c>
      <c r="C4850" s="42" t="s">
        <v>10587</v>
      </c>
      <c r="D4850" s="43" t="s">
        <v>228</v>
      </c>
      <c r="E4850" s="43" t="s">
        <v>1430</v>
      </c>
      <c r="F4850" s="42" t="s">
        <v>11469</v>
      </c>
      <c r="G4850" t="s">
        <v>13197</v>
      </c>
    </row>
    <row r="4851" spans="1:7" x14ac:dyDescent="0.3">
      <c r="A4851" s="42" t="s">
        <v>4945</v>
      </c>
      <c r="B4851" s="42" t="s">
        <v>4991</v>
      </c>
      <c r="C4851" s="42" t="s">
        <v>10588</v>
      </c>
      <c r="D4851" s="43" t="s">
        <v>228</v>
      </c>
      <c r="E4851" s="43" t="s">
        <v>1430</v>
      </c>
      <c r="F4851" s="42" t="s">
        <v>192</v>
      </c>
      <c r="G4851" t="s">
        <v>13196</v>
      </c>
    </row>
    <row r="4852" spans="1:7" x14ac:dyDescent="0.3">
      <c r="A4852" s="42" t="s">
        <v>4945</v>
      </c>
      <c r="B4852" s="42" t="s">
        <v>4992</v>
      </c>
      <c r="C4852" s="42" t="s">
        <v>10589</v>
      </c>
      <c r="D4852" s="43" t="s">
        <v>228</v>
      </c>
      <c r="E4852" s="43" t="s">
        <v>1430</v>
      </c>
      <c r="F4852" s="42" t="s">
        <v>11469</v>
      </c>
      <c r="G4852" t="s">
        <v>13197</v>
      </c>
    </row>
    <row r="4853" spans="1:7" x14ac:dyDescent="0.3">
      <c r="A4853" s="42" t="s">
        <v>4945</v>
      </c>
      <c r="B4853" s="42" t="s">
        <v>4993</v>
      </c>
      <c r="C4853" s="42" t="s">
        <v>10590</v>
      </c>
      <c r="D4853" s="43" t="s">
        <v>228</v>
      </c>
      <c r="E4853" s="43" t="s">
        <v>1430</v>
      </c>
      <c r="F4853" s="42" t="s">
        <v>11469</v>
      </c>
      <c r="G4853" t="s">
        <v>13197</v>
      </c>
    </row>
    <row r="4854" spans="1:7" x14ac:dyDescent="0.3">
      <c r="A4854" s="42" t="s">
        <v>4945</v>
      </c>
      <c r="B4854" s="42" t="s">
        <v>4994</v>
      </c>
      <c r="C4854" s="42" t="s">
        <v>10591</v>
      </c>
      <c r="D4854" s="43" t="s">
        <v>228</v>
      </c>
      <c r="E4854" s="43" t="s">
        <v>1430</v>
      </c>
      <c r="F4854" s="42" t="s">
        <v>11469</v>
      </c>
      <c r="G4854" t="s">
        <v>13197</v>
      </c>
    </row>
    <row r="4855" spans="1:7" x14ac:dyDescent="0.3">
      <c r="A4855" s="42" t="s">
        <v>4945</v>
      </c>
      <c r="B4855" s="42" t="s">
        <v>4995</v>
      </c>
      <c r="C4855" s="42" t="s">
        <v>10592</v>
      </c>
      <c r="D4855" s="43" t="s">
        <v>228</v>
      </c>
      <c r="E4855" s="43" t="s">
        <v>1430</v>
      </c>
      <c r="F4855" s="42" t="s">
        <v>11469</v>
      </c>
      <c r="G4855" t="s">
        <v>13197</v>
      </c>
    </row>
    <row r="4856" spans="1:7" x14ac:dyDescent="0.3">
      <c r="A4856" s="42" t="s">
        <v>4945</v>
      </c>
      <c r="B4856" s="42" t="s">
        <v>4996</v>
      </c>
      <c r="C4856" s="42" t="s">
        <v>10593</v>
      </c>
      <c r="D4856" s="43" t="s">
        <v>228</v>
      </c>
      <c r="E4856" s="43" t="s">
        <v>1430</v>
      </c>
      <c r="F4856" s="42" t="s">
        <v>11469</v>
      </c>
      <c r="G4856" t="s">
        <v>13197</v>
      </c>
    </row>
    <row r="4857" spans="1:7" x14ac:dyDescent="0.3">
      <c r="A4857" s="42" t="s">
        <v>4945</v>
      </c>
      <c r="B4857" s="42" t="s">
        <v>4997</v>
      </c>
      <c r="C4857" s="42" t="s">
        <v>10594</v>
      </c>
      <c r="D4857" s="43" t="s">
        <v>228</v>
      </c>
      <c r="E4857" s="43" t="s">
        <v>1430</v>
      </c>
      <c r="F4857" s="42" t="s">
        <v>11469</v>
      </c>
      <c r="G4857" t="s">
        <v>13197</v>
      </c>
    </row>
    <row r="4858" spans="1:7" x14ac:dyDescent="0.3">
      <c r="A4858" s="42" t="s">
        <v>4945</v>
      </c>
      <c r="B4858" s="42" t="s">
        <v>4998</v>
      </c>
      <c r="C4858" s="42" t="s">
        <v>10595</v>
      </c>
      <c r="D4858" s="43" t="s">
        <v>228</v>
      </c>
      <c r="E4858" s="43" t="s">
        <v>1430</v>
      </c>
      <c r="F4858" s="42" t="s">
        <v>11469</v>
      </c>
      <c r="G4858" t="s">
        <v>13197</v>
      </c>
    </row>
    <row r="4859" spans="1:7" x14ac:dyDescent="0.3">
      <c r="A4859" s="42" t="s">
        <v>4945</v>
      </c>
      <c r="B4859" s="42" t="s">
        <v>4999</v>
      </c>
      <c r="C4859" s="42" t="s">
        <v>10596</v>
      </c>
      <c r="D4859" s="43" t="s">
        <v>228</v>
      </c>
      <c r="E4859" s="43" t="s">
        <v>1430</v>
      </c>
      <c r="F4859" s="42" t="s">
        <v>11469</v>
      </c>
      <c r="G4859" t="s">
        <v>13197</v>
      </c>
    </row>
    <row r="4860" spans="1:7" x14ac:dyDescent="0.3">
      <c r="A4860" s="42" t="s">
        <v>4945</v>
      </c>
      <c r="B4860" s="42" t="s">
        <v>5000</v>
      </c>
      <c r="C4860" s="42" t="s">
        <v>10597</v>
      </c>
      <c r="D4860" s="43" t="s">
        <v>228</v>
      </c>
      <c r="E4860" s="43" t="s">
        <v>1430</v>
      </c>
      <c r="F4860" s="42" t="s">
        <v>11469</v>
      </c>
      <c r="G4860" t="s">
        <v>13197</v>
      </c>
    </row>
    <row r="4861" spans="1:7" x14ac:dyDescent="0.3">
      <c r="A4861" s="42" t="s">
        <v>4945</v>
      </c>
      <c r="B4861" s="42" t="s">
        <v>5001</v>
      </c>
      <c r="C4861" s="42" t="s">
        <v>10598</v>
      </c>
      <c r="D4861" s="43" t="s">
        <v>228</v>
      </c>
      <c r="E4861" s="43" t="s">
        <v>1430</v>
      </c>
      <c r="F4861" s="42" t="s">
        <v>192</v>
      </c>
      <c r="G4861" t="s">
        <v>13196</v>
      </c>
    </row>
    <row r="4862" spans="1:7" x14ac:dyDescent="0.3">
      <c r="A4862" s="42" t="s">
        <v>4945</v>
      </c>
      <c r="B4862" s="42" t="s">
        <v>5002</v>
      </c>
      <c r="C4862" s="42" t="s">
        <v>10599</v>
      </c>
      <c r="D4862" s="43" t="s">
        <v>228</v>
      </c>
      <c r="E4862" s="43" t="s">
        <v>1430</v>
      </c>
      <c r="F4862" s="42" t="s">
        <v>11469</v>
      </c>
      <c r="G4862" t="s">
        <v>13197</v>
      </c>
    </row>
    <row r="4863" spans="1:7" x14ac:dyDescent="0.3">
      <c r="A4863" s="42" t="s">
        <v>5003</v>
      </c>
      <c r="B4863" s="42" t="s">
        <v>5004</v>
      </c>
      <c r="C4863" s="42" t="s">
        <v>10600</v>
      </c>
      <c r="D4863" s="43" t="s">
        <v>228</v>
      </c>
      <c r="E4863" s="43" t="s">
        <v>1430</v>
      </c>
      <c r="F4863" s="42" t="s">
        <v>11469</v>
      </c>
      <c r="G4863" t="s">
        <v>13197</v>
      </c>
    </row>
    <row r="4864" spans="1:7" x14ac:dyDescent="0.3">
      <c r="A4864" s="42" t="s">
        <v>5003</v>
      </c>
      <c r="B4864" s="42" t="s">
        <v>4989</v>
      </c>
      <c r="C4864" s="42" t="s">
        <v>10601</v>
      </c>
      <c r="D4864" s="43" t="s">
        <v>228</v>
      </c>
      <c r="E4864" s="43" t="s">
        <v>1430</v>
      </c>
      <c r="F4864" s="42" t="s">
        <v>192</v>
      </c>
      <c r="G4864" t="s">
        <v>13196</v>
      </c>
    </row>
    <row r="4865" spans="1:7" x14ac:dyDescent="0.3">
      <c r="A4865" s="42" t="s">
        <v>5005</v>
      </c>
      <c r="B4865" s="42" t="s">
        <v>5006</v>
      </c>
      <c r="C4865" s="42" t="s">
        <v>10602</v>
      </c>
      <c r="D4865" s="43" t="s">
        <v>136</v>
      </c>
      <c r="E4865" s="43" t="s">
        <v>92</v>
      </c>
      <c r="F4865" s="42" t="s">
        <v>11469</v>
      </c>
      <c r="G4865" t="s">
        <v>13197</v>
      </c>
    </row>
    <row r="4866" spans="1:7" x14ac:dyDescent="0.3">
      <c r="A4866" s="42" t="s">
        <v>5005</v>
      </c>
      <c r="B4866" s="42" t="s">
        <v>5007</v>
      </c>
      <c r="C4866" s="42" t="s">
        <v>10603</v>
      </c>
      <c r="D4866" s="43" t="s">
        <v>136</v>
      </c>
      <c r="E4866" s="43" t="s">
        <v>92</v>
      </c>
      <c r="F4866" s="42" t="s">
        <v>192</v>
      </c>
      <c r="G4866" t="s">
        <v>13196</v>
      </c>
    </row>
    <row r="4867" spans="1:7" x14ac:dyDescent="0.3">
      <c r="A4867" s="42" t="s">
        <v>5005</v>
      </c>
      <c r="B4867" s="42" t="s">
        <v>5008</v>
      </c>
      <c r="C4867" s="42" t="s">
        <v>10604</v>
      </c>
      <c r="D4867" s="43" t="s">
        <v>136</v>
      </c>
      <c r="E4867" s="43" t="s">
        <v>92</v>
      </c>
      <c r="F4867" s="42" t="s">
        <v>11469</v>
      </c>
      <c r="G4867" t="s">
        <v>13197</v>
      </c>
    </row>
    <row r="4868" spans="1:7" x14ac:dyDescent="0.3">
      <c r="A4868" s="42" t="s">
        <v>5005</v>
      </c>
      <c r="B4868" s="42" t="s">
        <v>5009</v>
      </c>
      <c r="C4868" s="42" t="s">
        <v>10605</v>
      </c>
      <c r="D4868" s="43" t="s">
        <v>136</v>
      </c>
      <c r="E4868" s="43" t="s">
        <v>92</v>
      </c>
      <c r="F4868" s="42" t="s">
        <v>11469</v>
      </c>
      <c r="G4868" t="s">
        <v>13197</v>
      </c>
    </row>
    <row r="4869" spans="1:7" x14ac:dyDescent="0.3">
      <c r="A4869" s="42" t="s">
        <v>5005</v>
      </c>
      <c r="B4869" s="42" t="s">
        <v>5010</v>
      </c>
      <c r="C4869" s="42" t="s">
        <v>10606</v>
      </c>
      <c r="D4869" s="43" t="s">
        <v>136</v>
      </c>
      <c r="E4869" s="43" t="s">
        <v>92</v>
      </c>
      <c r="F4869" s="42" t="s">
        <v>192</v>
      </c>
      <c r="G4869" t="s">
        <v>13196</v>
      </c>
    </row>
    <row r="4870" spans="1:7" x14ac:dyDescent="0.3">
      <c r="A4870" s="42" t="s">
        <v>5005</v>
      </c>
      <c r="B4870" s="42" t="s">
        <v>5011</v>
      </c>
      <c r="C4870" s="42" t="s">
        <v>10607</v>
      </c>
      <c r="D4870" s="43" t="s">
        <v>136</v>
      </c>
      <c r="E4870" s="43" t="s">
        <v>92</v>
      </c>
      <c r="F4870" s="42" t="s">
        <v>11469</v>
      </c>
      <c r="G4870" t="s">
        <v>13197</v>
      </c>
    </row>
    <row r="4871" spans="1:7" x14ac:dyDescent="0.3">
      <c r="A4871" s="42" t="s">
        <v>5005</v>
      </c>
      <c r="B4871" s="42" t="s">
        <v>5012</v>
      </c>
      <c r="C4871" s="42" t="s">
        <v>10608</v>
      </c>
      <c r="D4871" s="43" t="s">
        <v>136</v>
      </c>
      <c r="E4871" s="43" t="s">
        <v>92</v>
      </c>
      <c r="F4871" s="42" t="s">
        <v>11469</v>
      </c>
      <c r="G4871" t="s">
        <v>13197</v>
      </c>
    </row>
    <row r="4872" spans="1:7" x14ac:dyDescent="0.3">
      <c r="A4872" s="42" t="s">
        <v>5005</v>
      </c>
      <c r="B4872" s="42" t="s">
        <v>5013</v>
      </c>
      <c r="C4872" s="42" t="s">
        <v>10609</v>
      </c>
      <c r="D4872" s="43" t="s">
        <v>136</v>
      </c>
      <c r="E4872" s="43" t="s">
        <v>92</v>
      </c>
      <c r="F4872" s="42" t="s">
        <v>11469</v>
      </c>
      <c r="G4872" t="s">
        <v>13197</v>
      </c>
    </row>
    <row r="4873" spans="1:7" x14ac:dyDescent="0.3">
      <c r="A4873" s="42" t="s">
        <v>5005</v>
      </c>
      <c r="B4873" s="42" t="s">
        <v>5014</v>
      </c>
      <c r="C4873" s="42" t="s">
        <v>10610</v>
      </c>
      <c r="D4873" s="43" t="s">
        <v>136</v>
      </c>
      <c r="E4873" s="43" t="s">
        <v>92</v>
      </c>
      <c r="F4873" s="42" t="s">
        <v>11469</v>
      </c>
      <c r="G4873" t="s">
        <v>13197</v>
      </c>
    </row>
    <row r="4874" spans="1:7" x14ac:dyDescent="0.3">
      <c r="A4874" s="42" t="s">
        <v>5005</v>
      </c>
      <c r="B4874" s="42" t="s">
        <v>5015</v>
      </c>
      <c r="C4874" s="42" t="s">
        <v>10611</v>
      </c>
      <c r="D4874" s="43" t="s">
        <v>136</v>
      </c>
      <c r="E4874" s="43" t="s">
        <v>92</v>
      </c>
      <c r="F4874" s="42" t="s">
        <v>11469</v>
      </c>
      <c r="G4874" t="s">
        <v>13197</v>
      </c>
    </row>
    <row r="4875" spans="1:7" x14ac:dyDescent="0.3">
      <c r="A4875" s="42" t="s">
        <v>5005</v>
      </c>
      <c r="B4875" s="42" t="s">
        <v>5016</v>
      </c>
      <c r="C4875" s="42" t="s">
        <v>10612</v>
      </c>
      <c r="D4875" s="43" t="s">
        <v>136</v>
      </c>
      <c r="E4875" s="43" t="s">
        <v>92</v>
      </c>
      <c r="F4875" s="42" t="s">
        <v>11469</v>
      </c>
      <c r="G4875" t="s">
        <v>13197</v>
      </c>
    </row>
    <row r="4876" spans="1:7" x14ac:dyDescent="0.3">
      <c r="A4876" s="42" t="s">
        <v>5005</v>
      </c>
      <c r="B4876" s="42" t="s">
        <v>5017</v>
      </c>
      <c r="C4876" s="42" t="s">
        <v>10613</v>
      </c>
      <c r="D4876" s="43" t="s">
        <v>136</v>
      </c>
      <c r="E4876" s="43" t="s">
        <v>92</v>
      </c>
      <c r="F4876" s="42" t="s">
        <v>11469</v>
      </c>
      <c r="G4876" t="s">
        <v>13197</v>
      </c>
    </row>
    <row r="4877" spans="1:7" x14ac:dyDescent="0.3">
      <c r="A4877" s="42" t="s">
        <v>5005</v>
      </c>
      <c r="B4877" s="42" t="s">
        <v>5018</v>
      </c>
      <c r="C4877" s="42" t="s">
        <v>10614</v>
      </c>
      <c r="D4877" s="43" t="s">
        <v>136</v>
      </c>
      <c r="E4877" s="43" t="s">
        <v>92</v>
      </c>
      <c r="F4877" s="42" t="s">
        <v>11469</v>
      </c>
      <c r="G4877" t="s">
        <v>13197</v>
      </c>
    </row>
    <row r="4878" spans="1:7" x14ac:dyDescent="0.3">
      <c r="A4878" s="42" t="s">
        <v>5005</v>
      </c>
      <c r="B4878" s="42" t="s">
        <v>5019</v>
      </c>
      <c r="C4878" s="42" t="s">
        <v>10615</v>
      </c>
      <c r="D4878" s="43" t="s">
        <v>136</v>
      </c>
      <c r="E4878" s="43" t="s">
        <v>92</v>
      </c>
      <c r="F4878" s="42" t="s">
        <v>11469</v>
      </c>
      <c r="G4878" t="s">
        <v>13197</v>
      </c>
    </row>
    <row r="4879" spans="1:7" x14ac:dyDescent="0.3">
      <c r="A4879" s="42" t="s">
        <v>5005</v>
      </c>
      <c r="B4879" s="42" t="s">
        <v>5020</v>
      </c>
      <c r="C4879" s="42" t="s">
        <v>10616</v>
      </c>
      <c r="D4879" s="43" t="s">
        <v>136</v>
      </c>
      <c r="E4879" s="43" t="s">
        <v>92</v>
      </c>
      <c r="F4879" s="42" t="s">
        <v>11469</v>
      </c>
      <c r="G4879" t="s">
        <v>13197</v>
      </c>
    </row>
    <row r="4880" spans="1:7" x14ac:dyDescent="0.3">
      <c r="A4880" s="42" t="s">
        <v>5005</v>
      </c>
      <c r="B4880" s="42" t="s">
        <v>5021</v>
      </c>
      <c r="C4880" s="42" t="s">
        <v>10617</v>
      </c>
      <c r="D4880" s="43" t="s">
        <v>136</v>
      </c>
      <c r="E4880" s="43" t="s">
        <v>92</v>
      </c>
      <c r="F4880" s="42" t="s">
        <v>11469</v>
      </c>
      <c r="G4880" t="s">
        <v>13197</v>
      </c>
    </row>
    <row r="4881" spans="1:7" x14ac:dyDescent="0.3">
      <c r="A4881" s="42" t="s">
        <v>5005</v>
      </c>
      <c r="B4881" s="42" t="s">
        <v>5022</v>
      </c>
      <c r="C4881" s="42" t="s">
        <v>10618</v>
      </c>
      <c r="D4881" s="43" t="s">
        <v>136</v>
      </c>
      <c r="E4881" s="43" t="s">
        <v>92</v>
      </c>
      <c r="F4881" s="42" t="s">
        <v>11469</v>
      </c>
      <c r="G4881" t="s">
        <v>13197</v>
      </c>
    </row>
    <row r="4882" spans="1:7" x14ac:dyDescent="0.3">
      <c r="A4882" s="42" t="s">
        <v>5005</v>
      </c>
      <c r="B4882" s="42" t="s">
        <v>5023</v>
      </c>
      <c r="C4882" s="42" t="s">
        <v>10619</v>
      </c>
      <c r="D4882" s="43" t="s">
        <v>136</v>
      </c>
      <c r="E4882" s="43" t="s">
        <v>92</v>
      </c>
      <c r="F4882" s="42" t="s">
        <v>11469</v>
      </c>
      <c r="G4882" t="s">
        <v>13197</v>
      </c>
    </row>
    <row r="4883" spans="1:7" x14ac:dyDescent="0.3">
      <c r="A4883" s="42" t="s">
        <v>5005</v>
      </c>
      <c r="B4883" s="42" t="s">
        <v>5024</v>
      </c>
      <c r="C4883" s="42" t="s">
        <v>10620</v>
      </c>
      <c r="D4883" s="43" t="s">
        <v>136</v>
      </c>
      <c r="E4883" s="43" t="s">
        <v>92</v>
      </c>
      <c r="F4883" s="42" t="s">
        <v>11469</v>
      </c>
      <c r="G4883" t="s">
        <v>13197</v>
      </c>
    </row>
    <row r="4884" spans="1:7" x14ac:dyDescent="0.3">
      <c r="A4884" s="42" t="s">
        <v>5005</v>
      </c>
      <c r="B4884" s="42" t="s">
        <v>5025</v>
      </c>
      <c r="C4884" s="42" t="s">
        <v>10621</v>
      </c>
      <c r="D4884" s="43" t="s">
        <v>136</v>
      </c>
      <c r="E4884" s="43" t="s">
        <v>92</v>
      </c>
      <c r="F4884" s="42" t="s">
        <v>11469</v>
      </c>
      <c r="G4884" t="s">
        <v>13197</v>
      </c>
    </row>
    <row r="4885" spans="1:7" x14ac:dyDescent="0.3">
      <c r="A4885" s="42" t="s">
        <v>5005</v>
      </c>
      <c r="B4885" s="42" t="s">
        <v>5026</v>
      </c>
      <c r="C4885" s="42" t="s">
        <v>10622</v>
      </c>
      <c r="D4885" s="43" t="s">
        <v>136</v>
      </c>
      <c r="E4885" s="43" t="s">
        <v>92</v>
      </c>
      <c r="F4885" s="42" t="s">
        <v>11469</v>
      </c>
      <c r="G4885" t="s">
        <v>13197</v>
      </c>
    </row>
    <row r="4886" spans="1:7" x14ac:dyDescent="0.3">
      <c r="A4886" s="42" t="s">
        <v>5005</v>
      </c>
      <c r="B4886" s="42" t="s">
        <v>5027</v>
      </c>
      <c r="C4886" s="42" t="s">
        <v>10623</v>
      </c>
      <c r="D4886" s="43" t="s">
        <v>136</v>
      </c>
      <c r="E4886" s="43" t="s">
        <v>92</v>
      </c>
      <c r="F4886" s="42" t="s">
        <v>192</v>
      </c>
      <c r="G4886" t="s">
        <v>13196</v>
      </c>
    </row>
    <row r="4887" spans="1:7" x14ac:dyDescent="0.3">
      <c r="A4887" s="42" t="s">
        <v>5005</v>
      </c>
      <c r="B4887" s="42" t="s">
        <v>5028</v>
      </c>
      <c r="C4887" s="42" t="s">
        <v>10624</v>
      </c>
      <c r="D4887" s="43" t="s">
        <v>136</v>
      </c>
      <c r="E4887" s="43" t="s">
        <v>92</v>
      </c>
      <c r="F4887" s="42" t="s">
        <v>11469</v>
      </c>
      <c r="G4887" t="s">
        <v>13197</v>
      </c>
    </row>
    <row r="4888" spans="1:7" x14ac:dyDescent="0.3">
      <c r="A4888" s="42" t="s">
        <v>5005</v>
      </c>
      <c r="B4888" s="42" t="s">
        <v>5029</v>
      </c>
      <c r="C4888" s="42" t="s">
        <v>10625</v>
      </c>
      <c r="D4888" s="43" t="s">
        <v>136</v>
      </c>
      <c r="E4888" s="43" t="s">
        <v>92</v>
      </c>
      <c r="F4888" s="42" t="s">
        <v>11469</v>
      </c>
      <c r="G4888" t="s">
        <v>13197</v>
      </c>
    </row>
    <row r="4889" spans="1:7" x14ac:dyDescent="0.3">
      <c r="A4889" s="42" t="s">
        <v>5005</v>
      </c>
      <c r="B4889" s="42" t="s">
        <v>5030</v>
      </c>
      <c r="C4889" s="42" t="s">
        <v>10626</v>
      </c>
      <c r="D4889" s="43" t="s">
        <v>136</v>
      </c>
      <c r="E4889" s="43" t="s">
        <v>92</v>
      </c>
      <c r="F4889" s="42" t="s">
        <v>11469</v>
      </c>
      <c r="G4889" t="s">
        <v>13197</v>
      </c>
    </row>
    <row r="4890" spans="1:7" x14ac:dyDescent="0.3">
      <c r="A4890" s="42" t="s">
        <v>5005</v>
      </c>
      <c r="B4890" s="42" t="s">
        <v>5031</v>
      </c>
      <c r="C4890" s="42" t="s">
        <v>10627</v>
      </c>
      <c r="D4890" s="43" t="s">
        <v>136</v>
      </c>
      <c r="E4890" s="43" t="s">
        <v>92</v>
      </c>
      <c r="F4890" s="42" t="s">
        <v>11469</v>
      </c>
      <c r="G4890" t="s">
        <v>13197</v>
      </c>
    </row>
    <row r="4891" spans="1:7" x14ac:dyDescent="0.3">
      <c r="A4891" s="42" t="s">
        <v>5005</v>
      </c>
      <c r="B4891" s="42" t="s">
        <v>5032</v>
      </c>
      <c r="C4891" s="42" t="s">
        <v>10628</v>
      </c>
      <c r="D4891" s="43" t="s">
        <v>136</v>
      </c>
      <c r="E4891" s="43" t="s">
        <v>92</v>
      </c>
      <c r="F4891" s="42" t="s">
        <v>192</v>
      </c>
      <c r="G4891" t="s">
        <v>13196</v>
      </c>
    </row>
    <row r="4892" spans="1:7" x14ac:dyDescent="0.3">
      <c r="A4892" s="42" t="s">
        <v>5005</v>
      </c>
      <c r="B4892" s="42" t="s">
        <v>5033</v>
      </c>
      <c r="C4892" s="42" t="s">
        <v>10629</v>
      </c>
      <c r="D4892" s="43" t="s">
        <v>136</v>
      </c>
      <c r="E4892" s="43" t="s">
        <v>92</v>
      </c>
      <c r="F4892" s="42" t="s">
        <v>11469</v>
      </c>
      <c r="G4892" t="s">
        <v>13197</v>
      </c>
    </row>
    <row r="4893" spans="1:7" x14ac:dyDescent="0.3">
      <c r="A4893" s="42" t="s">
        <v>5005</v>
      </c>
      <c r="B4893" s="42" t="s">
        <v>5034</v>
      </c>
      <c r="C4893" s="42" t="s">
        <v>10630</v>
      </c>
      <c r="D4893" s="43" t="s">
        <v>136</v>
      </c>
      <c r="E4893" s="43" t="s">
        <v>92</v>
      </c>
      <c r="F4893" s="42" t="s">
        <v>11469</v>
      </c>
      <c r="G4893" t="s">
        <v>13197</v>
      </c>
    </row>
    <row r="4894" spans="1:7" x14ac:dyDescent="0.3">
      <c r="A4894" s="42" t="s">
        <v>5005</v>
      </c>
      <c r="B4894" s="42" t="s">
        <v>5035</v>
      </c>
      <c r="C4894" s="42" t="s">
        <v>10631</v>
      </c>
      <c r="D4894" s="43" t="s">
        <v>136</v>
      </c>
      <c r="E4894" s="43" t="s">
        <v>92</v>
      </c>
      <c r="F4894" s="42" t="s">
        <v>11469</v>
      </c>
      <c r="G4894" t="s">
        <v>13197</v>
      </c>
    </row>
    <row r="4895" spans="1:7" x14ac:dyDescent="0.3">
      <c r="A4895" s="42" t="s">
        <v>5005</v>
      </c>
      <c r="B4895" s="42" t="s">
        <v>5036</v>
      </c>
      <c r="C4895" s="42" t="s">
        <v>10632</v>
      </c>
      <c r="D4895" s="43" t="s">
        <v>136</v>
      </c>
      <c r="E4895" s="43" t="s">
        <v>92</v>
      </c>
      <c r="F4895" s="42" t="s">
        <v>11469</v>
      </c>
      <c r="G4895" t="s">
        <v>13197</v>
      </c>
    </row>
    <row r="4896" spans="1:7" x14ac:dyDescent="0.3">
      <c r="A4896" s="42" t="s">
        <v>5005</v>
      </c>
      <c r="B4896" s="42" t="s">
        <v>5037</v>
      </c>
      <c r="C4896" s="42" t="s">
        <v>10633</v>
      </c>
      <c r="D4896" s="43" t="s">
        <v>136</v>
      </c>
      <c r="E4896" s="43" t="s">
        <v>92</v>
      </c>
      <c r="F4896" s="42" t="s">
        <v>137</v>
      </c>
      <c r="G4896" t="s">
        <v>13197</v>
      </c>
    </row>
    <row r="4897" spans="1:7" x14ac:dyDescent="0.3">
      <c r="A4897" s="42" t="s">
        <v>5005</v>
      </c>
      <c r="B4897" s="42" t="s">
        <v>5038</v>
      </c>
      <c r="C4897" s="42" t="s">
        <v>10634</v>
      </c>
      <c r="D4897" s="43" t="s">
        <v>136</v>
      </c>
      <c r="E4897" s="43" t="s">
        <v>92</v>
      </c>
      <c r="F4897" s="42" t="s">
        <v>11469</v>
      </c>
      <c r="G4897" t="s">
        <v>13197</v>
      </c>
    </row>
    <row r="4898" spans="1:7" x14ac:dyDescent="0.3">
      <c r="A4898" s="42" t="s">
        <v>5005</v>
      </c>
      <c r="B4898" s="42" t="s">
        <v>5039</v>
      </c>
      <c r="C4898" s="42" t="s">
        <v>10635</v>
      </c>
      <c r="D4898" s="43" t="s">
        <v>136</v>
      </c>
      <c r="E4898" s="43" t="s">
        <v>92</v>
      </c>
      <c r="F4898" s="42" t="s">
        <v>192</v>
      </c>
      <c r="G4898" t="s">
        <v>13196</v>
      </c>
    </row>
    <row r="4899" spans="1:7" x14ac:dyDescent="0.3">
      <c r="A4899" s="42" t="s">
        <v>5005</v>
      </c>
      <c r="B4899" s="42" t="s">
        <v>3889</v>
      </c>
      <c r="C4899" s="42" t="s">
        <v>10636</v>
      </c>
      <c r="D4899" s="43" t="s">
        <v>136</v>
      </c>
      <c r="E4899" s="43" t="s">
        <v>92</v>
      </c>
      <c r="F4899" s="42" t="s">
        <v>11469</v>
      </c>
      <c r="G4899" t="s">
        <v>13197</v>
      </c>
    </row>
    <row r="4900" spans="1:7" x14ac:dyDescent="0.3">
      <c r="A4900" s="42" t="s">
        <v>5005</v>
      </c>
      <c r="B4900" s="42" t="s">
        <v>5040</v>
      </c>
      <c r="C4900" s="42" t="s">
        <v>10637</v>
      </c>
      <c r="D4900" s="43" t="s">
        <v>136</v>
      </c>
      <c r="E4900" s="43" t="s">
        <v>92</v>
      </c>
      <c r="F4900" s="42" t="s">
        <v>11469</v>
      </c>
      <c r="G4900" t="s">
        <v>13197</v>
      </c>
    </row>
    <row r="4901" spans="1:7" x14ac:dyDescent="0.3">
      <c r="A4901" s="42" t="s">
        <v>5005</v>
      </c>
      <c r="B4901" s="42" t="s">
        <v>5041</v>
      </c>
      <c r="C4901" s="42" t="s">
        <v>10638</v>
      </c>
      <c r="D4901" s="43" t="s">
        <v>136</v>
      </c>
      <c r="E4901" s="43" t="s">
        <v>92</v>
      </c>
      <c r="F4901" s="42" t="s">
        <v>11469</v>
      </c>
      <c r="G4901" t="s">
        <v>13197</v>
      </c>
    </row>
    <row r="4902" spans="1:7" x14ac:dyDescent="0.3">
      <c r="A4902" s="42" t="s">
        <v>5005</v>
      </c>
      <c r="B4902" s="42" t="s">
        <v>5042</v>
      </c>
      <c r="C4902" s="42" t="s">
        <v>10639</v>
      </c>
      <c r="D4902" s="43" t="s">
        <v>136</v>
      </c>
      <c r="E4902" s="43" t="s">
        <v>92</v>
      </c>
      <c r="F4902" s="42" t="s">
        <v>192</v>
      </c>
      <c r="G4902" t="s">
        <v>13196</v>
      </c>
    </row>
    <row r="4903" spans="1:7" x14ac:dyDescent="0.3">
      <c r="A4903" s="42" t="s">
        <v>5005</v>
      </c>
      <c r="B4903" s="42" t="s">
        <v>5043</v>
      </c>
      <c r="C4903" s="42" t="s">
        <v>10640</v>
      </c>
      <c r="D4903" s="43" t="s">
        <v>136</v>
      </c>
      <c r="E4903" s="43" t="s">
        <v>92</v>
      </c>
      <c r="F4903" s="42" t="s">
        <v>11469</v>
      </c>
      <c r="G4903" t="s">
        <v>13197</v>
      </c>
    </row>
    <row r="4904" spans="1:7" x14ac:dyDescent="0.3">
      <c r="A4904" s="42" t="s">
        <v>5005</v>
      </c>
      <c r="B4904" s="42" t="s">
        <v>5044</v>
      </c>
      <c r="C4904" s="42" t="s">
        <v>10641</v>
      </c>
      <c r="D4904" s="43" t="s">
        <v>136</v>
      </c>
      <c r="E4904" s="43" t="s">
        <v>92</v>
      </c>
      <c r="F4904" s="42" t="s">
        <v>11469</v>
      </c>
      <c r="G4904" t="s">
        <v>13197</v>
      </c>
    </row>
    <row r="4905" spans="1:7" x14ac:dyDescent="0.3">
      <c r="A4905" s="42" t="s">
        <v>5005</v>
      </c>
      <c r="B4905" s="42" t="s">
        <v>5045</v>
      </c>
      <c r="C4905" s="42" t="s">
        <v>10642</v>
      </c>
      <c r="D4905" s="43" t="s">
        <v>136</v>
      </c>
      <c r="E4905" s="43" t="s">
        <v>92</v>
      </c>
      <c r="F4905" s="42" t="s">
        <v>11469</v>
      </c>
      <c r="G4905" t="s">
        <v>13197</v>
      </c>
    </row>
    <row r="4906" spans="1:7" x14ac:dyDescent="0.3">
      <c r="A4906" s="42" t="s">
        <v>5005</v>
      </c>
      <c r="B4906" s="42" t="s">
        <v>1449</v>
      </c>
      <c r="C4906" s="42" t="s">
        <v>10643</v>
      </c>
      <c r="D4906" s="43" t="s">
        <v>136</v>
      </c>
      <c r="E4906" s="43" t="s">
        <v>92</v>
      </c>
      <c r="F4906" s="42" t="s">
        <v>11469</v>
      </c>
      <c r="G4906" t="s">
        <v>13197</v>
      </c>
    </row>
    <row r="4907" spans="1:7" x14ac:dyDescent="0.3">
      <c r="A4907" s="42" t="s">
        <v>5005</v>
      </c>
      <c r="B4907" s="42" t="s">
        <v>5046</v>
      </c>
      <c r="C4907" s="42" t="s">
        <v>10644</v>
      </c>
      <c r="D4907" s="43" t="s">
        <v>136</v>
      </c>
      <c r="E4907" s="43" t="s">
        <v>92</v>
      </c>
      <c r="F4907" s="42" t="s">
        <v>11469</v>
      </c>
      <c r="G4907" t="s">
        <v>13197</v>
      </c>
    </row>
    <row r="4908" spans="1:7" x14ac:dyDescent="0.3">
      <c r="A4908" s="42" t="s">
        <v>5005</v>
      </c>
      <c r="B4908" s="42" t="s">
        <v>5047</v>
      </c>
      <c r="C4908" s="42" t="s">
        <v>10645</v>
      </c>
      <c r="D4908" s="43" t="s">
        <v>136</v>
      </c>
      <c r="E4908" s="43" t="s">
        <v>92</v>
      </c>
      <c r="F4908" s="42" t="s">
        <v>11469</v>
      </c>
      <c r="G4908" t="s">
        <v>13197</v>
      </c>
    </row>
    <row r="4909" spans="1:7" x14ac:dyDescent="0.3">
      <c r="A4909" s="42" t="s">
        <v>5005</v>
      </c>
      <c r="B4909" s="42" t="s">
        <v>5048</v>
      </c>
      <c r="C4909" s="42" t="s">
        <v>10646</v>
      </c>
      <c r="D4909" s="43" t="s">
        <v>136</v>
      </c>
      <c r="E4909" s="43" t="s">
        <v>92</v>
      </c>
      <c r="F4909" s="42" t="s">
        <v>11469</v>
      </c>
      <c r="G4909" t="s">
        <v>13197</v>
      </c>
    </row>
    <row r="4910" spans="1:7" x14ac:dyDescent="0.3">
      <c r="A4910" s="42" t="s">
        <v>5005</v>
      </c>
      <c r="B4910" s="42" t="s">
        <v>5049</v>
      </c>
      <c r="C4910" s="42" t="s">
        <v>10647</v>
      </c>
      <c r="D4910" s="43" t="s">
        <v>136</v>
      </c>
      <c r="E4910" s="43" t="s">
        <v>92</v>
      </c>
      <c r="F4910" s="42" t="s">
        <v>192</v>
      </c>
      <c r="G4910" t="s">
        <v>13196</v>
      </c>
    </row>
    <row r="4911" spans="1:7" x14ac:dyDescent="0.3">
      <c r="A4911" s="42" t="s">
        <v>5005</v>
      </c>
      <c r="B4911" s="42" t="s">
        <v>5050</v>
      </c>
      <c r="C4911" s="42" t="s">
        <v>10648</v>
      </c>
      <c r="D4911" s="43" t="s">
        <v>136</v>
      </c>
      <c r="E4911" s="43" t="s">
        <v>92</v>
      </c>
      <c r="F4911" s="42" t="s">
        <v>11469</v>
      </c>
      <c r="G4911" t="s">
        <v>13197</v>
      </c>
    </row>
    <row r="4912" spans="1:7" x14ac:dyDescent="0.3">
      <c r="A4912" s="42" t="s">
        <v>5005</v>
      </c>
      <c r="B4912" s="42" t="s">
        <v>5051</v>
      </c>
      <c r="C4912" s="42" t="s">
        <v>10649</v>
      </c>
      <c r="D4912" s="43" t="s">
        <v>136</v>
      </c>
      <c r="E4912" s="43" t="s">
        <v>92</v>
      </c>
      <c r="F4912" s="42" t="s">
        <v>192</v>
      </c>
      <c r="G4912" t="s">
        <v>13196</v>
      </c>
    </row>
    <row r="4913" spans="1:7" x14ac:dyDescent="0.3">
      <c r="A4913" s="42" t="s">
        <v>5005</v>
      </c>
      <c r="B4913" s="42" t="s">
        <v>5052</v>
      </c>
      <c r="C4913" s="42" t="s">
        <v>10650</v>
      </c>
      <c r="D4913" s="43" t="s">
        <v>136</v>
      </c>
      <c r="E4913" s="43" t="s">
        <v>92</v>
      </c>
      <c r="F4913" s="42" t="s">
        <v>11469</v>
      </c>
      <c r="G4913" t="s">
        <v>13197</v>
      </c>
    </row>
    <row r="4914" spans="1:7" x14ac:dyDescent="0.3">
      <c r="A4914" s="42" t="s">
        <v>5005</v>
      </c>
      <c r="B4914" s="42" t="s">
        <v>5053</v>
      </c>
      <c r="C4914" s="42" t="s">
        <v>10651</v>
      </c>
      <c r="D4914" s="43" t="s">
        <v>136</v>
      </c>
      <c r="E4914" s="43" t="s">
        <v>92</v>
      </c>
      <c r="F4914" s="42" t="s">
        <v>11469</v>
      </c>
      <c r="G4914" t="s">
        <v>13197</v>
      </c>
    </row>
    <row r="4915" spans="1:7" x14ac:dyDescent="0.3">
      <c r="A4915" s="42" t="s">
        <v>5005</v>
      </c>
      <c r="B4915" s="42" t="s">
        <v>5054</v>
      </c>
      <c r="C4915" s="42" t="s">
        <v>10652</v>
      </c>
      <c r="D4915" s="43" t="s">
        <v>136</v>
      </c>
      <c r="E4915" s="43" t="s">
        <v>92</v>
      </c>
      <c r="F4915" s="42" t="s">
        <v>11469</v>
      </c>
      <c r="G4915" t="s">
        <v>13198</v>
      </c>
    </row>
    <row r="4916" spans="1:7" x14ac:dyDescent="0.3">
      <c r="A4916" s="42" t="s">
        <v>5005</v>
      </c>
      <c r="B4916" s="42" t="s">
        <v>5055</v>
      </c>
      <c r="C4916" s="42" t="s">
        <v>10653</v>
      </c>
      <c r="D4916" s="43" t="s">
        <v>136</v>
      </c>
      <c r="E4916" s="43" t="s">
        <v>92</v>
      </c>
      <c r="F4916" s="42" t="s">
        <v>11469</v>
      </c>
      <c r="G4916" t="s">
        <v>13197</v>
      </c>
    </row>
    <row r="4917" spans="1:7" x14ac:dyDescent="0.3">
      <c r="A4917" s="42" t="s">
        <v>5005</v>
      </c>
      <c r="B4917" s="42" t="s">
        <v>5056</v>
      </c>
      <c r="C4917" s="42" t="s">
        <v>10654</v>
      </c>
      <c r="D4917" s="43" t="s">
        <v>136</v>
      </c>
      <c r="E4917" s="43" t="s">
        <v>92</v>
      </c>
      <c r="F4917" s="42" t="s">
        <v>11469</v>
      </c>
      <c r="G4917" t="s">
        <v>13197</v>
      </c>
    </row>
    <row r="4918" spans="1:7" x14ac:dyDescent="0.3">
      <c r="A4918" s="42" t="s">
        <v>5005</v>
      </c>
      <c r="B4918" s="42" t="s">
        <v>5057</v>
      </c>
      <c r="C4918" s="42" t="s">
        <v>10655</v>
      </c>
      <c r="D4918" s="43" t="s">
        <v>136</v>
      </c>
      <c r="E4918" s="43" t="s">
        <v>92</v>
      </c>
      <c r="F4918" s="42" t="s">
        <v>11469</v>
      </c>
      <c r="G4918" t="s">
        <v>13197</v>
      </c>
    </row>
    <row r="4919" spans="1:7" x14ac:dyDescent="0.3">
      <c r="A4919" s="42" t="s">
        <v>5005</v>
      </c>
      <c r="B4919" s="42" t="s">
        <v>5058</v>
      </c>
      <c r="C4919" s="42" t="s">
        <v>10656</v>
      </c>
      <c r="D4919" s="43" t="s">
        <v>136</v>
      </c>
      <c r="E4919" s="43" t="s">
        <v>92</v>
      </c>
      <c r="F4919" s="42" t="s">
        <v>11469</v>
      </c>
      <c r="G4919" t="s">
        <v>13197</v>
      </c>
    </row>
    <row r="4920" spans="1:7" x14ac:dyDescent="0.3">
      <c r="A4920" s="42" t="s">
        <v>5005</v>
      </c>
      <c r="B4920" s="42" t="s">
        <v>5059</v>
      </c>
      <c r="C4920" s="42" t="s">
        <v>10657</v>
      </c>
      <c r="D4920" s="43" t="s">
        <v>136</v>
      </c>
      <c r="E4920" s="43" t="s">
        <v>92</v>
      </c>
      <c r="F4920" s="42" t="s">
        <v>11469</v>
      </c>
      <c r="G4920" t="s">
        <v>13197</v>
      </c>
    </row>
    <row r="4921" spans="1:7" x14ac:dyDescent="0.3">
      <c r="A4921" s="42" t="s">
        <v>5005</v>
      </c>
      <c r="B4921" s="42" t="s">
        <v>5060</v>
      </c>
      <c r="C4921" s="42" t="s">
        <v>10658</v>
      </c>
      <c r="D4921" s="43" t="s">
        <v>136</v>
      </c>
      <c r="E4921" s="43" t="s">
        <v>92</v>
      </c>
      <c r="F4921" s="42" t="s">
        <v>11469</v>
      </c>
      <c r="G4921" t="s">
        <v>13197</v>
      </c>
    </row>
    <row r="4922" spans="1:7" x14ac:dyDescent="0.3">
      <c r="A4922" s="42" t="s">
        <v>5005</v>
      </c>
      <c r="B4922" s="42" t="s">
        <v>5061</v>
      </c>
      <c r="C4922" s="42" t="s">
        <v>10659</v>
      </c>
      <c r="D4922" s="43" t="s">
        <v>136</v>
      </c>
      <c r="E4922" s="43" t="s">
        <v>92</v>
      </c>
      <c r="F4922" s="42" t="s">
        <v>11469</v>
      </c>
      <c r="G4922" t="s">
        <v>13197</v>
      </c>
    </row>
    <row r="4923" spans="1:7" x14ac:dyDescent="0.3">
      <c r="A4923" s="42" t="s">
        <v>5005</v>
      </c>
      <c r="B4923" s="42" t="s">
        <v>5062</v>
      </c>
      <c r="C4923" s="42" t="s">
        <v>10660</v>
      </c>
      <c r="D4923" s="43" t="s">
        <v>136</v>
      </c>
      <c r="E4923" s="43" t="s">
        <v>92</v>
      </c>
      <c r="F4923" s="42" t="s">
        <v>11469</v>
      </c>
      <c r="G4923" t="s">
        <v>13197</v>
      </c>
    </row>
    <row r="4924" spans="1:7" x14ac:dyDescent="0.3">
      <c r="A4924" s="42" t="s">
        <v>5005</v>
      </c>
      <c r="B4924" s="42" t="s">
        <v>1173</v>
      </c>
      <c r="C4924" s="42" t="s">
        <v>10661</v>
      </c>
      <c r="D4924" s="43" t="s">
        <v>136</v>
      </c>
      <c r="E4924" s="43" t="s">
        <v>92</v>
      </c>
      <c r="F4924" s="42" t="s">
        <v>192</v>
      </c>
      <c r="G4924" t="s">
        <v>13196</v>
      </c>
    </row>
    <row r="4925" spans="1:7" x14ac:dyDescent="0.3">
      <c r="A4925" s="42" t="s">
        <v>5005</v>
      </c>
      <c r="B4925" s="42" t="s">
        <v>5063</v>
      </c>
      <c r="C4925" s="42" t="s">
        <v>10662</v>
      </c>
      <c r="D4925" s="43" t="s">
        <v>136</v>
      </c>
      <c r="E4925" s="43" t="s">
        <v>92</v>
      </c>
      <c r="F4925" s="42" t="s">
        <v>11469</v>
      </c>
      <c r="G4925" t="s">
        <v>13197</v>
      </c>
    </row>
    <row r="4926" spans="1:7" x14ac:dyDescent="0.3">
      <c r="A4926" s="42" t="s">
        <v>5005</v>
      </c>
      <c r="B4926" s="42" t="s">
        <v>5064</v>
      </c>
      <c r="C4926" s="42" t="s">
        <v>10663</v>
      </c>
      <c r="D4926" s="43" t="s">
        <v>136</v>
      </c>
      <c r="E4926" s="43" t="s">
        <v>92</v>
      </c>
      <c r="F4926" s="42" t="s">
        <v>11469</v>
      </c>
      <c r="G4926" t="s">
        <v>13197</v>
      </c>
    </row>
    <row r="4927" spans="1:7" x14ac:dyDescent="0.3">
      <c r="A4927" s="42" t="s">
        <v>5005</v>
      </c>
      <c r="B4927" s="42" t="s">
        <v>5065</v>
      </c>
      <c r="C4927" s="42" t="s">
        <v>10664</v>
      </c>
      <c r="D4927" s="43" t="s">
        <v>136</v>
      </c>
      <c r="E4927" s="43" t="s">
        <v>92</v>
      </c>
      <c r="F4927" s="42" t="s">
        <v>11469</v>
      </c>
      <c r="G4927" t="s">
        <v>13197</v>
      </c>
    </row>
    <row r="4928" spans="1:7" x14ac:dyDescent="0.3">
      <c r="A4928" s="42" t="s">
        <v>5005</v>
      </c>
      <c r="B4928" s="42" t="s">
        <v>5066</v>
      </c>
      <c r="C4928" s="42" t="s">
        <v>10665</v>
      </c>
      <c r="D4928" s="43" t="s">
        <v>136</v>
      </c>
      <c r="E4928" s="43" t="s">
        <v>92</v>
      </c>
      <c r="F4928" s="42" t="s">
        <v>192</v>
      </c>
      <c r="G4928" t="s">
        <v>13196</v>
      </c>
    </row>
    <row r="4929" spans="1:7" x14ac:dyDescent="0.3">
      <c r="A4929" s="42" t="s">
        <v>5005</v>
      </c>
      <c r="B4929" s="42" t="s">
        <v>5067</v>
      </c>
      <c r="C4929" s="42" t="s">
        <v>10666</v>
      </c>
      <c r="D4929" s="43" t="s">
        <v>136</v>
      </c>
      <c r="E4929" s="43" t="s">
        <v>92</v>
      </c>
      <c r="F4929" s="42" t="s">
        <v>11469</v>
      </c>
      <c r="G4929" t="s">
        <v>13197</v>
      </c>
    </row>
    <row r="4930" spans="1:7" x14ac:dyDescent="0.3">
      <c r="A4930" s="42" t="s">
        <v>5005</v>
      </c>
      <c r="B4930" s="42" t="s">
        <v>5068</v>
      </c>
      <c r="C4930" s="42" t="s">
        <v>10667</v>
      </c>
      <c r="D4930" s="43" t="s">
        <v>136</v>
      </c>
      <c r="E4930" s="43" t="s">
        <v>92</v>
      </c>
      <c r="F4930" s="42" t="s">
        <v>11469</v>
      </c>
      <c r="G4930" t="s">
        <v>13197</v>
      </c>
    </row>
    <row r="4931" spans="1:7" x14ac:dyDescent="0.3">
      <c r="A4931" s="42" t="s">
        <v>5005</v>
      </c>
      <c r="B4931" s="42" t="s">
        <v>5069</v>
      </c>
      <c r="C4931" s="42" t="s">
        <v>10668</v>
      </c>
      <c r="D4931" s="43" t="s">
        <v>136</v>
      </c>
      <c r="E4931" s="43" t="s">
        <v>92</v>
      </c>
      <c r="F4931" s="42" t="s">
        <v>11469</v>
      </c>
      <c r="G4931" t="s">
        <v>13197</v>
      </c>
    </row>
    <row r="4932" spans="1:7" x14ac:dyDescent="0.3">
      <c r="A4932" s="42" t="s">
        <v>5005</v>
      </c>
      <c r="B4932" s="42" t="s">
        <v>5070</v>
      </c>
      <c r="C4932" s="42" t="s">
        <v>10669</v>
      </c>
      <c r="D4932" s="43" t="s">
        <v>136</v>
      </c>
      <c r="E4932" s="43" t="s">
        <v>92</v>
      </c>
      <c r="F4932" s="42" t="s">
        <v>192</v>
      </c>
      <c r="G4932" t="s">
        <v>13196</v>
      </c>
    </row>
    <row r="4933" spans="1:7" x14ac:dyDescent="0.3">
      <c r="A4933" s="42" t="s">
        <v>5005</v>
      </c>
      <c r="B4933" s="42" t="s">
        <v>5071</v>
      </c>
      <c r="C4933" s="42" t="s">
        <v>10670</v>
      </c>
      <c r="D4933" s="43" t="s">
        <v>136</v>
      </c>
      <c r="E4933" s="43" t="s">
        <v>92</v>
      </c>
      <c r="F4933" s="42" t="s">
        <v>11469</v>
      </c>
      <c r="G4933" t="s">
        <v>13197</v>
      </c>
    </row>
    <row r="4934" spans="1:7" x14ac:dyDescent="0.3">
      <c r="A4934" s="42" t="s">
        <v>5005</v>
      </c>
      <c r="B4934" s="42" t="s">
        <v>5072</v>
      </c>
      <c r="C4934" s="42" t="s">
        <v>10671</v>
      </c>
      <c r="D4934" s="43" t="s">
        <v>136</v>
      </c>
      <c r="E4934" s="43" t="s">
        <v>92</v>
      </c>
      <c r="F4934" s="42" t="s">
        <v>11469</v>
      </c>
      <c r="G4934" t="s">
        <v>13197</v>
      </c>
    </row>
    <row r="4935" spans="1:7" x14ac:dyDescent="0.3">
      <c r="A4935" s="42" t="s">
        <v>5005</v>
      </c>
      <c r="B4935" s="42" t="s">
        <v>5073</v>
      </c>
      <c r="C4935" s="42" t="s">
        <v>10672</v>
      </c>
      <c r="D4935" s="43" t="s">
        <v>136</v>
      </c>
      <c r="E4935" s="43" t="s">
        <v>92</v>
      </c>
      <c r="F4935" s="42" t="s">
        <v>11469</v>
      </c>
      <c r="G4935" t="s">
        <v>13197</v>
      </c>
    </row>
    <row r="4936" spans="1:7" x14ac:dyDescent="0.3">
      <c r="A4936" s="42" t="s">
        <v>5005</v>
      </c>
      <c r="B4936" s="42" t="s">
        <v>5074</v>
      </c>
      <c r="C4936" s="42" t="s">
        <v>10673</v>
      </c>
      <c r="D4936" s="43" t="s">
        <v>136</v>
      </c>
      <c r="E4936" s="43" t="s">
        <v>92</v>
      </c>
      <c r="F4936" s="42" t="s">
        <v>11469</v>
      </c>
      <c r="G4936" t="s">
        <v>13197</v>
      </c>
    </row>
    <row r="4937" spans="1:7" x14ac:dyDescent="0.3">
      <c r="A4937" s="42" t="s">
        <v>5005</v>
      </c>
      <c r="B4937" s="42" t="s">
        <v>5075</v>
      </c>
      <c r="C4937" s="42" t="s">
        <v>10674</v>
      </c>
      <c r="D4937" s="43" t="s">
        <v>136</v>
      </c>
      <c r="E4937" s="43" t="s">
        <v>92</v>
      </c>
      <c r="F4937" s="42" t="s">
        <v>11469</v>
      </c>
      <c r="G4937" t="s">
        <v>13197</v>
      </c>
    </row>
    <row r="4938" spans="1:7" x14ac:dyDescent="0.3">
      <c r="A4938" s="42" t="s">
        <v>5005</v>
      </c>
      <c r="B4938" s="42" t="s">
        <v>5076</v>
      </c>
      <c r="C4938" s="42" t="s">
        <v>10675</v>
      </c>
      <c r="D4938" s="43" t="s">
        <v>136</v>
      </c>
      <c r="E4938" s="43" t="s">
        <v>92</v>
      </c>
      <c r="F4938" s="42" t="s">
        <v>11469</v>
      </c>
      <c r="G4938" t="s">
        <v>13197</v>
      </c>
    </row>
    <row r="4939" spans="1:7" x14ac:dyDescent="0.3">
      <c r="A4939" s="42" t="s">
        <v>5005</v>
      </c>
      <c r="B4939" s="42" t="s">
        <v>5077</v>
      </c>
      <c r="C4939" s="42" t="s">
        <v>10676</v>
      </c>
      <c r="D4939" s="43" t="s">
        <v>136</v>
      </c>
      <c r="E4939" s="43" t="s">
        <v>92</v>
      </c>
      <c r="F4939" s="42" t="s">
        <v>192</v>
      </c>
      <c r="G4939" t="s">
        <v>13196</v>
      </c>
    </row>
    <row r="4940" spans="1:7" x14ac:dyDescent="0.3">
      <c r="A4940" s="42" t="s">
        <v>5005</v>
      </c>
      <c r="B4940" s="42" t="s">
        <v>5078</v>
      </c>
      <c r="C4940" s="42" t="s">
        <v>10677</v>
      </c>
      <c r="D4940" s="43" t="s">
        <v>136</v>
      </c>
      <c r="E4940" s="43" t="s">
        <v>92</v>
      </c>
      <c r="F4940" s="42" t="s">
        <v>192</v>
      </c>
      <c r="G4940" t="s">
        <v>13196</v>
      </c>
    </row>
    <row r="4941" spans="1:7" x14ac:dyDescent="0.3">
      <c r="A4941" s="42" t="s">
        <v>5005</v>
      </c>
      <c r="B4941" s="42" t="s">
        <v>5079</v>
      </c>
      <c r="C4941" s="42" t="s">
        <v>10678</v>
      </c>
      <c r="D4941" s="43" t="s">
        <v>136</v>
      </c>
      <c r="E4941" s="43" t="s">
        <v>92</v>
      </c>
      <c r="F4941" s="42" t="s">
        <v>11469</v>
      </c>
      <c r="G4941" t="s">
        <v>13197</v>
      </c>
    </row>
    <row r="4942" spans="1:7" x14ac:dyDescent="0.3">
      <c r="A4942" s="42" t="s">
        <v>5005</v>
      </c>
      <c r="B4942" s="42" t="s">
        <v>5080</v>
      </c>
      <c r="C4942" s="42" t="s">
        <v>10679</v>
      </c>
      <c r="D4942" s="43" t="s">
        <v>136</v>
      </c>
      <c r="E4942" s="43" t="s">
        <v>92</v>
      </c>
      <c r="F4942" s="42" t="s">
        <v>11469</v>
      </c>
      <c r="G4942" t="s">
        <v>13197</v>
      </c>
    </row>
    <row r="4943" spans="1:7" x14ac:dyDescent="0.3">
      <c r="A4943" s="42" t="s">
        <v>5005</v>
      </c>
      <c r="B4943" s="42" t="s">
        <v>5081</v>
      </c>
      <c r="C4943" s="42" t="s">
        <v>10680</v>
      </c>
      <c r="D4943" s="43" t="s">
        <v>136</v>
      </c>
      <c r="E4943" s="43" t="s">
        <v>92</v>
      </c>
      <c r="F4943" s="42" t="s">
        <v>11469</v>
      </c>
      <c r="G4943" t="s">
        <v>13197</v>
      </c>
    </row>
    <row r="4944" spans="1:7" x14ac:dyDescent="0.3">
      <c r="A4944" s="42" t="s">
        <v>5005</v>
      </c>
      <c r="B4944" s="42" t="s">
        <v>5082</v>
      </c>
      <c r="C4944" s="42" t="s">
        <v>10681</v>
      </c>
      <c r="D4944" s="43" t="s">
        <v>136</v>
      </c>
      <c r="E4944" s="43" t="s">
        <v>92</v>
      </c>
      <c r="F4944" s="42" t="s">
        <v>11469</v>
      </c>
      <c r="G4944" t="s">
        <v>13197</v>
      </c>
    </row>
    <row r="4945" spans="1:7" x14ac:dyDescent="0.3">
      <c r="A4945" s="42" t="s">
        <v>5005</v>
      </c>
      <c r="B4945" s="42" t="s">
        <v>5083</v>
      </c>
      <c r="C4945" s="42" t="s">
        <v>10682</v>
      </c>
      <c r="D4945" s="43" t="s">
        <v>136</v>
      </c>
      <c r="E4945" s="43" t="s">
        <v>92</v>
      </c>
      <c r="F4945" s="42" t="s">
        <v>11469</v>
      </c>
      <c r="G4945" t="s">
        <v>13198</v>
      </c>
    </row>
    <row r="4946" spans="1:7" x14ac:dyDescent="0.3">
      <c r="A4946" s="42" t="s">
        <v>5005</v>
      </c>
      <c r="B4946" s="42" t="s">
        <v>5084</v>
      </c>
      <c r="C4946" s="42" t="s">
        <v>10683</v>
      </c>
      <c r="D4946" s="43" t="s">
        <v>136</v>
      </c>
      <c r="E4946" s="43" t="s">
        <v>92</v>
      </c>
      <c r="F4946" s="42" t="s">
        <v>11469</v>
      </c>
      <c r="G4946" t="s">
        <v>13197</v>
      </c>
    </row>
    <row r="4947" spans="1:7" x14ac:dyDescent="0.3">
      <c r="A4947" s="42" t="s">
        <v>5005</v>
      </c>
      <c r="B4947" s="42" t="s">
        <v>5085</v>
      </c>
      <c r="C4947" s="42" t="s">
        <v>10684</v>
      </c>
      <c r="D4947" s="43" t="s">
        <v>136</v>
      </c>
      <c r="E4947" s="43" t="s">
        <v>92</v>
      </c>
      <c r="F4947" s="42" t="s">
        <v>11469</v>
      </c>
      <c r="G4947" t="s">
        <v>13197</v>
      </c>
    </row>
    <row r="4948" spans="1:7" x14ac:dyDescent="0.3">
      <c r="A4948" s="42" t="s">
        <v>5005</v>
      </c>
      <c r="B4948" s="42" t="s">
        <v>5086</v>
      </c>
      <c r="C4948" s="42" t="s">
        <v>10685</v>
      </c>
      <c r="D4948" s="43" t="s">
        <v>136</v>
      </c>
      <c r="E4948" s="43" t="s">
        <v>92</v>
      </c>
      <c r="F4948" s="42" t="s">
        <v>192</v>
      </c>
      <c r="G4948" t="s">
        <v>13196</v>
      </c>
    </row>
    <row r="4949" spans="1:7" x14ac:dyDescent="0.3">
      <c r="A4949" s="42" t="s">
        <v>5005</v>
      </c>
      <c r="B4949" s="42" t="s">
        <v>5087</v>
      </c>
      <c r="C4949" s="42" t="s">
        <v>10686</v>
      </c>
      <c r="D4949" s="43" t="s">
        <v>136</v>
      </c>
      <c r="E4949" s="43" t="s">
        <v>92</v>
      </c>
      <c r="F4949" s="42" t="s">
        <v>11469</v>
      </c>
      <c r="G4949" t="s">
        <v>13197</v>
      </c>
    </row>
    <row r="4950" spans="1:7" x14ac:dyDescent="0.3">
      <c r="A4950" s="42" t="s">
        <v>5005</v>
      </c>
      <c r="B4950" s="42" t="s">
        <v>5088</v>
      </c>
      <c r="C4950" s="42" t="s">
        <v>10687</v>
      </c>
      <c r="D4950" s="43" t="s">
        <v>136</v>
      </c>
      <c r="E4950" s="43" t="s">
        <v>92</v>
      </c>
      <c r="F4950" s="42" t="s">
        <v>11469</v>
      </c>
      <c r="G4950" t="s">
        <v>13197</v>
      </c>
    </row>
    <row r="4951" spans="1:7" x14ac:dyDescent="0.3">
      <c r="A4951" s="42" t="s">
        <v>5005</v>
      </c>
      <c r="B4951" s="42" t="s">
        <v>5089</v>
      </c>
      <c r="C4951" s="42" t="s">
        <v>10688</v>
      </c>
      <c r="D4951" s="43" t="s">
        <v>136</v>
      </c>
      <c r="E4951" s="43" t="s">
        <v>92</v>
      </c>
      <c r="F4951" s="42" t="s">
        <v>11469</v>
      </c>
      <c r="G4951" t="s">
        <v>13197</v>
      </c>
    </row>
    <row r="4952" spans="1:7" x14ac:dyDescent="0.3">
      <c r="A4952" s="42" t="s">
        <v>5005</v>
      </c>
      <c r="B4952" s="42" t="s">
        <v>5090</v>
      </c>
      <c r="C4952" s="42" t="s">
        <v>10689</v>
      </c>
      <c r="D4952" s="43" t="s">
        <v>136</v>
      </c>
      <c r="E4952" s="43" t="s">
        <v>92</v>
      </c>
      <c r="F4952" s="42" t="s">
        <v>192</v>
      </c>
      <c r="G4952" t="s">
        <v>13196</v>
      </c>
    </row>
    <row r="4953" spans="1:7" x14ac:dyDescent="0.3">
      <c r="A4953" s="42" t="s">
        <v>5005</v>
      </c>
      <c r="B4953" s="42" t="s">
        <v>5091</v>
      </c>
      <c r="C4953" s="42" t="s">
        <v>10690</v>
      </c>
      <c r="D4953" s="43" t="s">
        <v>136</v>
      </c>
      <c r="E4953" s="43" t="s">
        <v>92</v>
      </c>
      <c r="F4953" s="42" t="s">
        <v>11469</v>
      </c>
      <c r="G4953" t="s">
        <v>13197</v>
      </c>
    </row>
    <row r="4954" spans="1:7" x14ac:dyDescent="0.3">
      <c r="A4954" s="42" t="s">
        <v>5005</v>
      </c>
      <c r="B4954" s="42" t="s">
        <v>5092</v>
      </c>
      <c r="C4954" s="42" t="s">
        <v>10691</v>
      </c>
      <c r="D4954" s="43" t="s">
        <v>136</v>
      </c>
      <c r="E4954" s="43" t="s">
        <v>92</v>
      </c>
      <c r="F4954" s="42" t="s">
        <v>11469</v>
      </c>
      <c r="G4954" t="s">
        <v>13197</v>
      </c>
    </row>
    <row r="4955" spans="1:7" x14ac:dyDescent="0.3">
      <c r="A4955" s="42" t="s">
        <v>5005</v>
      </c>
      <c r="B4955" s="42" t="s">
        <v>5093</v>
      </c>
      <c r="C4955" s="42" t="s">
        <v>10692</v>
      </c>
      <c r="D4955" s="43" t="s">
        <v>136</v>
      </c>
      <c r="E4955" s="43" t="s">
        <v>92</v>
      </c>
      <c r="F4955" s="42" t="s">
        <v>192</v>
      </c>
      <c r="G4955" t="s">
        <v>13196</v>
      </c>
    </row>
    <row r="4956" spans="1:7" x14ac:dyDescent="0.3">
      <c r="A4956" s="42" t="s">
        <v>5005</v>
      </c>
      <c r="B4956" s="42" t="s">
        <v>5094</v>
      </c>
      <c r="C4956" s="42" t="s">
        <v>10693</v>
      </c>
      <c r="D4956" s="43" t="s">
        <v>136</v>
      </c>
      <c r="E4956" s="43" t="s">
        <v>92</v>
      </c>
      <c r="F4956" s="42" t="s">
        <v>11469</v>
      </c>
      <c r="G4956" t="s">
        <v>13197</v>
      </c>
    </row>
    <row r="4957" spans="1:7" x14ac:dyDescent="0.3">
      <c r="A4957" s="42" t="s">
        <v>5005</v>
      </c>
      <c r="B4957" s="42" t="s">
        <v>5095</v>
      </c>
      <c r="C4957" s="42" t="s">
        <v>10694</v>
      </c>
      <c r="D4957" s="43" t="s">
        <v>136</v>
      </c>
      <c r="E4957" s="43" t="s">
        <v>92</v>
      </c>
      <c r="F4957" s="42" t="s">
        <v>11469</v>
      </c>
      <c r="G4957" t="s">
        <v>13197</v>
      </c>
    </row>
    <row r="4958" spans="1:7" x14ac:dyDescent="0.3">
      <c r="A4958" s="42" t="s">
        <v>5005</v>
      </c>
      <c r="B4958" s="42" t="s">
        <v>5096</v>
      </c>
      <c r="C4958" s="42" t="s">
        <v>10695</v>
      </c>
      <c r="D4958" s="43" t="s">
        <v>136</v>
      </c>
      <c r="E4958" s="43" t="s">
        <v>92</v>
      </c>
      <c r="F4958" s="42" t="s">
        <v>11469</v>
      </c>
      <c r="G4958" t="s">
        <v>13197</v>
      </c>
    </row>
    <row r="4959" spans="1:7" x14ac:dyDescent="0.3">
      <c r="A4959" s="42" t="s">
        <v>5005</v>
      </c>
      <c r="B4959" s="42" t="s">
        <v>5097</v>
      </c>
      <c r="C4959" s="42" t="s">
        <v>10696</v>
      </c>
      <c r="D4959" s="43" t="s">
        <v>136</v>
      </c>
      <c r="E4959" s="43" t="s">
        <v>92</v>
      </c>
      <c r="F4959" s="42" t="s">
        <v>11469</v>
      </c>
      <c r="G4959" t="s">
        <v>13197</v>
      </c>
    </row>
    <row r="4960" spans="1:7" x14ac:dyDescent="0.3">
      <c r="A4960" s="42" t="s">
        <v>5005</v>
      </c>
      <c r="B4960" s="42" t="s">
        <v>5098</v>
      </c>
      <c r="C4960" s="42" t="s">
        <v>10697</v>
      </c>
      <c r="D4960" s="43" t="s">
        <v>136</v>
      </c>
      <c r="E4960" s="43" t="s">
        <v>92</v>
      </c>
      <c r="F4960" s="42" t="s">
        <v>11469</v>
      </c>
      <c r="G4960" t="s">
        <v>13197</v>
      </c>
    </row>
    <row r="4961" spans="1:7" x14ac:dyDescent="0.3">
      <c r="A4961" s="42" t="s">
        <v>5005</v>
      </c>
      <c r="B4961" s="42" t="s">
        <v>5099</v>
      </c>
      <c r="C4961" s="42" t="s">
        <v>10698</v>
      </c>
      <c r="D4961" s="43" t="s">
        <v>136</v>
      </c>
      <c r="E4961" s="43" t="s">
        <v>92</v>
      </c>
      <c r="F4961" s="42" t="s">
        <v>11469</v>
      </c>
      <c r="G4961" t="s">
        <v>13197</v>
      </c>
    </row>
    <row r="4962" spans="1:7" x14ac:dyDescent="0.3">
      <c r="A4962" s="42" t="s">
        <v>5005</v>
      </c>
      <c r="B4962" s="42" t="s">
        <v>5100</v>
      </c>
      <c r="C4962" s="42" t="s">
        <v>10699</v>
      </c>
      <c r="D4962" s="43" t="s">
        <v>136</v>
      </c>
      <c r="E4962" s="43" t="s">
        <v>92</v>
      </c>
      <c r="F4962" s="42" t="s">
        <v>11469</v>
      </c>
      <c r="G4962" t="s">
        <v>13197</v>
      </c>
    </row>
    <row r="4963" spans="1:7" x14ac:dyDescent="0.3">
      <c r="A4963" s="42" t="s">
        <v>5005</v>
      </c>
      <c r="B4963" s="42" t="s">
        <v>5101</v>
      </c>
      <c r="C4963" s="42" t="s">
        <v>10700</v>
      </c>
      <c r="D4963" s="43" t="s">
        <v>136</v>
      </c>
      <c r="E4963" s="43" t="s">
        <v>92</v>
      </c>
      <c r="F4963" s="42" t="s">
        <v>11469</v>
      </c>
      <c r="G4963" t="s">
        <v>13197</v>
      </c>
    </row>
    <row r="4964" spans="1:7" x14ac:dyDescent="0.3">
      <c r="A4964" s="42" t="s">
        <v>5005</v>
      </c>
      <c r="B4964" s="42" t="s">
        <v>5102</v>
      </c>
      <c r="C4964" s="42" t="s">
        <v>10701</v>
      </c>
      <c r="D4964" s="43" t="s">
        <v>136</v>
      </c>
      <c r="E4964" s="43" t="s">
        <v>92</v>
      </c>
      <c r="F4964" s="42" t="s">
        <v>11469</v>
      </c>
      <c r="G4964" t="s">
        <v>13197</v>
      </c>
    </row>
    <row r="4965" spans="1:7" x14ac:dyDescent="0.3">
      <c r="A4965" s="42" t="s">
        <v>5005</v>
      </c>
      <c r="B4965" s="42" t="s">
        <v>5103</v>
      </c>
      <c r="C4965" s="42" t="s">
        <v>10702</v>
      </c>
      <c r="D4965" s="43" t="s">
        <v>136</v>
      </c>
      <c r="E4965" s="43" t="s">
        <v>92</v>
      </c>
      <c r="F4965" s="42" t="s">
        <v>11469</v>
      </c>
      <c r="G4965" t="s">
        <v>13197</v>
      </c>
    </row>
    <row r="4966" spans="1:7" x14ac:dyDescent="0.3">
      <c r="A4966" s="42" t="s">
        <v>5005</v>
      </c>
      <c r="B4966" s="42" t="s">
        <v>5104</v>
      </c>
      <c r="C4966" s="42" t="s">
        <v>10703</v>
      </c>
      <c r="D4966" s="43" t="s">
        <v>136</v>
      </c>
      <c r="E4966" s="43" t="s">
        <v>92</v>
      </c>
      <c r="F4966" s="42" t="s">
        <v>11469</v>
      </c>
      <c r="G4966" t="s">
        <v>13197</v>
      </c>
    </row>
    <row r="4967" spans="1:7" x14ac:dyDescent="0.3">
      <c r="A4967" s="42" t="s">
        <v>5005</v>
      </c>
      <c r="B4967" s="42" t="s">
        <v>5105</v>
      </c>
      <c r="C4967" s="42" t="s">
        <v>10704</v>
      </c>
      <c r="D4967" s="43" t="s">
        <v>136</v>
      </c>
      <c r="E4967" s="43" t="s">
        <v>92</v>
      </c>
      <c r="F4967" s="42" t="s">
        <v>192</v>
      </c>
      <c r="G4967" t="s">
        <v>13196</v>
      </c>
    </row>
    <row r="4968" spans="1:7" x14ac:dyDescent="0.3">
      <c r="A4968" s="42" t="s">
        <v>5005</v>
      </c>
      <c r="B4968" s="42" t="s">
        <v>5106</v>
      </c>
      <c r="C4968" s="42" t="s">
        <v>10705</v>
      </c>
      <c r="D4968" s="43" t="s">
        <v>136</v>
      </c>
      <c r="E4968" s="43" t="s">
        <v>92</v>
      </c>
      <c r="F4968" s="42" t="s">
        <v>11469</v>
      </c>
      <c r="G4968" t="s">
        <v>13197</v>
      </c>
    </row>
    <row r="4969" spans="1:7" x14ac:dyDescent="0.3">
      <c r="A4969" s="42" t="s">
        <v>5005</v>
      </c>
      <c r="B4969" s="42" t="s">
        <v>5107</v>
      </c>
      <c r="C4969" s="42" t="s">
        <v>10706</v>
      </c>
      <c r="D4969" s="43" t="s">
        <v>136</v>
      </c>
      <c r="E4969" s="43" t="s">
        <v>92</v>
      </c>
      <c r="F4969" s="42" t="s">
        <v>11469</v>
      </c>
      <c r="G4969" t="s">
        <v>13197</v>
      </c>
    </row>
    <row r="4970" spans="1:7" x14ac:dyDescent="0.3">
      <c r="A4970" s="42" t="s">
        <v>5005</v>
      </c>
      <c r="B4970" s="42" t="s">
        <v>5108</v>
      </c>
      <c r="C4970" s="42" t="s">
        <v>10707</v>
      </c>
      <c r="D4970" s="43" t="s">
        <v>136</v>
      </c>
      <c r="E4970" s="43" t="s">
        <v>92</v>
      </c>
      <c r="F4970" s="42" t="s">
        <v>11469</v>
      </c>
      <c r="G4970" t="s">
        <v>13197</v>
      </c>
    </row>
    <row r="4971" spans="1:7" x14ac:dyDescent="0.3">
      <c r="A4971" s="42" t="s">
        <v>5005</v>
      </c>
      <c r="B4971" s="42" t="s">
        <v>5109</v>
      </c>
      <c r="C4971" s="42" t="s">
        <v>10708</v>
      </c>
      <c r="D4971" s="43" t="s">
        <v>136</v>
      </c>
      <c r="E4971" s="43" t="s">
        <v>92</v>
      </c>
      <c r="F4971" s="42" t="s">
        <v>11469</v>
      </c>
      <c r="G4971" t="s">
        <v>13197</v>
      </c>
    </row>
    <row r="4972" spans="1:7" x14ac:dyDescent="0.3">
      <c r="A4972" s="42" t="s">
        <v>5005</v>
      </c>
      <c r="B4972" s="42" t="s">
        <v>5110</v>
      </c>
      <c r="C4972" s="42" t="s">
        <v>10709</v>
      </c>
      <c r="D4972" s="43" t="s">
        <v>136</v>
      </c>
      <c r="E4972" s="43" t="s">
        <v>92</v>
      </c>
      <c r="F4972" s="42" t="s">
        <v>11469</v>
      </c>
      <c r="G4972" t="s">
        <v>13197</v>
      </c>
    </row>
    <row r="4973" spans="1:7" x14ac:dyDescent="0.3">
      <c r="A4973" s="42" t="s">
        <v>5005</v>
      </c>
      <c r="B4973" s="42" t="s">
        <v>5111</v>
      </c>
      <c r="C4973" s="42" t="s">
        <v>10710</v>
      </c>
      <c r="D4973" s="43" t="s">
        <v>136</v>
      </c>
      <c r="E4973" s="43" t="s">
        <v>92</v>
      </c>
      <c r="F4973" s="42" t="s">
        <v>11469</v>
      </c>
      <c r="G4973" t="s">
        <v>13197</v>
      </c>
    </row>
    <row r="4974" spans="1:7" x14ac:dyDescent="0.3">
      <c r="A4974" s="42" t="s">
        <v>5005</v>
      </c>
      <c r="B4974" s="42" t="s">
        <v>5112</v>
      </c>
      <c r="C4974" s="42" t="s">
        <v>10711</v>
      </c>
      <c r="D4974" s="43" t="s">
        <v>136</v>
      </c>
      <c r="E4974" s="43" t="s">
        <v>92</v>
      </c>
      <c r="F4974" s="42" t="s">
        <v>11469</v>
      </c>
      <c r="G4974" t="s">
        <v>13197</v>
      </c>
    </row>
    <row r="4975" spans="1:7" x14ac:dyDescent="0.3">
      <c r="A4975" s="42" t="s">
        <v>5005</v>
      </c>
      <c r="B4975" s="42" t="s">
        <v>5113</v>
      </c>
      <c r="C4975" s="42" t="s">
        <v>10712</v>
      </c>
      <c r="D4975" s="43" t="s">
        <v>136</v>
      </c>
      <c r="E4975" s="43" t="s">
        <v>92</v>
      </c>
      <c r="F4975" s="42" t="s">
        <v>11469</v>
      </c>
      <c r="G4975" t="s">
        <v>13197</v>
      </c>
    </row>
    <row r="4976" spans="1:7" x14ac:dyDescent="0.3">
      <c r="A4976" s="42" t="s">
        <v>5005</v>
      </c>
      <c r="B4976" s="42" t="s">
        <v>5114</v>
      </c>
      <c r="C4976" s="42" t="s">
        <v>10713</v>
      </c>
      <c r="D4976" s="43" t="s">
        <v>136</v>
      </c>
      <c r="E4976" s="43" t="s">
        <v>92</v>
      </c>
      <c r="F4976" s="42" t="s">
        <v>11469</v>
      </c>
      <c r="G4976" t="s">
        <v>13197</v>
      </c>
    </row>
    <row r="4977" spans="1:7" x14ac:dyDescent="0.3">
      <c r="A4977" s="42" t="s">
        <v>5005</v>
      </c>
      <c r="B4977" s="42" t="s">
        <v>5115</v>
      </c>
      <c r="C4977" s="42" t="s">
        <v>10714</v>
      </c>
      <c r="D4977" s="43" t="s">
        <v>136</v>
      </c>
      <c r="E4977" s="43" t="s">
        <v>92</v>
      </c>
      <c r="F4977" s="42" t="s">
        <v>11469</v>
      </c>
      <c r="G4977" t="s">
        <v>13197</v>
      </c>
    </row>
    <row r="4978" spans="1:7" x14ac:dyDescent="0.3">
      <c r="A4978" s="42" t="s">
        <v>5005</v>
      </c>
      <c r="B4978" s="42" t="s">
        <v>5116</v>
      </c>
      <c r="C4978" s="42" t="s">
        <v>10715</v>
      </c>
      <c r="D4978" s="43" t="s">
        <v>136</v>
      </c>
      <c r="E4978" s="43" t="s">
        <v>92</v>
      </c>
      <c r="F4978" s="42" t="s">
        <v>11469</v>
      </c>
      <c r="G4978" t="s">
        <v>13197</v>
      </c>
    </row>
    <row r="4979" spans="1:7" x14ac:dyDescent="0.3">
      <c r="A4979" s="42" t="s">
        <v>5005</v>
      </c>
      <c r="B4979" s="42" t="s">
        <v>5117</v>
      </c>
      <c r="C4979" s="42" t="s">
        <v>10716</v>
      </c>
      <c r="D4979" s="43" t="s">
        <v>136</v>
      </c>
      <c r="E4979" s="43" t="s">
        <v>92</v>
      </c>
      <c r="F4979" s="42" t="s">
        <v>11469</v>
      </c>
      <c r="G4979" t="s">
        <v>13197</v>
      </c>
    </row>
    <row r="4980" spans="1:7" x14ac:dyDescent="0.3">
      <c r="A4980" s="42" t="s">
        <v>5005</v>
      </c>
      <c r="B4980" s="42" t="s">
        <v>5118</v>
      </c>
      <c r="C4980" s="42" t="s">
        <v>10717</v>
      </c>
      <c r="D4980" s="43" t="s">
        <v>136</v>
      </c>
      <c r="E4980" s="43" t="s">
        <v>92</v>
      </c>
      <c r="F4980" s="42" t="s">
        <v>11469</v>
      </c>
      <c r="G4980" t="s">
        <v>13197</v>
      </c>
    </row>
    <row r="4981" spans="1:7" x14ac:dyDescent="0.3">
      <c r="A4981" s="42" t="s">
        <v>5005</v>
      </c>
      <c r="B4981" s="42" t="s">
        <v>5119</v>
      </c>
      <c r="C4981" s="42" t="s">
        <v>10718</v>
      </c>
      <c r="D4981" s="43" t="s">
        <v>136</v>
      </c>
      <c r="E4981" s="43" t="s">
        <v>92</v>
      </c>
      <c r="F4981" s="42" t="s">
        <v>11469</v>
      </c>
      <c r="G4981" t="s">
        <v>13197</v>
      </c>
    </row>
    <row r="4982" spans="1:7" x14ac:dyDescent="0.3">
      <c r="A4982" s="42" t="s">
        <v>5005</v>
      </c>
      <c r="B4982" s="42" t="s">
        <v>5120</v>
      </c>
      <c r="C4982" s="42" t="s">
        <v>10719</v>
      </c>
      <c r="D4982" s="43" t="s">
        <v>136</v>
      </c>
      <c r="E4982" s="43" t="s">
        <v>92</v>
      </c>
      <c r="F4982" s="42" t="s">
        <v>11469</v>
      </c>
      <c r="G4982" t="s">
        <v>13197</v>
      </c>
    </row>
    <row r="4983" spans="1:7" x14ac:dyDescent="0.3">
      <c r="A4983" s="42" t="s">
        <v>5005</v>
      </c>
      <c r="B4983" s="42" t="s">
        <v>5121</v>
      </c>
      <c r="C4983" s="42" t="s">
        <v>10720</v>
      </c>
      <c r="D4983" s="43" t="s">
        <v>136</v>
      </c>
      <c r="E4983" s="43" t="s">
        <v>92</v>
      </c>
      <c r="F4983" s="42" t="s">
        <v>11469</v>
      </c>
      <c r="G4983" t="s">
        <v>13197</v>
      </c>
    </row>
    <row r="4984" spans="1:7" x14ac:dyDescent="0.3">
      <c r="A4984" s="42" t="s">
        <v>5005</v>
      </c>
      <c r="B4984" s="42" t="s">
        <v>5122</v>
      </c>
      <c r="C4984" s="42" t="s">
        <v>10721</v>
      </c>
      <c r="D4984" s="43" t="s">
        <v>136</v>
      </c>
      <c r="E4984" s="43" t="s">
        <v>92</v>
      </c>
      <c r="F4984" s="42" t="s">
        <v>137</v>
      </c>
      <c r="G4984" t="s">
        <v>13197</v>
      </c>
    </row>
    <row r="4985" spans="1:7" x14ac:dyDescent="0.3">
      <c r="A4985" s="42" t="s">
        <v>5005</v>
      </c>
      <c r="B4985" s="42" t="s">
        <v>5123</v>
      </c>
      <c r="C4985" s="42" t="s">
        <v>10722</v>
      </c>
      <c r="D4985" s="43" t="s">
        <v>136</v>
      </c>
      <c r="E4985" s="43" t="s">
        <v>92</v>
      </c>
      <c r="F4985" s="42" t="s">
        <v>11469</v>
      </c>
      <c r="G4985" t="s">
        <v>13197</v>
      </c>
    </row>
    <row r="4986" spans="1:7" x14ac:dyDescent="0.3">
      <c r="A4986" s="42" t="s">
        <v>5005</v>
      </c>
      <c r="B4986" s="42" t="s">
        <v>5124</v>
      </c>
      <c r="C4986" s="42" t="s">
        <v>10723</v>
      </c>
      <c r="D4986" s="43" t="s">
        <v>136</v>
      </c>
      <c r="E4986" s="43" t="s">
        <v>92</v>
      </c>
      <c r="F4986" s="42" t="s">
        <v>11469</v>
      </c>
      <c r="G4986" t="s">
        <v>13197</v>
      </c>
    </row>
    <row r="4987" spans="1:7" x14ac:dyDescent="0.3">
      <c r="A4987" s="42" t="s">
        <v>5005</v>
      </c>
      <c r="B4987" s="42" t="s">
        <v>5125</v>
      </c>
      <c r="C4987" s="42" t="s">
        <v>10724</v>
      </c>
      <c r="D4987" s="43" t="s">
        <v>136</v>
      </c>
      <c r="E4987" s="43" t="s">
        <v>92</v>
      </c>
      <c r="F4987" s="42" t="s">
        <v>11469</v>
      </c>
      <c r="G4987" t="s">
        <v>13197</v>
      </c>
    </row>
    <row r="4988" spans="1:7" x14ac:dyDescent="0.3">
      <c r="A4988" s="42" t="s">
        <v>5005</v>
      </c>
      <c r="B4988" s="42" t="s">
        <v>5126</v>
      </c>
      <c r="C4988" s="42" t="s">
        <v>10725</v>
      </c>
      <c r="D4988" s="43" t="s">
        <v>136</v>
      </c>
      <c r="E4988" s="43" t="s">
        <v>92</v>
      </c>
      <c r="F4988" s="42" t="s">
        <v>11469</v>
      </c>
      <c r="G4988" t="s">
        <v>13197</v>
      </c>
    </row>
    <row r="4989" spans="1:7" x14ac:dyDescent="0.3">
      <c r="A4989" s="42" t="s">
        <v>5005</v>
      </c>
      <c r="B4989" s="42" t="s">
        <v>5127</v>
      </c>
      <c r="C4989" s="42" t="s">
        <v>10726</v>
      </c>
      <c r="D4989" s="43" t="s">
        <v>136</v>
      </c>
      <c r="E4989" s="43" t="s">
        <v>92</v>
      </c>
      <c r="F4989" s="42" t="s">
        <v>192</v>
      </c>
      <c r="G4989" t="s">
        <v>13196</v>
      </c>
    </row>
    <row r="4990" spans="1:7" x14ac:dyDescent="0.3">
      <c r="A4990" s="42" t="s">
        <v>5005</v>
      </c>
      <c r="B4990" s="42" t="s">
        <v>5128</v>
      </c>
      <c r="C4990" s="42" t="s">
        <v>10727</v>
      </c>
      <c r="D4990" s="43" t="s">
        <v>136</v>
      </c>
      <c r="E4990" s="43" t="s">
        <v>92</v>
      </c>
      <c r="F4990" s="42" t="s">
        <v>11469</v>
      </c>
      <c r="G4990" t="s">
        <v>13197</v>
      </c>
    </row>
    <row r="4991" spans="1:7" x14ac:dyDescent="0.3">
      <c r="A4991" s="42" t="s">
        <v>5005</v>
      </c>
      <c r="B4991" s="42" t="s">
        <v>5129</v>
      </c>
      <c r="C4991" s="42" t="s">
        <v>10728</v>
      </c>
      <c r="D4991" s="43" t="s">
        <v>136</v>
      </c>
      <c r="E4991" s="43" t="s">
        <v>92</v>
      </c>
      <c r="F4991" s="42" t="s">
        <v>11469</v>
      </c>
      <c r="G4991" t="s">
        <v>13197</v>
      </c>
    </row>
    <row r="4992" spans="1:7" x14ac:dyDescent="0.3">
      <c r="A4992" s="42" t="s">
        <v>5005</v>
      </c>
      <c r="B4992" s="42" t="s">
        <v>3937</v>
      </c>
      <c r="C4992" s="42" t="s">
        <v>10729</v>
      </c>
      <c r="D4992" s="43" t="s">
        <v>136</v>
      </c>
      <c r="E4992" s="43" t="s">
        <v>92</v>
      </c>
      <c r="F4992" s="42" t="s">
        <v>11469</v>
      </c>
      <c r="G4992" t="s">
        <v>13200</v>
      </c>
    </row>
    <row r="4993" spans="1:7" x14ac:dyDescent="0.3">
      <c r="A4993" s="42" t="s">
        <v>5005</v>
      </c>
      <c r="B4993" s="42" t="s">
        <v>5130</v>
      </c>
      <c r="C4993" s="42" t="s">
        <v>10730</v>
      </c>
      <c r="D4993" s="43" t="s">
        <v>136</v>
      </c>
      <c r="E4993" s="43" t="s">
        <v>92</v>
      </c>
      <c r="F4993" s="42" t="s">
        <v>11469</v>
      </c>
      <c r="G4993" t="s">
        <v>13197</v>
      </c>
    </row>
    <row r="4994" spans="1:7" x14ac:dyDescent="0.3">
      <c r="A4994" s="42" t="s">
        <v>5005</v>
      </c>
      <c r="B4994" s="42" t="s">
        <v>5131</v>
      </c>
      <c r="C4994" s="42" t="s">
        <v>10731</v>
      </c>
      <c r="D4994" s="43" t="s">
        <v>136</v>
      </c>
      <c r="E4994" s="43" t="s">
        <v>92</v>
      </c>
      <c r="F4994" s="42" t="s">
        <v>192</v>
      </c>
      <c r="G4994" t="s">
        <v>13196</v>
      </c>
    </row>
    <row r="4995" spans="1:7" x14ac:dyDescent="0.3">
      <c r="A4995" s="42" t="s">
        <v>5005</v>
      </c>
      <c r="B4995" s="42" t="s">
        <v>1238</v>
      </c>
      <c r="C4995" s="42" t="s">
        <v>10732</v>
      </c>
      <c r="D4995" s="43" t="s">
        <v>136</v>
      </c>
      <c r="E4995" s="43" t="s">
        <v>92</v>
      </c>
      <c r="F4995" s="42" t="s">
        <v>11469</v>
      </c>
      <c r="G4995" t="s">
        <v>13197</v>
      </c>
    </row>
    <row r="4996" spans="1:7" x14ac:dyDescent="0.3">
      <c r="A4996" s="42" t="s">
        <v>5005</v>
      </c>
      <c r="B4996" s="42" t="s">
        <v>5132</v>
      </c>
      <c r="C4996" s="42" t="s">
        <v>10733</v>
      </c>
      <c r="D4996" s="43" t="s">
        <v>136</v>
      </c>
      <c r="E4996" s="43" t="s">
        <v>92</v>
      </c>
      <c r="F4996" s="42" t="s">
        <v>11469</v>
      </c>
      <c r="G4996" t="s">
        <v>13197</v>
      </c>
    </row>
    <row r="4997" spans="1:7" x14ac:dyDescent="0.3">
      <c r="A4997" s="42" t="s">
        <v>5005</v>
      </c>
      <c r="B4997" s="42" t="s">
        <v>5133</v>
      </c>
      <c r="C4997" s="42" t="s">
        <v>10734</v>
      </c>
      <c r="D4997" s="43" t="s">
        <v>136</v>
      </c>
      <c r="E4997" s="43" t="s">
        <v>92</v>
      </c>
      <c r="F4997" s="42" t="s">
        <v>192</v>
      </c>
      <c r="G4997" t="s">
        <v>13196</v>
      </c>
    </row>
    <row r="4998" spans="1:7" x14ac:dyDescent="0.3">
      <c r="A4998" s="42" t="s">
        <v>5005</v>
      </c>
      <c r="B4998" s="42" t="s">
        <v>5134</v>
      </c>
      <c r="C4998" s="42" t="s">
        <v>10735</v>
      </c>
      <c r="D4998" s="43" t="s">
        <v>136</v>
      </c>
      <c r="E4998" s="43" t="s">
        <v>92</v>
      </c>
      <c r="F4998" s="42" t="s">
        <v>11469</v>
      </c>
      <c r="G4998" t="s">
        <v>13197</v>
      </c>
    </row>
    <row r="4999" spans="1:7" x14ac:dyDescent="0.3">
      <c r="A4999" s="42" t="s">
        <v>5005</v>
      </c>
      <c r="B4999" s="42" t="s">
        <v>1241</v>
      </c>
      <c r="C4999" s="42" t="s">
        <v>10736</v>
      </c>
      <c r="D4999" s="43" t="s">
        <v>136</v>
      </c>
      <c r="E4999" s="43" t="s">
        <v>92</v>
      </c>
      <c r="F4999" s="42" t="s">
        <v>11469</v>
      </c>
      <c r="G4999" t="s">
        <v>13197</v>
      </c>
    </row>
    <row r="5000" spans="1:7" x14ac:dyDescent="0.3">
      <c r="A5000" s="42" t="s">
        <v>5005</v>
      </c>
      <c r="B5000" s="42" t="s">
        <v>5135</v>
      </c>
      <c r="C5000" s="42" t="s">
        <v>10737</v>
      </c>
      <c r="D5000" s="43" t="s">
        <v>136</v>
      </c>
      <c r="E5000" s="43" t="s">
        <v>92</v>
      </c>
      <c r="F5000" s="42" t="s">
        <v>11469</v>
      </c>
      <c r="G5000" t="s">
        <v>13197</v>
      </c>
    </row>
    <row r="5001" spans="1:7" x14ac:dyDescent="0.3">
      <c r="A5001" s="42" t="s">
        <v>5005</v>
      </c>
      <c r="B5001" s="42" t="s">
        <v>5136</v>
      </c>
      <c r="C5001" s="42" t="s">
        <v>10738</v>
      </c>
      <c r="D5001" s="43" t="s">
        <v>136</v>
      </c>
      <c r="E5001" s="43" t="s">
        <v>92</v>
      </c>
      <c r="F5001" s="42" t="s">
        <v>11469</v>
      </c>
      <c r="G5001" t="s">
        <v>13197</v>
      </c>
    </row>
    <row r="5002" spans="1:7" x14ac:dyDescent="0.3">
      <c r="A5002" s="42" t="s">
        <v>5005</v>
      </c>
      <c r="B5002" s="42" t="s">
        <v>5137</v>
      </c>
      <c r="C5002" s="42" t="s">
        <v>10739</v>
      </c>
      <c r="D5002" s="43" t="s">
        <v>136</v>
      </c>
      <c r="E5002" s="43" t="s">
        <v>92</v>
      </c>
      <c r="F5002" s="42" t="s">
        <v>192</v>
      </c>
      <c r="G5002" t="s">
        <v>13196</v>
      </c>
    </row>
    <row r="5003" spans="1:7" x14ac:dyDescent="0.3">
      <c r="A5003" s="42" t="s">
        <v>5005</v>
      </c>
      <c r="B5003" s="42" t="s">
        <v>5138</v>
      </c>
      <c r="C5003" s="42" t="s">
        <v>10740</v>
      </c>
      <c r="D5003" s="43" t="s">
        <v>136</v>
      </c>
      <c r="E5003" s="43" t="s">
        <v>92</v>
      </c>
      <c r="F5003" s="42" t="s">
        <v>11469</v>
      </c>
      <c r="G5003" t="s">
        <v>13197</v>
      </c>
    </row>
    <row r="5004" spans="1:7" x14ac:dyDescent="0.3">
      <c r="A5004" s="42" t="s">
        <v>5005</v>
      </c>
      <c r="B5004" s="42" t="s">
        <v>5139</v>
      </c>
      <c r="C5004" s="42" t="s">
        <v>10741</v>
      </c>
      <c r="D5004" s="43" t="s">
        <v>136</v>
      </c>
      <c r="E5004" s="43" t="s">
        <v>92</v>
      </c>
      <c r="F5004" s="42" t="s">
        <v>11469</v>
      </c>
      <c r="G5004" t="s">
        <v>13197</v>
      </c>
    </row>
    <row r="5005" spans="1:7" x14ac:dyDescent="0.3">
      <c r="A5005" s="42" t="s">
        <v>5005</v>
      </c>
      <c r="B5005" s="42" t="s">
        <v>5140</v>
      </c>
      <c r="C5005" s="42" t="s">
        <v>10742</v>
      </c>
      <c r="D5005" s="43" t="s">
        <v>136</v>
      </c>
      <c r="E5005" s="43" t="s">
        <v>92</v>
      </c>
      <c r="F5005" s="42" t="s">
        <v>11469</v>
      </c>
      <c r="G5005" t="s">
        <v>13197</v>
      </c>
    </row>
    <row r="5006" spans="1:7" x14ac:dyDescent="0.3">
      <c r="A5006" s="42" t="s">
        <v>5005</v>
      </c>
      <c r="B5006" s="42" t="s">
        <v>5141</v>
      </c>
      <c r="C5006" s="42" t="s">
        <v>10743</v>
      </c>
      <c r="D5006" s="43" t="s">
        <v>136</v>
      </c>
      <c r="E5006" s="43" t="s">
        <v>92</v>
      </c>
      <c r="F5006" s="42" t="s">
        <v>11469</v>
      </c>
      <c r="G5006" t="s">
        <v>13197</v>
      </c>
    </row>
    <row r="5007" spans="1:7" x14ac:dyDescent="0.3">
      <c r="A5007" s="42" t="s">
        <v>5005</v>
      </c>
      <c r="B5007" s="42" t="s">
        <v>5142</v>
      </c>
      <c r="C5007" s="42" t="s">
        <v>10744</v>
      </c>
      <c r="D5007" s="43" t="s">
        <v>136</v>
      </c>
      <c r="E5007" s="43" t="s">
        <v>92</v>
      </c>
      <c r="F5007" s="42" t="s">
        <v>11469</v>
      </c>
      <c r="G5007" t="s">
        <v>13197</v>
      </c>
    </row>
    <row r="5008" spans="1:7" x14ac:dyDescent="0.3">
      <c r="A5008" s="42" t="s">
        <v>5005</v>
      </c>
      <c r="B5008" s="42" t="s">
        <v>5143</v>
      </c>
      <c r="C5008" s="42" t="s">
        <v>10745</v>
      </c>
      <c r="D5008" s="43" t="s">
        <v>136</v>
      </c>
      <c r="E5008" s="43" t="s">
        <v>92</v>
      </c>
      <c r="F5008" s="42" t="s">
        <v>11469</v>
      </c>
      <c r="G5008" t="s">
        <v>13197</v>
      </c>
    </row>
    <row r="5009" spans="1:7" x14ac:dyDescent="0.3">
      <c r="A5009" s="42" t="s">
        <v>5005</v>
      </c>
      <c r="B5009" s="42" t="s">
        <v>5144</v>
      </c>
      <c r="C5009" s="42" t="s">
        <v>10746</v>
      </c>
      <c r="D5009" s="43" t="s">
        <v>136</v>
      </c>
      <c r="E5009" s="43" t="s">
        <v>92</v>
      </c>
      <c r="F5009" s="42" t="s">
        <v>192</v>
      </c>
      <c r="G5009" t="s">
        <v>13196</v>
      </c>
    </row>
    <row r="5010" spans="1:7" x14ac:dyDescent="0.3">
      <c r="A5010" s="42" t="s">
        <v>5005</v>
      </c>
      <c r="B5010" s="42" t="s">
        <v>5145</v>
      </c>
      <c r="C5010" s="42" t="s">
        <v>10747</v>
      </c>
      <c r="D5010" s="43" t="s">
        <v>136</v>
      </c>
      <c r="E5010" s="43" t="s">
        <v>92</v>
      </c>
      <c r="F5010" s="42" t="s">
        <v>11469</v>
      </c>
      <c r="G5010" t="s">
        <v>13197</v>
      </c>
    </row>
    <row r="5011" spans="1:7" x14ac:dyDescent="0.3">
      <c r="A5011" s="42" t="s">
        <v>5005</v>
      </c>
      <c r="B5011" s="42" t="s">
        <v>5146</v>
      </c>
      <c r="C5011" s="42" t="s">
        <v>10748</v>
      </c>
      <c r="D5011" s="43" t="s">
        <v>136</v>
      </c>
      <c r="E5011" s="43" t="s">
        <v>92</v>
      </c>
      <c r="F5011" s="42" t="s">
        <v>192</v>
      </c>
      <c r="G5011" t="s">
        <v>13196</v>
      </c>
    </row>
    <row r="5012" spans="1:7" x14ac:dyDescent="0.3">
      <c r="A5012" s="42" t="s">
        <v>5005</v>
      </c>
      <c r="B5012" s="42" t="s">
        <v>5147</v>
      </c>
      <c r="C5012" s="42" t="s">
        <v>10749</v>
      </c>
      <c r="D5012" s="43" t="s">
        <v>136</v>
      </c>
      <c r="E5012" s="43" t="s">
        <v>92</v>
      </c>
      <c r="F5012" s="42" t="s">
        <v>11469</v>
      </c>
      <c r="G5012" t="s">
        <v>13197</v>
      </c>
    </row>
    <row r="5013" spans="1:7" x14ac:dyDescent="0.3">
      <c r="A5013" s="42" t="s">
        <v>5005</v>
      </c>
      <c r="B5013" s="42" t="s">
        <v>5148</v>
      </c>
      <c r="C5013" s="42" t="s">
        <v>10750</v>
      </c>
      <c r="D5013" s="43" t="s">
        <v>136</v>
      </c>
      <c r="E5013" s="43" t="s">
        <v>92</v>
      </c>
      <c r="F5013" s="42" t="s">
        <v>11469</v>
      </c>
      <c r="G5013" t="s">
        <v>13197</v>
      </c>
    </row>
    <row r="5014" spans="1:7" x14ac:dyDescent="0.3">
      <c r="A5014" s="42" t="s">
        <v>5005</v>
      </c>
      <c r="B5014" s="42" t="s">
        <v>5149</v>
      </c>
      <c r="C5014" s="42" t="s">
        <v>10751</v>
      </c>
      <c r="D5014" s="43" t="s">
        <v>136</v>
      </c>
      <c r="E5014" s="43" t="s">
        <v>92</v>
      </c>
      <c r="F5014" s="42" t="s">
        <v>192</v>
      </c>
      <c r="G5014" t="s">
        <v>13196</v>
      </c>
    </row>
    <row r="5015" spans="1:7" x14ac:dyDescent="0.3">
      <c r="A5015" s="42" t="s">
        <v>5005</v>
      </c>
      <c r="B5015" s="42" t="s">
        <v>3547</v>
      </c>
      <c r="C5015" s="42" t="s">
        <v>10752</v>
      </c>
      <c r="D5015" s="43" t="s">
        <v>136</v>
      </c>
      <c r="E5015" s="43" t="s">
        <v>92</v>
      </c>
      <c r="F5015" s="42" t="s">
        <v>192</v>
      </c>
      <c r="G5015" t="s">
        <v>13196</v>
      </c>
    </row>
    <row r="5016" spans="1:7" x14ac:dyDescent="0.3">
      <c r="A5016" s="42" t="s">
        <v>5005</v>
      </c>
      <c r="B5016" s="42" t="s">
        <v>5150</v>
      </c>
      <c r="C5016" s="42" t="s">
        <v>10753</v>
      </c>
      <c r="D5016" s="43" t="s">
        <v>136</v>
      </c>
      <c r="E5016" s="43" t="s">
        <v>92</v>
      </c>
      <c r="F5016" s="42" t="s">
        <v>192</v>
      </c>
      <c r="G5016" t="s">
        <v>13196</v>
      </c>
    </row>
    <row r="5017" spans="1:7" x14ac:dyDescent="0.3">
      <c r="A5017" s="42" t="s">
        <v>5005</v>
      </c>
      <c r="B5017" s="42" t="s">
        <v>5151</v>
      </c>
      <c r="C5017" s="42" t="s">
        <v>10754</v>
      </c>
      <c r="D5017" s="43" t="s">
        <v>136</v>
      </c>
      <c r="E5017" s="43" t="s">
        <v>92</v>
      </c>
      <c r="F5017" s="42" t="s">
        <v>11469</v>
      </c>
      <c r="G5017" t="s">
        <v>13197</v>
      </c>
    </row>
    <row r="5018" spans="1:7" x14ac:dyDescent="0.3">
      <c r="A5018" s="42" t="s">
        <v>5005</v>
      </c>
      <c r="B5018" s="42" t="s">
        <v>5152</v>
      </c>
      <c r="C5018" s="42" t="s">
        <v>10755</v>
      </c>
      <c r="D5018" s="43" t="s">
        <v>136</v>
      </c>
      <c r="E5018" s="43" t="s">
        <v>92</v>
      </c>
      <c r="F5018" s="42" t="s">
        <v>11469</v>
      </c>
      <c r="G5018" t="s">
        <v>13197</v>
      </c>
    </row>
    <row r="5019" spans="1:7" x14ac:dyDescent="0.3">
      <c r="A5019" s="42" t="s">
        <v>5005</v>
      </c>
      <c r="B5019" s="42" t="s">
        <v>5153</v>
      </c>
      <c r="C5019" s="42" t="s">
        <v>10756</v>
      </c>
      <c r="D5019" s="43" t="s">
        <v>136</v>
      </c>
      <c r="E5019" s="43" t="s">
        <v>92</v>
      </c>
      <c r="F5019" s="42" t="s">
        <v>11469</v>
      </c>
      <c r="G5019" t="s">
        <v>13197</v>
      </c>
    </row>
    <row r="5020" spans="1:7" x14ac:dyDescent="0.3">
      <c r="A5020" s="42" t="s">
        <v>5005</v>
      </c>
      <c r="B5020" s="42" t="s">
        <v>5154</v>
      </c>
      <c r="C5020" s="42" t="s">
        <v>10757</v>
      </c>
      <c r="D5020" s="43" t="s">
        <v>136</v>
      </c>
      <c r="E5020" s="43" t="s">
        <v>92</v>
      </c>
      <c r="F5020" s="42" t="s">
        <v>11469</v>
      </c>
      <c r="G5020" t="s">
        <v>13197</v>
      </c>
    </row>
    <row r="5021" spans="1:7" x14ac:dyDescent="0.3">
      <c r="A5021" s="42" t="s">
        <v>5005</v>
      </c>
      <c r="B5021" s="42" t="s">
        <v>5155</v>
      </c>
      <c r="C5021" s="42" t="s">
        <v>10758</v>
      </c>
      <c r="D5021" s="43" t="s">
        <v>136</v>
      </c>
      <c r="E5021" s="43" t="s">
        <v>92</v>
      </c>
      <c r="F5021" s="42" t="s">
        <v>11469</v>
      </c>
      <c r="G5021" t="s">
        <v>13197</v>
      </c>
    </row>
    <row r="5022" spans="1:7" x14ac:dyDescent="0.3">
      <c r="A5022" s="42" t="s">
        <v>5005</v>
      </c>
      <c r="B5022" s="42" t="s">
        <v>5156</v>
      </c>
      <c r="C5022" s="42" t="s">
        <v>10759</v>
      </c>
      <c r="D5022" s="43" t="s">
        <v>136</v>
      </c>
      <c r="E5022" s="43" t="s">
        <v>92</v>
      </c>
      <c r="F5022" s="42" t="s">
        <v>11469</v>
      </c>
      <c r="G5022" t="s">
        <v>13197</v>
      </c>
    </row>
    <row r="5023" spans="1:7" x14ac:dyDescent="0.3">
      <c r="A5023" s="42" t="s">
        <v>5005</v>
      </c>
      <c r="B5023" s="42" t="s">
        <v>4805</v>
      </c>
      <c r="C5023" s="42" t="s">
        <v>10760</v>
      </c>
      <c r="D5023" s="43" t="s">
        <v>136</v>
      </c>
      <c r="E5023" s="43" t="s">
        <v>92</v>
      </c>
      <c r="F5023" s="42" t="s">
        <v>11469</v>
      </c>
      <c r="G5023" t="s">
        <v>13198</v>
      </c>
    </row>
    <row r="5024" spans="1:7" x14ac:dyDescent="0.3">
      <c r="A5024" s="42" t="s">
        <v>5005</v>
      </c>
      <c r="B5024" s="42" t="s">
        <v>5157</v>
      </c>
      <c r="C5024" s="42" t="s">
        <v>10761</v>
      </c>
      <c r="D5024" s="43" t="s">
        <v>136</v>
      </c>
      <c r="E5024" s="43" t="s">
        <v>92</v>
      </c>
      <c r="F5024" s="42" t="s">
        <v>11469</v>
      </c>
      <c r="G5024" t="s">
        <v>13197</v>
      </c>
    </row>
    <row r="5025" spans="1:7" x14ac:dyDescent="0.3">
      <c r="A5025" s="42" t="s">
        <v>5005</v>
      </c>
      <c r="B5025" s="42" t="s">
        <v>5158</v>
      </c>
      <c r="C5025" s="42" t="s">
        <v>10762</v>
      </c>
      <c r="D5025" s="43" t="s">
        <v>136</v>
      </c>
      <c r="E5025" s="43" t="s">
        <v>92</v>
      </c>
      <c r="F5025" s="42" t="s">
        <v>11469</v>
      </c>
      <c r="G5025" t="s">
        <v>13197</v>
      </c>
    </row>
    <row r="5026" spans="1:7" x14ac:dyDescent="0.3">
      <c r="A5026" s="42" t="s">
        <v>5005</v>
      </c>
      <c r="B5026" s="42" t="s">
        <v>5159</v>
      </c>
      <c r="C5026" s="42" t="s">
        <v>10763</v>
      </c>
      <c r="D5026" s="43" t="s">
        <v>136</v>
      </c>
      <c r="E5026" s="43" t="s">
        <v>92</v>
      </c>
      <c r="F5026" s="42" t="s">
        <v>11469</v>
      </c>
      <c r="G5026" t="s">
        <v>13197</v>
      </c>
    </row>
    <row r="5027" spans="1:7" x14ac:dyDescent="0.3">
      <c r="A5027" s="42" t="s">
        <v>5005</v>
      </c>
      <c r="B5027" s="42" t="s">
        <v>5160</v>
      </c>
      <c r="C5027" s="42" t="s">
        <v>10764</v>
      </c>
      <c r="D5027" s="43" t="s">
        <v>136</v>
      </c>
      <c r="E5027" s="43" t="s">
        <v>92</v>
      </c>
      <c r="F5027" s="42" t="s">
        <v>11469</v>
      </c>
      <c r="G5027" t="s">
        <v>13197</v>
      </c>
    </row>
    <row r="5028" spans="1:7" x14ac:dyDescent="0.3">
      <c r="A5028" s="42" t="s">
        <v>5005</v>
      </c>
      <c r="B5028" s="42" t="s">
        <v>5161</v>
      </c>
      <c r="C5028" s="42" t="s">
        <v>10765</v>
      </c>
      <c r="D5028" s="43" t="s">
        <v>136</v>
      </c>
      <c r="E5028" s="43" t="s">
        <v>92</v>
      </c>
      <c r="F5028" s="42" t="s">
        <v>11469</v>
      </c>
      <c r="G5028" t="s">
        <v>13197</v>
      </c>
    </row>
    <row r="5029" spans="1:7" x14ac:dyDescent="0.3">
      <c r="A5029" s="42" t="s">
        <v>5005</v>
      </c>
      <c r="B5029" s="42" t="s">
        <v>5162</v>
      </c>
      <c r="C5029" s="42" t="s">
        <v>10766</v>
      </c>
      <c r="D5029" s="43" t="s">
        <v>136</v>
      </c>
      <c r="E5029" s="43" t="s">
        <v>92</v>
      </c>
      <c r="F5029" s="42" t="s">
        <v>137</v>
      </c>
      <c r="G5029" t="s">
        <v>13199</v>
      </c>
    </row>
    <row r="5030" spans="1:7" x14ac:dyDescent="0.3">
      <c r="A5030" s="42" t="s">
        <v>5005</v>
      </c>
      <c r="B5030" s="42" t="s">
        <v>5163</v>
      </c>
      <c r="C5030" s="42" t="s">
        <v>10767</v>
      </c>
      <c r="D5030" s="43" t="s">
        <v>136</v>
      </c>
      <c r="E5030" s="43" t="s">
        <v>92</v>
      </c>
      <c r="F5030" s="42" t="s">
        <v>11469</v>
      </c>
      <c r="G5030" t="s">
        <v>13197</v>
      </c>
    </row>
    <row r="5031" spans="1:7" x14ac:dyDescent="0.3">
      <c r="A5031" s="42" t="s">
        <v>5005</v>
      </c>
      <c r="B5031" s="42" t="s">
        <v>5164</v>
      </c>
      <c r="C5031" s="42" t="s">
        <v>10768</v>
      </c>
      <c r="D5031" s="43" t="s">
        <v>136</v>
      </c>
      <c r="E5031" s="43" t="s">
        <v>92</v>
      </c>
      <c r="F5031" s="42" t="s">
        <v>11469</v>
      </c>
      <c r="G5031" t="s">
        <v>13197</v>
      </c>
    </row>
    <row r="5032" spans="1:7" x14ac:dyDescent="0.3">
      <c r="A5032" s="42" t="s">
        <v>5005</v>
      </c>
      <c r="B5032" s="42" t="s">
        <v>5165</v>
      </c>
      <c r="C5032" s="42" t="s">
        <v>10769</v>
      </c>
      <c r="D5032" s="43" t="s">
        <v>136</v>
      </c>
      <c r="E5032" s="43" t="s">
        <v>92</v>
      </c>
      <c r="F5032" s="42" t="s">
        <v>11469</v>
      </c>
      <c r="G5032" t="s">
        <v>13197</v>
      </c>
    </row>
    <row r="5033" spans="1:7" x14ac:dyDescent="0.3">
      <c r="A5033" s="42" t="s">
        <v>5005</v>
      </c>
      <c r="B5033" s="42" t="s">
        <v>5166</v>
      </c>
      <c r="C5033" s="42" t="s">
        <v>10770</v>
      </c>
      <c r="D5033" s="43" t="s">
        <v>136</v>
      </c>
      <c r="E5033" s="43" t="s">
        <v>92</v>
      </c>
      <c r="F5033" s="42" t="s">
        <v>11469</v>
      </c>
      <c r="G5033" t="s">
        <v>13197</v>
      </c>
    </row>
    <row r="5034" spans="1:7" x14ac:dyDescent="0.3">
      <c r="A5034" s="42" t="s">
        <v>5005</v>
      </c>
      <c r="B5034" s="42" t="s">
        <v>5167</v>
      </c>
      <c r="C5034" s="42" t="s">
        <v>10771</v>
      </c>
      <c r="D5034" s="43" t="s">
        <v>136</v>
      </c>
      <c r="E5034" s="43" t="s">
        <v>92</v>
      </c>
      <c r="F5034" s="42" t="s">
        <v>11469</v>
      </c>
      <c r="G5034" t="s">
        <v>13197</v>
      </c>
    </row>
    <row r="5035" spans="1:7" x14ac:dyDescent="0.3">
      <c r="A5035" s="42" t="s">
        <v>5005</v>
      </c>
      <c r="B5035" s="42" t="s">
        <v>5168</v>
      </c>
      <c r="C5035" s="42" t="s">
        <v>10772</v>
      </c>
      <c r="D5035" s="43" t="s">
        <v>136</v>
      </c>
      <c r="E5035" s="43" t="s">
        <v>92</v>
      </c>
      <c r="F5035" s="42" t="s">
        <v>11469</v>
      </c>
      <c r="G5035" t="s">
        <v>13197</v>
      </c>
    </row>
    <row r="5036" spans="1:7" x14ac:dyDescent="0.3">
      <c r="A5036" s="42" t="s">
        <v>5005</v>
      </c>
      <c r="B5036" s="42" t="s">
        <v>5169</v>
      </c>
      <c r="C5036" s="42" t="s">
        <v>10773</v>
      </c>
      <c r="D5036" s="43" t="s">
        <v>136</v>
      </c>
      <c r="E5036" s="43" t="s">
        <v>92</v>
      </c>
      <c r="F5036" s="42" t="s">
        <v>11469</v>
      </c>
      <c r="G5036" t="s">
        <v>13197</v>
      </c>
    </row>
    <row r="5037" spans="1:7" x14ac:dyDescent="0.3">
      <c r="A5037" s="42" t="s">
        <v>5005</v>
      </c>
      <c r="B5037" s="42" t="s">
        <v>5170</v>
      </c>
      <c r="C5037" s="42" t="s">
        <v>10774</v>
      </c>
      <c r="D5037" s="43" t="s">
        <v>136</v>
      </c>
      <c r="E5037" s="43" t="s">
        <v>92</v>
      </c>
      <c r="F5037" s="42" t="s">
        <v>11469</v>
      </c>
      <c r="G5037" t="s">
        <v>13197</v>
      </c>
    </row>
    <row r="5038" spans="1:7" x14ac:dyDescent="0.3">
      <c r="A5038" s="42" t="s">
        <v>5005</v>
      </c>
      <c r="B5038" s="42" t="s">
        <v>5171</v>
      </c>
      <c r="C5038" s="42" t="s">
        <v>10775</v>
      </c>
      <c r="D5038" s="43" t="s">
        <v>136</v>
      </c>
      <c r="E5038" s="43" t="s">
        <v>92</v>
      </c>
      <c r="F5038" s="42" t="s">
        <v>11469</v>
      </c>
      <c r="G5038" t="s">
        <v>13197</v>
      </c>
    </row>
    <row r="5039" spans="1:7" x14ac:dyDescent="0.3">
      <c r="A5039" s="42" t="s">
        <v>5005</v>
      </c>
      <c r="B5039" s="42" t="s">
        <v>5172</v>
      </c>
      <c r="C5039" s="42" t="s">
        <v>10776</v>
      </c>
      <c r="D5039" s="43" t="s">
        <v>136</v>
      </c>
      <c r="E5039" s="43" t="s">
        <v>92</v>
      </c>
      <c r="F5039" s="42" t="s">
        <v>11469</v>
      </c>
      <c r="G5039" t="s">
        <v>13197</v>
      </c>
    </row>
    <row r="5040" spans="1:7" x14ac:dyDescent="0.3">
      <c r="A5040" s="42" t="s">
        <v>5005</v>
      </c>
      <c r="B5040" s="42" t="s">
        <v>5173</v>
      </c>
      <c r="C5040" s="42" t="s">
        <v>10777</v>
      </c>
      <c r="D5040" s="43" t="s">
        <v>136</v>
      </c>
      <c r="E5040" s="43" t="s">
        <v>92</v>
      </c>
      <c r="F5040" s="42" t="s">
        <v>11469</v>
      </c>
      <c r="G5040" t="s">
        <v>13197</v>
      </c>
    </row>
    <row r="5041" spans="1:7" x14ac:dyDescent="0.3">
      <c r="A5041" s="42" t="s">
        <v>5005</v>
      </c>
      <c r="B5041" s="42" t="s">
        <v>5174</v>
      </c>
      <c r="C5041" s="42" t="s">
        <v>10778</v>
      </c>
      <c r="D5041" s="43" t="s">
        <v>136</v>
      </c>
      <c r="E5041" s="43" t="s">
        <v>92</v>
      </c>
      <c r="F5041" s="42" t="s">
        <v>11469</v>
      </c>
      <c r="G5041" t="s">
        <v>13197</v>
      </c>
    </row>
    <row r="5042" spans="1:7" x14ac:dyDescent="0.3">
      <c r="A5042" s="42" t="s">
        <v>5005</v>
      </c>
      <c r="B5042" s="42" t="s">
        <v>5175</v>
      </c>
      <c r="C5042" s="42" t="s">
        <v>10779</v>
      </c>
      <c r="D5042" s="43" t="s">
        <v>136</v>
      </c>
      <c r="E5042" s="43" t="s">
        <v>92</v>
      </c>
      <c r="F5042" s="42" t="s">
        <v>11469</v>
      </c>
      <c r="G5042" t="s">
        <v>13197</v>
      </c>
    </row>
    <row r="5043" spans="1:7" x14ac:dyDescent="0.3">
      <c r="A5043" s="42" t="s">
        <v>5005</v>
      </c>
      <c r="B5043" s="42" t="s">
        <v>5176</v>
      </c>
      <c r="C5043" s="42" t="s">
        <v>10780</v>
      </c>
      <c r="D5043" s="43" t="s">
        <v>136</v>
      </c>
      <c r="E5043" s="43" t="s">
        <v>92</v>
      </c>
      <c r="F5043" s="42" t="s">
        <v>11469</v>
      </c>
      <c r="G5043" t="s">
        <v>13197</v>
      </c>
    </row>
    <row r="5044" spans="1:7" x14ac:dyDescent="0.3">
      <c r="A5044" s="42" t="s">
        <v>5005</v>
      </c>
      <c r="B5044" s="42" t="s">
        <v>5177</v>
      </c>
      <c r="C5044" s="42" t="s">
        <v>10781</v>
      </c>
      <c r="D5044" s="43" t="s">
        <v>136</v>
      </c>
      <c r="E5044" s="43" t="s">
        <v>92</v>
      </c>
      <c r="F5044" s="42" t="s">
        <v>11469</v>
      </c>
      <c r="G5044" t="s">
        <v>13197</v>
      </c>
    </row>
    <row r="5045" spans="1:7" x14ac:dyDescent="0.3">
      <c r="A5045" s="42" t="s">
        <v>5005</v>
      </c>
      <c r="B5045" s="42" t="s">
        <v>5178</v>
      </c>
      <c r="C5045" s="42" t="s">
        <v>10782</v>
      </c>
      <c r="D5045" s="43" t="s">
        <v>136</v>
      </c>
      <c r="E5045" s="43" t="s">
        <v>92</v>
      </c>
      <c r="F5045" s="42" t="s">
        <v>11469</v>
      </c>
      <c r="G5045" t="s">
        <v>13197</v>
      </c>
    </row>
    <row r="5046" spans="1:7" x14ac:dyDescent="0.3">
      <c r="A5046" s="42" t="s">
        <v>5005</v>
      </c>
      <c r="B5046" s="42" t="s">
        <v>5179</v>
      </c>
      <c r="C5046" s="42" t="s">
        <v>10783</v>
      </c>
      <c r="D5046" s="43" t="s">
        <v>136</v>
      </c>
      <c r="E5046" s="43" t="s">
        <v>92</v>
      </c>
      <c r="F5046" s="42" t="s">
        <v>192</v>
      </c>
      <c r="G5046" t="s">
        <v>13196</v>
      </c>
    </row>
    <row r="5047" spans="1:7" x14ac:dyDescent="0.3">
      <c r="A5047" s="42" t="s">
        <v>5005</v>
      </c>
      <c r="B5047" s="42" t="s">
        <v>5180</v>
      </c>
      <c r="C5047" s="42" t="s">
        <v>10784</v>
      </c>
      <c r="D5047" s="43" t="s">
        <v>136</v>
      </c>
      <c r="E5047" s="43" t="s">
        <v>92</v>
      </c>
      <c r="F5047" s="42" t="s">
        <v>11469</v>
      </c>
      <c r="G5047" t="s">
        <v>13197</v>
      </c>
    </row>
    <row r="5048" spans="1:7" x14ac:dyDescent="0.3">
      <c r="A5048" s="42" t="s">
        <v>5005</v>
      </c>
      <c r="B5048" s="42" t="s">
        <v>5181</v>
      </c>
      <c r="C5048" s="42" t="s">
        <v>10785</v>
      </c>
      <c r="D5048" s="43" t="s">
        <v>136</v>
      </c>
      <c r="E5048" s="43" t="s">
        <v>92</v>
      </c>
      <c r="F5048" s="42" t="s">
        <v>11469</v>
      </c>
      <c r="G5048" t="s">
        <v>13197</v>
      </c>
    </row>
    <row r="5049" spans="1:7" x14ac:dyDescent="0.3">
      <c r="A5049" s="42" t="s">
        <v>5005</v>
      </c>
      <c r="B5049" s="42" t="s">
        <v>5182</v>
      </c>
      <c r="C5049" s="42" t="s">
        <v>10786</v>
      </c>
      <c r="D5049" s="43" t="s">
        <v>136</v>
      </c>
      <c r="E5049" s="43" t="s">
        <v>92</v>
      </c>
      <c r="F5049" s="42" t="s">
        <v>11469</v>
      </c>
      <c r="G5049" t="s">
        <v>13197</v>
      </c>
    </row>
    <row r="5050" spans="1:7" x14ac:dyDescent="0.3">
      <c r="A5050" s="42" t="s">
        <v>5005</v>
      </c>
      <c r="B5050" s="42" t="s">
        <v>5183</v>
      </c>
      <c r="C5050" s="42" t="s">
        <v>10787</v>
      </c>
      <c r="D5050" s="43" t="s">
        <v>136</v>
      </c>
      <c r="E5050" s="43" t="s">
        <v>92</v>
      </c>
      <c r="F5050" s="42" t="s">
        <v>192</v>
      </c>
      <c r="G5050" t="s">
        <v>13196</v>
      </c>
    </row>
    <row r="5051" spans="1:7" x14ac:dyDescent="0.3">
      <c r="A5051" s="42" t="s">
        <v>5005</v>
      </c>
      <c r="B5051" s="42" t="s">
        <v>5184</v>
      </c>
      <c r="C5051" s="42" t="s">
        <v>10788</v>
      </c>
      <c r="D5051" s="43" t="s">
        <v>136</v>
      </c>
      <c r="E5051" s="43" t="s">
        <v>92</v>
      </c>
      <c r="F5051" s="42" t="s">
        <v>11469</v>
      </c>
      <c r="G5051" t="s">
        <v>13197</v>
      </c>
    </row>
    <row r="5052" spans="1:7" x14ac:dyDescent="0.3">
      <c r="A5052" s="42" t="s">
        <v>5005</v>
      </c>
      <c r="B5052" s="42" t="s">
        <v>5185</v>
      </c>
      <c r="C5052" s="42" t="s">
        <v>10789</v>
      </c>
      <c r="D5052" s="43" t="s">
        <v>136</v>
      </c>
      <c r="E5052" s="43" t="s">
        <v>92</v>
      </c>
      <c r="F5052" s="42" t="s">
        <v>11469</v>
      </c>
      <c r="G5052" t="s">
        <v>13197</v>
      </c>
    </row>
    <row r="5053" spans="1:7" x14ac:dyDescent="0.3">
      <c r="A5053" s="42" t="s">
        <v>5005</v>
      </c>
      <c r="B5053" s="42" t="s">
        <v>5186</v>
      </c>
      <c r="C5053" s="42" t="s">
        <v>10790</v>
      </c>
      <c r="D5053" s="43" t="s">
        <v>136</v>
      </c>
      <c r="E5053" s="43" t="s">
        <v>92</v>
      </c>
      <c r="F5053" s="42" t="s">
        <v>11469</v>
      </c>
      <c r="G5053" t="s">
        <v>13197</v>
      </c>
    </row>
    <row r="5054" spans="1:7" x14ac:dyDescent="0.3">
      <c r="A5054" s="42" t="s">
        <v>5005</v>
      </c>
      <c r="B5054" s="42" t="s">
        <v>5187</v>
      </c>
      <c r="C5054" s="42" t="s">
        <v>10791</v>
      </c>
      <c r="D5054" s="43" t="s">
        <v>136</v>
      </c>
      <c r="E5054" s="43" t="s">
        <v>92</v>
      </c>
      <c r="F5054" s="42" t="s">
        <v>11469</v>
      </c>
      <c r="G5054" t="s">
        <v>13197</v>
      </c>
    </row>
    <row r="5055" spans="1:7" x14ac:dyDescent="0.3">
      <c r="A5055" s="42" t="s">
        <v>5005</v>
      </c>
      <c r="B5055" s="42" t="s">
        <v>5188</v>
      </c>
      <c r="C5055" s="42" t="s">
        <v>10792</v>
      </c>
      <c r="D5055" s="43" t="s">
        <v>136</v>
      </c>
      <c r="E5055" s="43" t="s">
        <v>92</v>
      </c>
      <c r="F5055" s="42" t="s">
        <v>11469</v>
      </c>
      <c r="G5055" t="s">
        <v>13197</v>
      </c>
    </row>
    <row r="5056" spans="1:7" x14ac:dyDescent="0.3">
      <c r="A5056" s="42" t="s">
        <v>5005</v>
      </c>
      <c r="B5056" s="42" t="s">
        <v>5189</v>
      </c>
      <c r="C5056" s="42" t="s">
        <v>10793</v>
      </c>
      <c r="D5056" s="43" t="s">
        <v>136</v>
      </c>
      <c r="E5056" s="43" t="s">
        <v>92</v>
      </c>
      <c r="F5056" s="42" t="s">
        <v>11469</v>
      </c>
      <c r="G5056" t="s">
        <v>13197</v>
      </c>
    </row>
    <row r="5057" spans="1:7" x14ac:dyDescent="0.3">
      <c r="A5057" s="42" t="s">
        <v>5005</v>
      </c>
      <c r="B5057" s="42" t="s">
        <v>5190</v>
      </c>
      <c r="C5057" s="42" t="s">
        <v>10794</v>
      </c>
      <c r="D5057" s="43" t="s">
        <v>136</v>
      </c>
      <c r="E5057" s="43" t="s">
        <v>92</v>
      </c>
      <c r="F5057" s="42" t="s">
        <v>192</v>
      </c>
      <c r="G5057" t="s">
        <v>13196</v>
      </c>
    </row>
    <row r="5058" spans="1:7" x14ac:dyDescent="0.3">
      <c r="A5058" s="42" t="s">
        <v>5005</v>
      </c>
      <c r="B5058" s="42" t="s">
        <v>5191</v>
      </c>
      <c r="C5058" s="42" t="s">
        <v>10795</v>
      </c>
      <c r="D5058" s="43" t="s">
        <v>136</v>
      </c>
      <c r="E5058" s="43" t="s">
        <v>92</v>
      </c>
      <c r="F5058" s="42" t="s">
        <v>11469</v>
      </c>
      <c r="G5058" t="s">
        <v>13197</v>
      </c>
    </row>
    <row r="5059" spans="1:7" x14ac:dyDescent="0.3">
      <c r="A5059" s="42" t="s">
        <v>5005</v>
      </c>
      <c r="B5059" s="42" t="s">
        <v>5192</v>
      </c>
      <c r="C5059" s="42" t="s">
        <v>10796</v>
      </c>
      <c r="D5059" s="43" t="s">
        <v>136</v>
      </c>
      <c r="E5059" s="43" t="s">
        <v>92</v>
      </c>
      <c r="F5059" s="42" t="s">
        <v>11469</v>
      </c>
      <c r="G5059" t="s">
        <v>13197</v>
      </c>
    </row>
    <row r="5060" spans="1:7" x14ac:dyDescent="0.3">
      <c r="A5060" s="42" t="s">
        <v>5005</v>
      </c>
      <c r="B5060" s="42" t="s">
        <v>5193</v>
      </c>
      <c r="C5060" s="42" t="s">
        <v>10797</v>
      </c>
      <c r="D5060" s="43" t="s">
        <v>136</v>
      </c>
      <c r="E5060" s="43" t="s">
        <v>92</v>
      </c>
      <c r="F5060" s="42" t="s">
        <v>11469</v>
      </c>
      <c r="G5060" t="s">
        <v>13197</v>
      </c>
    </row>
    <row r="5061" spans="1:7" x14ac:dyDescent="0.3">
      <c r="A5061" s="42" t="s">
        <v>5005</v>
      </c>
      <c r="B5061" s="42" t="s">
        <v>5194</v>
      </c>
      <c r="C5061" s="42" t="s">
        <v>10798</v>
      </c>
      <c r="D5061" s="43" t="s">
        <v>136</v>
      </c>
      <c r="E5061" s="43" t="s">
        <v>92</v>
      </c>
      <c r="F5061" s="42" t="s">
        <v>11469</v>
      </c>
      <c r="G5061" t="s">
        <v>13197</v>
      </c>
    </row>
    <row r="5062" spans="1:7" x14ac:dyDescent="0.3">
      <c r="A5062" s="42" t="s">
        <v>5005</v>
      </c>
      <c r="B5062" s="42" t="s">
        <v>5195</v>
      </c>
      <c r="C5062" s="42" t="s">
        <v>10799</v>
      </c>
      <c r="D5062" s="43" t="s">
        <v>136</v>
      </c>
      <c r="E5062" s="43" t="s">
        <v>92</v>
      </c>
      <c r="F5062" s="42" t="s">
        <v>11469</v>
      </c>
      <c r="G5062" t="s">
        <v>13197</v>
      </c>
    </row>
    <row r="5063" spans="1:7" x14ac:dyDescent="0.3">
      <c r="A5063" s="42" t="s">
        <v>5005</v>
      </c>
      <c r="B5063" s="42" t="s">
        <v>5196</v>
      </c>
      <c r="C5063" s="42" t="s">
        <v>10800</v>
      </c>
      <c r="D5063" s="43" t="s">
        <v>136</v>
      </c>
      <c r="E5063" s="43" t="s">
        <v>92</v>
      </c>
      <c r="F5063" s="42" t="s">
        <v>11469</v>
      </c>
      <c r="G5063" t="s">
        <v>13197</v>
      </c>
    </row>
    <row r="5064" spans="1:7" x14ac:dyDescent="0.3">
      <c r="A5064" s="42" t="s">
        <v>5005</v>
      </c>
      <c r="B5064" s="42" t="s">
        <v>5197</v>
      </c>
      <c r="C5064" s="42" t="s">
        <v>10801</v>
      </c>
      <c r="D5064" s="43" t="s">
        <v>136</v>
      </c>
      <c r="E5064" s="43" t="s">
        <v>92</v>
      </c>
      <c r="F5064" s="42" t="s">
        <v>11469</v>
      </c>
      <c r="G5064" t="s">
        <v>13197</v>
      </c>
    </row>
    <row r="5065" spans="1:7" x14ac:dyDescent="0.3">
      <c r="A5065" s="42" t="s">
        <v>5005</v>
      </c>
      <c r="B5065" s="42" t="s">
        <v>5198</v>
      </c>
      <c r="C5065" s="42" t="s">
        <v>10802</v>
      </c>
      <c r="D5065" s="43" t="s">
        <v>136</v>
      </c>
      <c r="E5065" s="43" t="s">
        <v>92</v>
      </c>
      <c r="F5065" s="42" t="s">
        <v>11469</v>
      </c>
      <c r="G5065" t="s">
        <v>13197</v>
      </c>
    </row>
    <row r="5066" spans="1:7" x14ac:dyDescent="0.3">
      <c r="A5066" s="42" t="s">
        <v>5005</v>
      </c>
      <c r="B5066" s="42" t="s">
        <v>5199</v>
      </c>
      <c r="C5066" s="42" t="s">
        <v>10803</v>
      </c>
      <c r="D5066" s="43" t="s">
        <v>136</v>
      </c>
      <c r="E5066" s="43" t="s">
        <v>92</v>
      </c>
      <c r="F5066" s="42" t="s">
        <v>11469</v>
      </c>
      <c r="G5066" t="s">
        <v>13197</v>
      </c>
    </row>
    <row r="5067" spans="1:7" x14ac:dyDescent="0.3">
      <c r="A5067" s="42" t="s">
        <v>5005</v>
      </c>
      <c r="B5067" s="42" t="s">
        <v>5200</v>
      </c>
      <c r="C5067" s="42" t="s">
        <v>10804</v>
      </c>
      <c r="D5067" s="43" t="s">
        <v>136</v>
      </c>
      <c r="E5067" s="43" t="s">
        <v>92</v>
      </c>
      <c r="F5067" s="42" t="s">
        <v>192</v>
      </c>
      <c r="G5067" t="s">
        <v>13196</v>
      </c>
    </row>
    <row r="5068" spans="1:7" x14ac:dyDescent="0.3">
      <c r="A5068" s="42" t="s">
        <v>5005</v>
      </c>
      <c r="B5068" s="42" t="s">
        <v>5201</v>
      </c>
      <c r="C5068" s="42" t="s">
        <v>10805</v>
      </c>
      <c r="D5068" s="43" t="s">
        <v>136</v>
      </c>
      <c r="E5068" s="43" t="s">
        <v>92</v>
      </c>
      <c r="F5068" s="42" t="s">
        <v>192</v>
      </c>
      <c r="G5068" t="s">
        <v>13196</v>
      </c>
    </row>
    <row r="5069" spans="1:7" x14ac:dyDescent="0.3">
      <c r="A5069" s="42" t="s">
        <v>5005</v>
      </c>
      <c r="B5069" s="42" t="s">
        <v>5202</v>
      </c>
      <c r="C5069" s="42" t="s">
        <v>10806</v>
      </c>
      <c r="D5069" s="43" t="s">
        <v>136</v>
      </c>
      <c r="E5069" s="43" t="s">
        <v>92</v>
      </c>
      <c r="F5069" s="42" t="s">
        <v>11469</v>
      </c>
      <c r="G5069" t="s">
        <v>13197</v>
      </c>
    </row>
    <row r="5070" spans="1:7" x14ac:dyDescent="0.3">
      <c r="A5070" s="42" t="s">
        <v>5005</v>
      </c>
      <c r="B5070" s="42" t="s">
        <v>5203</v>
      </c>
      <c r="C5070" s="42" t="s">
        <v>10807</v>
      </c>
      <c r="D5070" s="43" t="s">
        <v>136</v>
      </c>
      <c r="E5070" s="43" t="s">
        <v>92</v>
      </c>
      <c r="F5070" s="42" t="s">
        <v>11469</v>
      </c>
      <c r="G5070" t="s">
        <v>13197</v>
      </c>
    </row>
    <row r="5071" spans="1:7" x14ac:dyDescent="0.3">
      <c r="A5071" s="42" t="s">
        <v>5005</v>
      </c>
      <c r="B5071" s="42" t="s">
        <v>5204</v>
      </c>
      <c r="C5071" s="42" t="s">
        <v>10808</v>
      </c>
      <c r="D5071" s="43" t="s">
        <v>136</v>
      </c>
      <c r="E5071" s="43" t="s">
        <v>92</v>
      </c>
      <c r="F5071" s="42" t="s">
        <v>11469</v>
      </c>
      <c r="G5071" t="s">
        <v>13197</v>
      </c>
    </row>
    <row r="5072" spans="1:7" x14ac:dyDescent="0.3">
      <c r="A5072" s="42" t="s">
        <v>5005</v>
      </c>
      <c r="B5072" s="42" t="s">
        <v>5205</v>
      </c>
      <c r="C5072" s="42" t="s">
        <v>10809</v>
      </c>
      <c r="D5072" s="43" t="s">
        <v>136</v>
      </c>
      <c r="E5072" s="43" t="s">
        <v>92</v>
      </c>
      <c r="F5072" s="42" t="s">
        <v>11469</v>
      </c>
      <c r="G5072" t="s">
        <v>13197</v>
      </c>
    </row>
    <row r="5073" spans="1:7" x14ac:dyDescent="0.3">
      <c r="A5073" s="42" t="s">
        <v>5005</v>
      </c>
      <c r="B5073" s="42" t="s">
        <v>5206</v>
      </c>
      <c r="C5073" s="42" t="s">
        <v>10810</v>
      </c>
      <c r="D5073" s="43" t="s">
        <v>136</v>
      </c>
      <c r="E5073" s="43" t="s">
        <v>92</v>
      </c>
      <c r="F5073" s="42" t="s">
        <v>11469</v>
      </c>
      <c r="G5073" t="s">
        <v>13197</v>
      </c>
    </row>
    <row r="5074" spans="1:7" x14ac:dyDescent="0.3">
      <c r="A5074" s="42" t="s">
        <v>5005</v>
      </c>
      <c r="B5074" s="42" t="s">
        <v>5207</v>
      </c>
      <c r="C5074" s="42" t="s">
        <v>10811</v>
      </c>
      <c r="D5074" s="43" t="s">
        <v>136</v>
      </c>
      <c r="E5074" s="43" t="s">
        <v>92</v>
      </c>
      <c r="F5074" s="42" t="s">
        <v>11469</v>
      </c>
      <c r="G5074" t="s">
        <v>13197</v>
      </c>
    </row>
    <row r="5075" spans="1:7" x14ac:dyDescent="0.3">
      <c r="A5075" s="42" t="s">
        <v>5005</v>
      </c>
      <c r="B5075" s="42" t="s">
        <v>5208</v>
      </c>
      <c r="C5075" s="42" t="s">
        <v>10812</v>
      </c>
      <c r="D5075" s="43" t="s">
        <v>136</v>
      </c>
      <c r="E5075" s="43" t="s">
        <v>92</v>
      </c>
      <c r="F5075" s="42" t="s">
        <v>11469</v>
      </c>
      <c r="G5075" t="s">
        <v>13197</v>
      </c>
    </row>
    <row r="5076" spans="1:7" x14ac:dyDescent="0.3">
      <c r="A5076" s="42" t="s">
        <v>5005</v>
      </c>
      <c r="B5076" s="42" t="s">
        <v>5209</v>
      </c>
      <c r="C5076" s="42" t="s">
        <v>10813</v>
      </c>
      <c r="D5076" s="43" t="s">
        <v>136</v>
      </c>
      <c r="E5076" s="43" t="s">
        <v>92</v>
      </c>
      <c r="F5076" s="42" t="s">
        <v>11469</v>
      </c>
      <c r="G5076" t="s">
        <v>13197</v>
      </c>
    </row>
    <row r="5077" spans="1:7" x14ac:dyDescent="0.3">
      <c r="A5077" s="42" t="s">
        <v>5005</v>
      </c>
      <c r="B5077" s="42" t="s">
        <v>5210</v>
      </c>
      <c r="C5077" s="42" t="s">
        <v>10814</v>
      </c>
      <c r="D5077" s="43" t="s">
        <v>136</v>
      </c>
      <c r="E5077" s="43" t="s">
        <v>92</v>
      </c>
      <c r="F5077" s="42" t="s">
        <v>192</v>
      </c>
      <c r="G5077" t="s">
        <v>13196</v>
      </c>
    </row>
    <row r="5078" spans="1:7" x14ac:dyDescent="0.3">
      <c r="A5078" s="42" t="s">
        <v>5005</v>
      </c>
      <c r="B5078" s="42" t="s">
        <v>5211</v>
      </c>
      <c r="C5078" s="42" t="s">
        <v>10815</v>
      </c>
      <c r="D5078" s="43" t="s">
        <v>136</v>
      </c>
      <c r="E5078" s="43" t="s">
        <v>92</v>
      </c>
      <c r="F5078" s="42" t="s">
        <v>11469</v>
      </c>
      <c r="G5078" t="s">
        <v>13197</v>
      </c>
    </row>
    <row r="5079" spans="1:7" x14ac:dyDescent="0.3">
      <c r="A5079" s="42" t="s">
        <v>5005</v>
      </c>
      <c r="B5079" s="42" t="s">
        <v>5212</v>
      </c>
      <c r="C5079" s="42" t="s">
        <v>10816</v>
      </c>
      <c r="D5079" s="43" t="s">
        <v>136</v>
      </c>
      <c r="E5079" s="43" t="s">
        <v>92</v>
      </c>
      <c r="F5079" s="42" t="s">
        <v>11469</v>
      </c>
      <c r="G5079" t="s">
        <v>13197</v>
      </c>
    </row>
    <row r="5080" spans="1:7" x14ac:dyDescent="0.3">
      <c r="A5080" s="42" t="s">
        <v>5005</v>
      </c>
      <c r="B5080" s="42" t="s">
        <v>5213</v>
      </c>
      <c r="C5080" s="42" t="s">
        <v>10817</v>
      </c>
      <c r="D5080" s="43" t="s">
        <v>136</v>
      </c>
      <c r="E5080" s="43" t="s">
        <v>92</v>
      </c>
      <c r="F5080" s="42" t="s">
        <v>11469</v>
      </c>
      <c r="G5080" t="s">
        <v>13197</v>
      </c>
    </row>
    <row r="5081" spans="1:7" x14ac:dyDescent="0.3">
      <c r="A5081" s="42" t="s">
        <v>5005</v>
      </c>
      <c r="B5081" s="42" t="s">
        <v>5214</v>
      </c>
      <c r="C5081" s="42" t="s">
        <v>10818</v>
      </c>
      <c r="D5081" s="43" t="s">
        <v>136</v>
      </c>
      <c r="E5081" s="43" t="s">
        <v>92</v>
      </c>
      <c r="F5081" s="42" t="s">
        <v>11469</v>
      </c>
      <c r="G5081" t="s">
        <v>13197</v>
      </c>
    </row>
    <row r="5082" spans="1:7" x14ac:dyDescent="0.3">
      <c r="A5082" s="42" t="s">
        <v>5005</v>
      </c>
      <c r="B5082" s="42" t="s">
        <v>5215</v>
      </c>
      <c r="C5082" s="42" t="s">
        <v>10819</v>
      </c>
      <c r="D5082" s="43" t="s">
        <v>136</v>
      </c>
      <c r="E5082" s="43" t="s">
        <v>92</v>
      </c>
      <c r="F5082" s="42" t="s">
        <v>11469</v>
      </c>
      <c r="G5082" t="s">
        <v>13197</v>
      </c>
    </row>
    <row r="5083" spans="1:7" x14ac:dyDescent="0.3">
      <c r="A5083" s="42" t="s">
        <v>5005</v>
      </c>
      <c r="B5083" s="42" t="s">
        <v>5216</v>
      </c>
      <c r="C5083" s="42" t="s">
        <v>10820</v>
      </c>
      <c r="D5083" s="43" t="s">
        <v>136</v>
      </c>
      <c r="E5083" s="43" t="s">
        <v>92</v>
      </c>
      <c r="F5083" s="42" t="s">
        <v>192</v>
      </c>
      <c r="G5083" t="s">
        <v>13196</v>
      </c>
    </row>
    <row r="5084" spans="1:7" x14ac:dyDescent="0.3">
      <c r="A5084" s="42" t="s">
        <v>5005</v>
      </c>
      <c r="B5084" s="42" t="s">
        <v>5217</v>
      </c>
      <c r="C5084" s="42" t="s">
        <v>10821</v>
      </c>
      <c r="D5084" s="43" t="s">
        <v>136</v>
      </c>
      <c r="E5084" s="43" t="s">
        <v>92</v>
      </c>
      <c r="F5084" s="42" t="s">
        <v>11469</v>
      </c>
      <c r="G5084" t="s">
        <v>13197</v>
      </c>
    </row>
    <row r="5085" spans="1:7" x14ac:dyDescent="0.3">
      <c r="A5085" s="42" t="s">
        <v>5005</v>
      </c>
      <c r="B5085" s="42" t="s">
        <v>5218</v>
      </c>
      <c r="C5085" s="42" t="s">
        <v>10822</v>
      </c>
      <c r="D5085" s="43" t="s">
        <v>136</v>
      </c>
      <c r="E5085" s="43" t="s">
        <v>92</v>
      </c>
      <c r="F5085" s="42" t="s">
        <v>11469</v>
      </c>
      <c r="G5085" t="s">
        <v>13197</v>
      </c>
    </row>
    <row r="5086" spans="1:7" x14ac:dyDescent="0.3">
      <c r="A5086" s="42" t="s">
        <v>5005</v>
      </c>
      <c r="B5086" s="42" t="s">
        <v>5219</v>
      </c>
      <c r="C5086" s="42" t="s">
        <v>10823</v>
      </c>
      <c r="D5086" s="43" t="s">
        <v>136</v>
      </c>
      <c r="E5086" s="43" t="s">
        <v>92</v>
      </c>
      <c r="F5086" s="42" t="s">
        <v>11469</v>
      </c>
      <c r="G5086" t="s">
        <v>13197</v>
      </c>
    </row>
    <row r="5087" spans="1:7" x14ac:dyDescent="0.3">
      <c r="A5087" s="42" t="s">
        <v>5005</v>
      </c>
      <c r="B5087" s="42" t="s">
        <v>5220</v>
      </c>
      <c r="C5087" s="42" t="s">
        <v>10824</v>
      </c>
      <c r="D5087" s="43" t="s">
        <v>136</v>
      </c>
      <c r="E5087" s="43" t="s">
        <v>92</v>
      </c>
      <c r="F5087" s="42" t="s">
        <v>11469</v>
      </c>
      <c r="G5087" t="s">
        <v>13197</v>
      </c>
    </row>
    <row r="5088" spans="1:7" x14ac:dyDescent="0.3">
      <c r="A5088" s="42" t="s">
        <v>5005</v>
      </c>
      <c r="B5088" s="42" t="s">
        <v>5221</v>
      </c>
      <c r="C5088" s="42" t="s">
        <v>10825</v>
      </c>
      <c r="D5088" s="43" t="s">
        <v>136</v>
      </c>
      <c r="E5088" s="43" t="s">
        <v>92</v>
      </c>
      <c r="F5088" s="42" t="s">
        <v>11469</v>
      </c>
      <c r="G5088" t="s">
        <v>13197</v>
      </c>
    </row>
    <row r="5089" spans="1:7" x14ac:dyDescent="0.3">
      <c r="A5089" s="42" t="s">
        <v>5005</v>
      </c>
      <c r="B5089" s="42" t="s">
        <v>5222</v>
      </c>
      <c r="C5089" s="42" t="s">
        <v>10826</v>
      </c>
      <c r="D5089" s="43" t="s">
        <v>136</v>
      </c>
      <c r="E5089" s="43" t="s">
        <v>92</v>
      </c>
      <c r="F5089" s="42" t="s">
        <v>11469</v>
      </c>
      <c r="G5089" t="s">
        <v>13197</v>
      </c>
    </row>
    <row r="5090" spans="1:7" x14ac:dyDescent="0.3">
      <c r="A5090" s="42" t="s">
        <v>5005</v>
      </c>
      <c r="B5090" s="42" t="s">
        <v>5223</v>
      </c>
      <c r="C5090" s="42" t="s">
        <v>10827</v>
      </c>
      <c r="D5090" s="43" t="s">
        <v>136</v>
      </c>
      <c r="E5090" s="43" t="s">
        <v>92</v>
      </c>
      <c r="F5090" s="42" t="s">
        <v>11469</v>
      </c>
      <c r="G5090" t="s">
        <v>13197</v>
      </c>
    </row>
    <row r="5091" spans="1:7" x14ac:dyDescent="0.3">
      <c r="A5091" s="42" t="s">
        <v>5005</v>
      </c>
      <c r="B5091" s="42" t="s">
        <v>5224</v>
      </c>
      <c r="C5091" s="42" t="s">
        <v>10828</v>
      </c>
      <c r="D5091" s="43" t="s">
        <v>136</v>
      </c>
      <c r="E5091" s="43" t="s">
        <v>92</v>
      </c>
      <c r="F5091" s="42" t="s">
        <v>11469</v>
      </c>
      <c r="G5091" t="s">
        <v>13197</v>
      </c>
    </row>
    <row r="5092" spans="1:7" x14ac:dyDescent="0.3">
      <c r="A5092" s="42" t="s">
        <v>5005</v>
      </c>
      <c r="B5092" s="42" t="s">
        <v>5225</v>
      </c>
      <c r="C5092" s="42" t="s">
        <v>10829</v>
      </c>
      <c r="D5092" s="43" t="s">
        <v>136</v>
      </c>
      <c r="E5092" s="43" t="s">
        <v>92</v>
      </c>
      <c r="F5092" s="42" t="s">
        <v>11469</v>
      </c>
      <c r="G5092" t="s">
        <v>13197</v>
      </c>
    </row>
    <row r="5093" spans="1:7" x14ac:dyDescent="0.3">
      <c r="A5093" s="42" t="s">
        <v>5005</v>
      </c>
      <c r="B5093" s="42" t="s">
        <v>5226</v>
      </c>
      <c r="C5093" s="42" t="s">
        <v>10830</v>
      </c>
      <c r="D5093" s="43" t="s">
        <v>136</v>
      </c>
      <c r="E5093" s="43" t="s">
        <v>92</v>
      </c>
      <c r="F5093" s="42" t="s">
        <v>11469</v>
      </c>
      <c r="G5093" t="s">
        <v>13197</v>
      </c>
    </row>
    <row r="5094" spans="1:7" x14ac:dyDescent="0.3">
      <c r="A5094" s="42" t="s">
        <v>5005</v>
      </c>
      <c r="B5094" s="42" t="s">
        <v>5227</v>
      </c>
      <c r="C5094" s="42" t="s">
        <v>10831</v>
      </c>
      <c r="D5094" s="43" t="s">
        <v>136</v>
      </c>
      <c r="E5094" s="43" t="s">
        <v>92</v>
      </c>
      <c r="F5094" s="42" t="s">
        <v>11469</v>
      </c>
      <c r="G5094" t="s">
        <v>13197</v>
      </c>
    </row>
    <row r="5095" spans="1:7" x14ac:dyDescent="0.3">
      <c r="A5095" s="42" t="s">
        <v>5005</v>
      </c>
      <c r="B5095" s="42" t="s">
        <v>5228</v>
      </c>
      <c r="C5095" s="42" t="s">
        <v>10832</v>
      </c>
      <c r="D5095" s="43" t="s">
        <v>136</v>
      </c>
      <c r="E5095" s="43" t="s">
        <v>92</v>
      </c>
      <c r="F5095" s="42" t="s">
        <v>11469</v>
      </c>
      <c r="G5095" t="s">
        <v>13197</v>
      </c>
    </row>
    <row r="5096" spans="1:7" x14ac:dyDescent="0.3">
      <c r="A5096" s="42" t="s">
        <v>5005</v>
      </c>
      <c r="B5096" s="42" t="s">
        <v>5229</v>
      </c>
      <c r="C5096" s="42" t="s">
        <v>10833</v>
      </c>
      <c r="D5096" s="43" t="s">
        <v>136</v>
      </c>
      <c r="E5096" s="43" t="s">
        <v>92</v>
      </c>
      <c r="F5096" s="42" t="s">
        <v>11469</v>
      </c>
      <c r="G5096" t="s">
        <v>13197</v>
      </c>
    </row>
    <row r="5097" spans="1:7" x14ac:dyDescent="0.3">
      <c r="A5097" s="42" t="s">
        <v>5005</v>
      </c>
      <c r="B5097" s="42" t="s">
        <v>5230</v>
      </c>
      <c r="C5097" s="42" t="s">
        <v>10834</v>
      </c>
      <c r="D5097" s="43" t="s">
        <v>136</v>
      </c>
      <c r="E5097" s="43" t="s">
        <v>92</v>
      </c>
      <c r="F5097" s="42" t="s">
        <v>11469</v>
      </c>
      <c r="G5097" t="s">
        <v>13197</v>
      </c>
    </row>
    <row r="5098" spans="1:7" x14ac:dyDescent="0.3">
      <c r="A5098" s="42" t="s">
        <v>5005</v>
      </c>
      <c r="B5098" s="42" t="s">
        <v>5231</v>
      </c>
      <c r="C5098" s="42" t="s">
        <v>10835</v>
      </c>
      <c r="D5098" s="43" t="s">
        <v>136</v>
      </c>
      <c r="E5098" s="43" t="s">
        <v>92</v>
      </c>
      <c r="F5098" s="42" t="s">
        <v>11469</v>
      </c>
      <c r="G5098" t="s">
        <v>13197</v>
      </c>
    </row>
    <row r="5099" spans="1:7" x14ac:dyDescent="0.3">
      <c r="A5099" s="42" t="s">
        <v>5005</v>
      </c>
      <c r="B5099" s="42" t="s">
        <v>5232</v>
      </c>
      <c r="C5099" s="42" t="s">
        <v>10836</v>
      </c>
      <c r="D5099" s="43" t="s">
        <v>136</v>
      </c>
      <c r="E5099" s="43" t="s">
        <v>92</v>
      </c>
      <c r="F5099" s="42" t="s">
        <v>11469</v>
      </c>
      <c r="G5099" t="s">
        <v>13197</v>
      </c>
    </row>
    <row r="5100" spans="1:7" x14ac:dyDescent="0.3">
      <c r="A5100" s="42" t="s">
        <v>5005</v>
      </c>
      <c r="B5100" s="42" t="s">
        <v>5233</v>
      </c>
      <c r="C5100" s="42" t="s">
        <v>10837</v>
      </c>
      <c r="D5100" s="43" t="s">
        <v>136</v>
      </c>
      <c r="E5100" s="43" t="s">
        <v>92</v>
      </c>
      <c r="F5100" s="42" t="s">
        <v>11469</v>
      </c>
      <c r="G5100" t="s">
        <v>13197</v>
      </c>
    </row>
    <row r="5101" spans="1:7" x14ac:dyDescent="0.3">
      <c r="A5101" s="42" t="s">
        <v>5005</v>
      </c>
      <c r="B5101" s="42" t="s">
        <v>5234</v>
      </c>
      <c r="C5101" s="42" t="s">
        <v>10838</v>
      </c>
      <c r="D5101" s="43" t="s">
        <v>136</v>
      </c>
      <c r="E5101" s="43" t="s">
        <v>92</v>
      </c>
      <c r="F5101" s="42" t="s">
        <v>192</v>
      </c>
      <c r="G5101" t="s">
        <v>13196</v>
      </c>
    </row>
    <row r="5102" spans="1:7" x14ac:dyDescent="0.3">
      <c r="A5102" s="42" t="s">
        <v>5005</v>
      </c>
      <c r="B5102" s="42" t="s">
        <v>5235</v>
      </c>
      <c r="C5102" s="42" t="s">
        <v>10839</v>
      </c>
      <c r="D5102" s="43" t="s">
        <v>136</v>
      </c>
      <c r="E5102" s="43" t="s">
        <v>92</v>
      </c>
      <c r="F5102" s="42" t="s">
        <v>11469</v>
      </c>
      <c r="G5102" t="s">
        <v>13197</v>
      </c>
    </row>
    <row r="5103" spans="1:7" x14ac:dyDescent="0.3">
      <c r="A5103" s="42" t="s">
        <v>5005</v>
      </c>
      <c r="B5103" s="42" t="s">
        <v>5236</v>
      </c>
      <c r="C5103" s="42" t="s">
        <v>10840</v>
      </c>
      <c r="D5103" s="43" t="s">
        <v>136</v>
      </c>
      <c r="E5103" s="43" t="s">
        <v>92</v>
      </c>
      <c r="F5103" s="42" t="s">
        <v>11469</v>
      </c>
      <c r="G5103" t="s">
        <v>13197</v>
      </c>
    </row>
    <row r="5104" spans="1:7" x14ac:dyDescent="0.3">
      <c r="A5104" s="42" t="s">
        <v>5005</v>
      </c>
      <c r="B5104" s="42" t="s">
        <v>5237</v>
      </c>
      <c r="C5104" s="42" t="s">
        <v>10841</v>
      </c>
      <c r="D5104" s="43" t="s">
        <v>136</v>
      </c>
      <c r="E5104" s="43" t="s">
        <v>92</v>
      </c>
      <c r="F5104" s="42" t="s">
        <v>11469</v>
      </c>
      <c r="G5104" t="s">
        <v>13197</v>
      </c>
    </row>
    <row r="5105" spans="1:7" x14ac:dyDescent="0.3">
      <c r="A5105" s="42" t="s">
        <v>5005</v>
      </c>
      <c r="B5105" s="42" t="s">
        <v>5238</v>
      </c>
      <c r="C5105" s="42" t="s">
        <v>10842</v>
      </c>
      <c r="D5105" s="43" t="s">
        <v>136</v>
      </c>
      <c r="E5105" s="43" t="s">
        <v>92</v>
      </c>
      <c r="F5105" s="42" t="s">
        <v>11469</v>
      </c>
      <c r="G5105" t="s">
        <v>13197</v>
      </c>
    </row>
    <row r="5106" spans="1:7" x14ac:dyDescent="0.3">
      <c r="A5106" s="42" t="s">
        <v>5005</v>
      </c>
      <c r="B5106" s="42" t="s">
        <v>5239</v>
      </c>
      <c r="C5106" s="42" t="s">
        <v>10843</v>
      </c>
      <c r="D5106" s="43" t="s">
        <v>136</v>
      </c>
      <c r="E5106" s="43" t="s">
        <v>92</v>
      </c>
      <c r="F5106" s="42" t="s">
        <v>11469</v>
      </c>
      <c r="G5106" t="s">
        <v>13197</v>
      </c>
    </row>
    <row r="5107" spans="1:7" x14ac:dyDescent="0.3">
      <c r="A5107" s="42" t="s">
        <v>5005</v>
      </c>
      <c r="B5107" s="42" t="s">
        <v>5240</v>
      </c>
      <c r="C5107" s="42" t="s">
        <v>10844</v>
      </c>
      <c r="D5107" s="43" t="s">
        <v>136</v>
      </c>
      <c r="E5107" s="43" t="s">
        <v>92</v>
      </c>
      <c r="F5107" s="42" t="s">
        <v>11469</v>
      </c>
      <c r="G5107" t="s">
        <v>13197</v>
      </c>
    </row>
    <row r="5108" spans="1:7" x14ac:dyDescent="0.3">
      <c r="A5108" s="42" t="s">
        <v>5005</v>
      </c>
      <c r="B5108" s="42" t="s">
        <v>5241</v>
      </c>
      <c r="C5108" s="42" t="s">
        <v>10845</v>
      </c>
      <c r="D5108" s="43" t="s">
        <v>136</v>
      </c>
      <c r="E5108" s="43" t="s">
        <v>92</v>
      </c>
      <c r="F5108" s="42" t="s">
        <v>11469</v>
      </c>
      <c r="G5108" t="s">
        <v>13197</v>
      </c>
    </row>
    <row r="5109" spans="1:7" x14ac:dyDescent="0.3">
      <c r="A5109" s="42" t="s">
        <v>5005</v>
      </c>
      <c r="B5109" s="42" t="s">
        <v>5242</v>
      </c>
      <c r="C5109" s="42" t="s">
        <v>10846</v>
      </c>
      <c r="D5109" s="43" t="s">
        <v>136</v>
      </c>
      <c r="E5109" s="43" t="s">
        <v>92</v>
      </c>
      <c r="F5109" s="42" t="s">
        <v>11469</v>
      </c>
      <c r="G5109" t="s">
        <v>13197</v>
      </c>
    </row>
    <row r="5110" spans="1:7" x14ac:dyDescent="0.3">
      <c r="A5110" s="42" t="s">
        <v>5005</v>
      </c>
      <c r="B5110" s="42" t="s">
        <v>5243</v>
      </c>
      <c r="C5110" s="42" t="s">
        <v>10847</v>
      </c>
      <c r="D5110" s="43" t="s">
        <v>136</v>
      </c>
      <c r="E5110" s="43" t="s">
        <v>92</v>
      </c>
      <c r="F5110" s="42" t="s">
        <v>11469</v>
      </c>
      <c r="G5110" t="s">
        <v>13197</v>
      </c>
    </row>
    <row r="5111" spans="1:7" x14ac:dyDescent="0.3">
      <c r="A5111" s="42" t="s">
        <v>5005</v>
      </c>
      <c r="B5111" s="42" t="s">
        <v>5244</v>
      </c>
      <c r="C5111" s="42" t="s">
        <v>10848</v>
      </c>
      <c r="D5111" s="43" t="s">
        <v>136</v>
      </c>
      <c r="E5111" s="43" t="s">
        <v>92</v>
      </c>
      <c r="F5111" s="42" t="s">
        <v>192</v>
      </c>
      <c r="G5111" t="s">
        <v>13196</v>
      </c>
    </row>
    <row r="5112" spans="1:7" x14ac:dyDescent="0.3">
      <c r="A5112" s="42" t="s">
        <v>5005</v>
      </c>
      <c r="B5112" s="42" t="s">
        <v>5245</v>
      </c>
      <c r="C5112" s="42" t="s">
        <v>10849</v>
      </c>
      <c r="D5112" s="43" t="s">
        <v>136</v>
      </c>
      <c r="E5112" s="43" t="s">
        <v>92</v>
      </c>
      <c r="F5112" s="42" t="s">
        <v>11469</v>
      </c>
      <c r="G5112" t="s">
        <v>13197</v>
      </c>
    </row>
    <row r="5113" spans="1:7" x14ac:dyDescent="0.3">
      <c r="A5113" s="42" t="s">
        <v>5005</v>
      </c>
      <c r="B5113" s="42" t="s">
        <v>5246</v>
      </c>
      <c r="C5113" s="42" t="s">
        <v>10850</v>
      </c>
      <c r="D5113" s="43" t="s">
        <v>136</v>
      </c>
      <c r="E5113" s="43" t="s">
        <v>92</v>
      </c>
      <c r="F5113" s="42" t="s">
        <v>11469</v>
      </c>
      <c r="G5113" t="s">
        <v>13197</v>
      </c>
    </row>
    <row r="5114" spans="1:7" x14ac:dyDescent="0.3">
      <c r="A5114" s="42" t="s">
        <v>5005</v>
      </c>
      <c r="B5114" s="42" t="s">
        <v>5247</v>
      </c>
      <c r="C5114" s="42" t="s">
        <v>10851</v>
      </c>
      <c r="D5114" s="43" t="s">
        <v>136</v>
      </c>
      <c r="E5114" s="43" t="s">
        <v>92</v>
      </c>
      <c r="F5114" s="42" t="s">
        <v>192</v>
      </c>
      <c r="G5114" t="s">
        <v>13196</v>
      </c>
    </row>
    <row r="5115" spans="1:7" x14ac:dyDescent="0.3">
      <c r="A5115" s="42" t="s">
        <v>5005</v>
      </c>
      <c r="B5115" s="42" t="s">
        <v>5248</v>
      </c>
      <c r="C5115" s="42" t="s">
        <v>10852</v>
      </c>
      <c r="D5115" s="43" t="s">
        <v>136</v>
      </c>
      <c r="E5115" s="43" t="s">
        <v>92</v>
      </c>
      <c r="F5115" s="42" t="s">
        <v>192</v>
      </c>
      <c r="G5115" t="s">
        <v>13196</v>
      </c>
    </row>
    <row r="5116" spans="1:7" x14ac:dyDescent="0.3">
      <c r="A5116" s="42" t="s">
        <v>5005</v>
      </c>
      <c r="B5116" s="42" t="s">
        <v>5249</v>
      </c>
      <c r="C5116" s="42" t="s">
        <v>10853</v>
      </c>
      <c r="D5116" s="43" t="s">
        <v>136</v>
      </c>
      <c r="E5116" s="43" t="s">
        <v>92</v>
      </c>
      <c r="F5116" s="42" t="s">
        <v>11469</v>
      </c>
      <c r="G5116" t="s">
        <v>13197</v>
      </c>
    </row>
    <row r="5117" spans="1:7" x14ac:dyDescent="0.3">
      <c r="A5117" s="42" t="s">
        <v>5005</v>
      </c>
      <c r="B5117" s="42" t="s">
        <v>1514</v>
      </c>
      <c r="C5117" s="42" t="s">
        <v>10854</v>
      </c>
      <c r="D5117" s="43" t="s">
        <v>136</v>
      </c>
      <c r="E5117" s="43" t="s">
        <v>92</v>
      </c>
      <c r="F5117" s="42" t="s">
        <v>192</v>
      </c>
      <c r="G5117" t="s">
        <v>13196</v>
      </c>
    </row>
    <row r="5118" spans="1:7" x14ac:dyDescent="0.3">
      <c r="A5118" s="42" t="s">
        <v>5005</v>
      </c>
      <c r="B5118" s="42" t="s">
        <v>5250</v>
      </c>
      <c r="C5118" s="42" t="s">
        <v>10855</v>
      </c>
      <c r="D5118" s="43" t="s">
        <v>136</v>
      </c>
      <c r="E5118" s="43" t="s">
        <v>92</v>
      </c>
      <c r="F5118" s="42" t="s">
        <v>11469</v>
      </c>
      <c r="G5118" t="s">
        <v>13197</v>
      </c>
    </row>
    <row r="5119" spans="1:7" x14ac:dyDescent="0.3">
      <c r="A5119" s="42" t="s">
        <v>5005</v>
      </c>
      <c r="B5119" s="42" t="s">
        <v>5251</v>
      </c>
      <c r="C5119" s="42" t="s">
        <v>10856</v>
      </c>
      <c r="D5119" s="43" t="s">
        <v>136</v>
      </c>
      <c r="E5119" s="43" t="s">
        <v>92</v>
      </c>
      <c r="F5119" s="42" t="s">
        <v>11469</v>
      </c>
      <c r="G5119" t="s">
        <v>13197</v>
      </c>
    </row>
    <row r="5120" spans="1:7" x14ac:dyDescent="0.3">
      <c r="A5120" s="42" t="s">
        <v>5005</v>
      </c>
      <c r="B5120" s="42" t="s">
        <v>5252</v>
      </c>
      <c r="C5120" s="42" t="s">
        <v>10857</v>
      </c>
      <c r="D5120" s="43" t="s">
        <v>136</v>
      </c>
      <c r="E5120" s="43" t="s">
        <v>92</v>
      </c>
      <c r="F5120" s="42" t="s">
        <v>11469</v>
      </c>
      <c r="G5120" t="s">
        <v>13197</v>
      </c>
    </row>
    <row r="5121" spans="1:7" x14ac:dyDescent="0.3">
      <c r="A5121" s="42" t="s">
        <v>5005</v>
      </c>
      <c r="B5121" s="42" t="s">
        <v>2764</v>
      </c>
      <c r="C5121" s="42" t="s">
        <v>10858</v>
      </c>
      <c r="D5121" s="43" t="s">
        <v>136</v>
      </c>
      <c r="E5121" s="43" t="s">
        <v>92</v>
      </c>
      <c r="F5121" s="42" t="s">
        <v>11469</v>
      </c>
      <c r="G5121" t="s">
        <v>13197</v>
      </c>
    </row>
    <row r="5122" spans="1:7" x14ac:dyDescent="0.3">
      <c r="A5122" s="42" t="s">
        <v>5005</v>
      </c>
      <c r="B5122" s="42" t="s">
        <v>1355</v>
      </c>
      <c r="C5122" s="42" t="s">
        <v>10859</v>
      </c>
      <c r="D5122" s="43" t="s">
        <v>136</v>
      </c>
      <c r="E5122" s="43" t="s">
        <v>92</v>
      </c>
      <c r="F5122" s="42" t="s">
        <v>11469</v>
      </c>
      <c r="G5122" t="s">
        <v>13197</v>
      </c>
    </row>
    <row r="5123" spans="1:7" x14ac:dyDescent="0.3">
      <c r="A5123" s="42" t="s">
        <v>5005</v>
      </c>
      <c r="B5123" s="42" t="s">
        <v>1357</v>
      </c>
      <c r="C5123" s="42" t="s">
        <v>10860</v>
      </c>
      <c r="D5123" s="43" t="s">
        <v>136</v>
      </c>
      <c r="E5123" s="43" t="s">
        <v>92</v>
      </c>
      <c r="F5123" s="42" t="s">
        <v>11469</v>
      </c>
      <c r="G5123" t="s">
        <v>13197</v>
      </c>
    </row>
    <row r="5124" spans="1:7" x14ac:dyDescent="0.3">
      <c r="A5124" s="42" t="s">
        <v>5005</v>
      </c>
      <c r="B5124" s="42" t="s">
        <v>5253</v>
      </c>
      <c r="C5124" s="42" t="s">
        <v>10861</v>
      </c>
      <c r="D5124" s="43" t="s">
        <v>136</v>
      </c>
      <c r="E5124" s="43" t="s">
        <v>92</v>
      </c>
      <c r="F5124" s="42" t="s">
        <v>192</v>
      </c>
      <c r="G5124" t="s">
        <v>13196</v>
      </c>
    </row>
    <row r="5125" spans="1:7" x14ac:dyDescent="0.3">
      <c r="A5125" s="42" t="s">
        <v>5005</v>
      </c>
      <c r="B5125" s="42" t="s">
        <v>5254</v>
      </c>
      <c r="C5125" s="42" t="s">
        <v>10862</v>
      </c>
      <c r="D5125" s="43" t="s">
        <v>136</v>
      </c>
      <c r="E5125" s="43" t="s">
        <v>92</v>
      </c>
      <c r="F5125" s="42" t="s">
        <v>192</v>
      </c>
      <c r="G5125" t="s">
        <v>13196</v>
      </c>
    </row>
    <row r="5126" spans="1:7" x14ac:dyDescent="0.3">
      <c r="A5126" s="42" t="s">
        <v>5005</v>
      </c>
      <c r="B5126" s="42" t="s">
        <v>5255</v>
      </c>
      <c r="C5126" s="42" t="s">
        <v>10863</v>
      </c>
      <c r="D5126" s="43" t="s">
        <v>136</v>
      </c>
      <c r="E5126" s="43" t="s">
        <v>92</v>
      </c>
      <c r="F5126" s="42" t="s">
        <v>11469</v>
      </c>
      <c r="G5126" t="s">
        <v>13197</v>
      </c>
    </row>
    <row r="5127" spans="1:7" x14ac:dyDescent="0.3">
      <c r="A5127" s="42" t="s">
        <v>5005</v>
      </c>
      <c r="B5127" s="42" t="s">
        <v>5256</v>
      </c>
      <c r="C5127" s="42" t="s">
        <v>10864</v>
      </c>
      <c r="D5127" s="43" t="s">
        <v>136</v>
      </c>
      <c r="E5127" s="43" t="s">
        <v>92</v>
      </c>
      <c r="F5127" s="42" t="s">
        <v>11469</v>
      </c>
      <c r="G5127" t="s">
        <v>13197</v>
      </c>
    </row>
    <row r="5128" spans="1:7" x14ac:dyDescent="0.3">
      <c r="A5128" s="42" t="s">
        <v>5005</v>
      </c>
      <c r="B5128" s="42" t="s">
        <v>1359</v>
      </c>
      <c r="C5128" s="42" t="s">
        <v>10865</v>
      </c>
      <c r="D5128" s="43" t="s">
        <v>136</v>
      </c>
      <c r="E5128" s="43" t="s">
        <v>92</v>
      </c>
      <c r="F5128" s="42" t="s">
        <v>192</v>
      </c>
      <c r="G5128" t="s">
        <v>13196</v>
      </c>
    </row>
    <row r="5129" spans="1:7" x14ac:dyDescent="0.3">
      <c r="A5129" s="42" t="s">
        <v>5005</v>
      </c>
      <c r="B5129" s="42" t="s">
        <v>5257</v>
      </c>
      <c r="C5129" s="42" t="s">
        <v>10866</v>
      </c>
      <c r="D5129" s="43" t="s">
        <v>136</v>
      </c>
      <c r="E5129" s="43" t="s">
        <v>92</v>
      </c>
      <c r="F5129" s="42" t="s">
        <v>11469</v>
      </c>
      <c r="G5129" t="s">
        <v>13197</v>
      </c>
    </row>
    <row r="5130" spans="1:7" x14ac:dyDescent="0.3">
      <c r="A5130" s="42" t="s">
        <v>5005</v>
      </c>
      <c r="B5130" s="42" t="s">
        <v>5258</v>
      </c>
      <c r="C5130" s="42" t="s">
        <v>10867</v>
      </c>
      <c r="D5130" s="43" t="s">
        <v>136</v>
      </c>
      <c r="E5130" s="43" t="s">
        <v>92</v>
      </c>
      <c r="F5130" s="42" t="s">
        <v>11469</v>
      </c>
      <c r="G5130" t="s">
        <v>13197</v>
      </c>
    </row>
    <row r="5131" spans="1:7" x14ac:dyDescent="0.3">
      <c r="A5131" s="42" t="s">
        <v>5005</v>
      </c>
      <c r="B5131" s="42" t="s">
        <v>5259</v>
      </c>
      <c r="C5131" s="42" t="s">
        <v>10868</v>
      </c>
      <c r="D5131" s="43" t="s">
        <v>136</v>
      </c>
      <c r="E5131" s="43" t="s">
        <v>92</v>
      </c>
      <c r="F5131" s="42" t="s">
        <v>11469</v>
      </c>
      <c r="G5131" t="s">
        <v>13197</v>
      </c>
    </row>
    <row r="5132" spans="1:7" x14ac:dyDescent="0.3">
      <c r="A5132" s="42" t="s">
        <v>5005</v>
      </c>
      <c r="B5132" s="42" t="s">
        <v>2421</v>
      </c>
      <c r="C5132" s="42" t="s">
        <v>10869</v>
      </c>
      <c r="D5132" s="43" t="s">
        <v>136</v>
      </c>
      <c r="E5132" s="43" t="s">
        <v>92</v>
      </c>
      <c r="F5132" s="42" t="s">
        <v>137</v>
      </c>
      <c r="G5132" t="s">
        <v>13197</v>
      </c>
    </row>
    <row r="5133" spans="1:7" x14ac:dyDescent="0.3">
      <c r="A5133" s="42" t="s">
        <v>5005</v>
      </c>
      <c r="B5133" s="42" t="s">
        <v>5260</v>
      </c>
      <c r="C5133" s="42" t="s">
        <v>10870</v>
      </c>
      <c r="D5133" s="43" t="s">
        <v>136</v>
      </c>
      <c r="E5133" s="43" t="s">
        <v>92</v>
      </c>
      <c r="F5133" s="42" t="s">
        <v>11469</v>
      </c>
      <c r="G5133" t="s">
        <v>13197</v>
      </c>
    </row>
    <row r="5134" spans="1:7" x14ac:dyDescent="0.3">
      <c r="A5134" s="42" t="s">
        <v>5005</v>
      </c>
      <c r="B5134" s="42" t="s">
        <v>5261</v>
      </c>
      <c r="C5134" s="42" t="s">
        <v>10871</v>
      </c>
      <c r="D5134" s="43" t="s">
        <v>136</v>
      </c>
      <c r="E5134" s="43" t="s">
        <v>92</v>
      </c>
      <c r="F5134" s="42" t="s">
        <v>11469</v>
      </c>
      <c r="G5134" t="s">
        <v>13197</v>
      </c>
    </row>
    <row r="5135" spans="1:7" x14ac:dyDescent="0.3">
      <c r="A5135" s="42" t="s">
        <v>5005</v>
      </c>
      <c r="B5135" s="42" t="s">
        <v>5262</v>
      </c>
      <c r="C5135" s="42" t="s">
        <v>10872</v>
      </c>
      <c r="D5135" s="43" t="s">
        <v>136</v>
      </c>
      <c r="E5135" s="43" t="s">
        <v>92</v>
      </c>
      <c r="F5135" s="42" t="s">
        <v>11469</v>
      </c>
      <c r="G5135" t="s">
        <v>13197</v>
      </c>
    </row>
    <row r="5136" spans="1:7" x14ac:dyDescent="0.3">
      <c r="A5136" s="42" t="s">
        <v>5005</v>
      </c>
      <c r="B5136" s="42" t="s">
        <v>5263</v>
      </c>
      <c r="C5136" s="42" t="s">
        <v>10873</v>
      </c>
      <c r="D5136" s="43" t="s">
        <v>136</v>
      </c>
      <c r="E5136" s="43" t="s">
        <v>92</v>
      </c>
      <c r="F5136" s="42" t="s">
        <v>11469</v>
      </c>
      <c r="G5136" t="s">
        <v>13197</v>
      </c>
    </row>
    <row r="5137" spans="1:7" x14ac:dyDescent="0.3">
      <c r="A5137" s="42" t="s">
        <v>5005</v>
      </c>
      <c r="B5137" s="42" t="s">
        <v>5264</v>
      </c>
      <c r="C5137" s="42" t="s">
        <v>10874</v>
      </c>
      <c r="D5137" s="43" t="s">
        <v>136</v>
      </c>
      <c r="E5137" s="43" t="s">
        <v>92</v>
      </c>
      <c r="F5137" s="42" t="s">
        <v>11469</v>
      </c>
      <c r="G5137" t="s">
        <v>13197</v>
      </c>
    </row>
    <row r="5138" spans="1:7" x14ac:dyDescent="0.3">
      <c r="A5138" s="42" t="s">
        <v>5005</v>
      </c>
      <c r="B5138" s="42" t="s">
        <v>3849</v>
      </c>
      <c r="C5138" s="42" t="s">
        <v>10875</v>
      </c>
      <c r="D5138" s="43" t="s">
        <v>136</v>
      </c>
      <c r="E5138" s="43" t="s">
        <v>92</v>
      </c>
      <c r="F5138" s="42" t="s">
        <v>11469</v>
      </c>
      <c r="G5138" t="s">
        <v>13197</v>
      </c>
    </row>
    <row r="5139" spans="1:7" x14ac:dyDescent="0.3">
      <c r="A5139" s="42" t="s">
        <v>5005</v>
      </c>
      <c r="B5139" s="42" t="s">
        <v>5265</v>
      </c>
      <c r="C5139" s="42" t="s">
        <v>10876</v>
      </c>
      <c r="D5139" s="43" t="s">
        <v>136</v>
      </c>
      <c r="E5139" s="43" t="s">
        <v>92</v>
      </c>
      <c r="F5139" s="42" t="s">
        <v>11469</v>
      </c>
      <c r="G5139" t="s">
        <v>13197</v>
      </c>
    </row>
    <row r="5140" spans="1:7" x14ac:dyDescent="0.3">
      <c r="A5140" s="42" t="s">
        <v>5005</v>
      </c>
      <c r="B5140" s="42" t="s">
        <v>5266</v>
      </c>
      <c r="C5140" s="42" t="s">
        <v>10877</v>
      </c>
      <c r="D5140" s="43" t="s">
        <v>136</v>
      </c>
      <c r="E5140" s="43" t="s">
        <v>92</v>
      </c>
      <c r="F5140" s="42" t="s">
        <v>11469</v>
      </c>
      <c r="G5140" t="s">
        <v>13197</v>
      </c>
    </row>
    <row r="5141" spans="1:7" x14ac:dyDescent="0.3">
      <c r="A5141" s="42" t="s">
        <v>5005</v>
      </c>
      <c r="B5141" s="42" t="s">
        <v>5267</v>
      </c>
      <c r="C5141" s="42" t="s">
        <v>10878</v>
      </c>
      <c r="D5141" s="43" t="s">
        <v>136</v>
      </c>
      <c r="E5141" s="43" t="s">
        <v>92</v>
      </c>
      <c r="F5141" s="42" t="s">
        <v>11469</v>
      </c>
      <c r="G5141" t="s">
        <v>13197</v>
      </c>
    </row>
    <row r="5142" spans="1:7" x14ac:dyDescent="0.3">
      <c r="A5142" s="42" t="s">
        <v>5005</v>
      </c>
      <c r="B5142" s="42" t="s">
        <v>5268</v>
      </c>
      <c r="C5142" s="42" t="s">
        <v>10879</v>
      </c>
      <c r="D5142" s="43" t="s">
        <v>136</v>
      </c>
      <c r="E5142" s="43" t="s">
        <v>92</v>
      </c>
      <c r="F5142" s="42" t="s">
        <v>11469</v>
      </c>
      <c r="G5142" t="s">
        <v>13197</v>
      </c>
    </row>
    <row r="5143" spans="1:7" x14ac:dyDescent="0.3">
      <c r="A5143" s="42" t="s">
        <v>5005</v>
      </c>
      <c r="B5143" s="42" t="s">
        <v>5269</v>
      </c>
      <c r="C5143" s="42" t="s">
        <v>10880</v>
      </c>
      <c r="D5143" s="43" t="s">
        <v>136</v>
      </c>
      <c r="E5143" s="43" t="s">
        <v>92</v>
      </c>
      <c r="F5143" s="42" t="s">
        <v>192</v>
      </c>
      <c r="G5143" t="s">
        <v>13196</v>
      </c>
    </row>
    <row r="5144" spans="1:7" x14ac:dyDescent="0.3">
      <c r="A5144" s="42" t="s">
        <v>5005</v>
      </c>
      <c r="B5144" s="42" t="s">
        <v>5270</v>
      </c>
      <c r="C5144" s="42" t="s">
        <v>10881</v>
      </c>
      <c r="D5144" s="43" t="s">
        <v>136</v>
      </c>
      <c r="E5144" s="43" t="s">
        <v>92</v>
      </c>
      <c r="F5144" s="42" t="s">
        <v>11469</v>
      </c>
      <c r="G5144" t="s">
        <v>13197</v>
      </c>
    </row>
    <row r="5145" spans="1:7" x14ac:dyDescent="0.3">
      <c r="A5145" s="42" t="s">
        <v>5005</v>
      </c>
      <c r="B5145" s="42" t="s">
        <v>5271</v>
      </c>
      <c r="C5145" s="42" t="s">
        <v>10882</v>
      </c>
      <c r="D5145" s="43" t="s">
        <v>136</v>
      </c>
      <c r="E5145" s="43" t="s">
        <v>92</v>
      </c>
      <c r="F5145" s="42" t="s">
        <v>11469</v>
      </c>
      <c r="G5145" t="s">
        <v>13197</v>
      </c>
    </row>
    <row r="5146" spans="1:7" x14ac:dyDescent="0.3">
      <c r="A5146" s="42" t="s">
        <v>5005</v>
      </c>
      <c r="B5146" s="42" t="s">
        <v>5272</v>
      </c>
      <c r="C5146" s="42" t="s">
        <v>10883</v>
      </c>
      <c r="D5146" s="43" t="s">
        <v>136</v>
      </c>
      <c r="E5146" s="43" t="s">
        <v>92</v>
      </c>
      <c r="F5146" s="42" t="s">
        <v>11469</v>
      </c>
      <c r="G5146" t="s">
        <v>13197</v>
      </c>
    </row>
    <row r="5147" spans="1:7" x14ac:dyDescent="0.3">
      <c r="A5147" s="42" t="s">
        <v>5005</v>
      </c>
      <c r="B5147" s="42" t="s">
        <v>5273</v>
      </c>
      <c r="C5147" s="42" t="s">
        <v>10884</v>
      </c>
      <c r="D5147" s="43" t="s">
        <v>136</v>
      </c>
      <c r="E5147" s="43" t="s">
        <v>92</v>
      </c>
      <c r="F5147" s="42" t="s">
        <v>192</v>
      </c>
      <c r="G5147" t="s">
        <v>13196</v>
      </c>
    </row>
    <row r="5148" spans="1:7" x14ac:dyDescent="0.3">
      <c r="A5148" s="42" t="s">
        <v>5005</v>
      </c>
      <c r="B5148" s="42" t="s">
        <v>5274</v>
      </c>
      <c r="C5148" s="42" t="s">
        <v>10885</v>
      </c>
      <c r="D5148" s="43" t="s">
        <v>136</v>
      </c>
      <c r="E5148" s="43" t="s">
        <v>92</v>
      </c>
      <c r="F5148" s="42" t="s">
        <v>11469</v>
      </c>
      <c r="G5148" t="s">
        <v>13197</v>
      </c>
    </row>
    <row r="5149" spans="1:7" x14ac:dyDescent="0.3">
      <c r="A5149" s="42" t="s">
        <v>5005</v>
      </c>
      <c r="B5149" s="42" t="s">
        <v>5275</v>
      </c>
      <c r="C5149" s="42" t="s">
        <v>10886</v>
      </c>
      <c r="D5149" s="43" t="s">
        <v>136</v>
      </c>
      <c r="E5149" s="43" t="s">
        <v>92</v>
      </c>
      <c r="F5149" s="42" t="s">
        <v>11469</v>
      </c>
      <c r="G5149" t="s">
        <v>13197</v>
      </c>
    </row>
    <row r="5150" spans="1:7" x14ac:dyDescent="0.3">
      <c r="A5150" s="42" t="s">
        <v>5005</v>
      </c>
      <c r="B5150" s="42" t="s">
        <v>5276</v>
      </c>
      <c r="C5150" s="42" t="s">
        <v>10887</v>
      </c>
      <c r="D5150" s="43" t="s">
        <v>136</v>
      </c>
      <c r="E5150" s="43" t="s">
        <v>92</v>
      </c>
      <c r="F5150" s="42" t="s">
        <v>11469</v>
      </c>
      <c r="G5150" t="s">
        <v>13197</v>
      </c>
    </row>
    <row r="5151" spans="1:7" x14ac:dyDescent="0.3">
      <c r="A5151" s="42" t="s">
        <v>5005</v>
      </c>
      <c r="B5151" s="42" t="s">
        <v>5277</v>
      </c>
      <c r="C5151" s="42" t="s">
        <v>10888</v>
      </c>
      <c r="D5151" s="43" t="s">
        <v>136</v>
      </c>
      <c r="E5151" s="43" t="s">
        <v>92</v>
      </c>
      <c r="F5151" s="42" t="s">
        <v>11469</v>
      </c>
      <c r="G5151" t="s">
        <v>13197</v>
      </c>
    </row>
    <row r="5152" spans="1:7" x14ac:dyDescent="0.3">
      <c r="A5152" s="42" t="s">
        <v>5005</v>
      </c>
      <c r="B5152" s="42" t="s">
        <v>5278</v>
      </c>
      <c r="C5152" s="42" t="s">
        <v>10889</v>
      </c>
      <c r="D5152" s="43" t="s">
        <v>136</v>
      </c>
      <c r="E5152" s="43" t="s">
        <v>92</v>
      </c>
      <c r="F5152" s="42" t="s">
        <v>11469</v>
      </c>
      <c r="G5152" t="s">
        <v>13200</v>
      </c>
    </row>
    <row r="5153" spans="1:7" x14ac:dyDescent="0.3">
      <c r="A5153" s="42" t="s">
        <v>5005</v>
      </c>
      <c r="B5153" s="42" t="s">
        <v>5279</v>
      </c>
      <c r="C5153" s="42" t="s">
        <v>10890</v>
      </c>
      <c r="D5153" s="43" t="s">
        <v>136</v>
      </c>
      <c r="E5153" s="43" t="s">
        <v>92</v>
      </c>
      <c r="F5153" s="42" t="s">
        <v>11469</v>
      </c>
      <c r="G5153" t="s">
        <v>13197</v>
      </c>
    </row>
    <row r="5154" spans="1:7" x14ac:dyDescent="0.3">
      <c r="A5154" s="42" t="s">
        <v>5005</v>
      </c>
      <c r="B5154" s="42" t="s">
        <v>5280</v>
      </c>
      <c r="C5154" s="42" t="s">
        <v>10891</v>
      </c>
      <c r="D5154" s="43" t="s">
        <v>136</v>
      </c>
      <c r="E5154" s="43" t="s">
        <v>92</v>
      </c>
      <c r="F5154" s="42" t="s">
        <v>11469</v>
      </c>
      <c r="G5154" t="s">
        <v>13197</v>
      </c>
    </row>
    <row r="5155" spans="1:7" x14ac:dyDescent="0.3">
      <c r="A5155" s="42" t="s">
        <v>5005</v>
      </c>
      <c r="B5155" s="42" t="s">
        <v>5281</v>
      </c>
      <c r="C5155" s="42" t="s">
        <v>10892</v>
      </c>
      <c r="D5155" s="43" t="s">
        <v>136</v>
      </c>
      <c r="E5155" s="43" t="s">
        <v>92</v>
      </c>
      <c r="F5155" s="42" t="s">
        <v>11469</v>
      </c>
      <c r="G5155" t="s">
        <v>13197</v>
      </c>
    </row>
    <row r="5156" spans="1:7" x14ac:dyDescent="0.3">
      <c r="A5156" s="42" t="s">
        <v>5005</v>
      </c>
      <c r="B5156" s="42" t="s">
        <v>5282</v>
      </c>
      <c r="C5156" s="42" t="s">
        <v>10893</v>
      </c>
      <c r="D5156" s="43" t="s">
        <v>136</v>
      </c>
      <c r="E5156" s="43" t="s">
        <v>92</v>
      </c>
      <c r="F5156" s="42" t="s">
        <v>11469</v>
      </c>
      <c r="G5156" t="s">
        <v>13197</v>
      </c>
    </row>
    <row r="5157" spans="1:7" x14ac:dyDescent="0.3">
      <c r="A5157" s="42" t="s">
        <v>5005</v>
      </c>
      <c r="B5157" s="42" t="s">
        <v>5283</v>
      </c>
      <c r="C5157" s="42" t="s">
        <v>10894</v>
      </c>
      <c r="D5157" s="43" t="s">
        <v>136</v>
      </c>
      <c r="E5157" s="43" t="s">
        <v>92</v>
      </c>
      <c r="F5157" s="42" t="s">
        <v>11469</v>
      </c>
      <c r="G5157" t="s">
        <v>13197</v>
      </c>
    </row>
    <row r="5158" spans="1:7" x14ac:dyDescent="0.3">
      <c r="A5158" s="42" t="s">
        <v>5005</v>
      </c>
      <c r="B5158" s="42" t="s">
        <v>5284</v>
      </c>
      <c r="C5158" s="42" t="s">
        <v>10895</v>
      </c>
      <c r="D5158" s="43" t="s">
        <v>136</v>
      </c>
      <c r="E5158" s="43" t="s">
        <v>92</v>
      </c>
      <c r="F5158" s="42" t="s">
        <v>11469</v>
      </c>
      <c r="G5158" t="s">
        <v>13197</v>
      </c>
    </row>
    <row r="5159" spans="1:7" x14ac:dyDescent="0.3">
      <c r="A5159" s="42" t="s">
        <v>5005</v>
      </c>
      <c r="B5159" s="42" t="s">
        <v>5285</v>
      </c>
      <c r="C5159" s="42" t="s">
        <v>10896</v>
      </c>
      <c r="D5159" s="43" t="s">
        <v>136</v>
      </c>
      <c r="E5159" s="43" t="s">
        <v>92</v>
      </c>
      <c r="F5159" s="42" t="s">
        <v>11469</v>
      </c>
      <c r="G5159" t="s">
        <v>13197</v>
      </c>
    </row>
    <row r="5160" spans="1:7" x14ac:dyDescent="0.3">
      <c r="A5160" s="42" t="s">
        <v>5005</v>
      </c>
      <c r="B5160" s="42" t="s">
        <v>5286</v>
      </c>
      <c r="C5160" s="42" t="s">
        <v>10897</v>
      </c>
      <c r="D5160" s="43" t="s">
        <v>136</v>
      </c>
      <c r="E5160" s="43" t="s">
        <v>92</v>
      </c>
      <c r="F5160" s="42" t="s">
        <v>11469</v>
      </c>
      <c r="G5160" t="s">
        <v>13197</v>
      </c>
    </row>
    <row r="5161" spans="1:7" x14ac:dyDescent="0.3">
      <c r="A5161" s="42" t="s">
        <v>5005</v>
      </c>
      <c r="B5161" s="42" t="s">
        <v>5287</v>
      </c>
      <c r="C5161" s="42" t="s">
        <v>10898</v>
      </c>
      <c r="D5161" s="43" t="s">
        <v>136</v>
      </c>
      <c r="E5161" s="43" t="s">
        <v>92</v>
      </c>
      <c r="F5161" s="42" t="s">
        <v>192</v>
      </c>
      <c r="G5161" t="s">
        <v>13196</v>
      </c>
    </row>
    <row r="5162" spans="1:7" x14ac:dyDescent="0.3">
      <c r="A5162" s="42" t="s">
        <v>5005</v>
      </c>
      <c r="B5162" s="42" t="s">
        <v>5288</v>
      </c>
      <c r="C5162" s="42" t="s">
        <v>10899</v>
      </c>
      <c r="D5162" s="43" t="s">
        <v>136</v>
      </c>
      <c r="E5162" s="43" t="s">
        <v>92</v>
      </c>
      <c r="F5162" s="42" t="s">
        <v>11469</v>
      </c>
      <c r="G5162" t="s">
        <v>13197</v>
      </c>
    </row>
    <row r="5163" spans="1:7" x14ac:dyDescent="0.3">
      <c r="A5163" s="42" t="s">
        <v>5005</v>
      </c>
      <c r="B5163" s="42" t="s">
        <v>5289</v>
      </c>
      <c r="C5163" s="42" t="s">
        <v>10900</v>
      </c>
      <c r="D5163" s="43" t="s">
        <v>136</v>
      </c>
      <c r="E5163" s="43" t="s">
        <v>92</v>
      </c>
      <c r="F5163" s="42" t="s">
        <v>11469</v>
      </c>
      <c r="G5163" t="s">
        <v>13197</v>
      </c>
    </row>
    <row r="5164" spans="1:7" x14ac:dyDescent="0.3">
      <c r="A5164" s="42" t="s">
        <v>5005</v>
      </c>
      <c r="B5164" s="42" t="s">
        <v>5290</v>
      </c>
      <c r="C5164" s="42" t="s">
        <v>10901</v>
      </c>
      <c r="D5164" s="43" t="s">
        <v>136</v>
      </c>
      <c r="E5164" s="43" t="s">
        <v>92</v>
      </c>
      <c r="F5164" s="42" t="s">
        <v>11469</v>
      </c>
      <c r="G5164" t="s">
        <v>13197</v>
      </c>
    </row>
    <row r="5165" spans="1:7" x14ac:dyDescent="0.3">
      <c r="A5165" s="42" t="s">
        <v>5005</v>
      </c>
      <c r="B5165" s="42" t="s">
        <v>5291</v>
      </c>
      <c r="C5165" s="42" t="s">
        <v>10902</v>
      </c>
      <c r="D5165" s="43" t="s">
        <v>136</v>
      </c>
      <c r="E5165" s="43" t="s">
        <v>92</v>
      </c>
      <c r="F5165" s="42" t="s">
        <v>11469</v>
      </c>
      <c r="G5165" t="s">
        <v>13197</v>
      </c>
    </row>
    <row r="5166" spans="1:7" x14ac:dyDescent="0.3">
      <c r="A5166" s="42" t="s">
        <v>5005</v>
      </c>
      <c r="B5166" s="42" t="s">
        <v>5292</v>
      </c>
      <c r="C5166" s="42" t="s">
        <v>10903</v>
      </c>
      <c r="D5166" s="43" t="s">
        <v>136</v>
      </c>
      <c r="E5166" s="43" t="s">
        <v>92</v>
      </c>
      <c r="F5166" s="42" t="s">
        <v>192</v>
      </c>
      <c r="G5166" t="s">
        <v>13196</v>
      </c>
    </row>
    <row r="5167" spans="1:7" x14ac:dyDescent="0.3">
      <c r="A5167" s="42" t="s">
        <v>5005</v>
      </c>
      <c r="B5167" s="42" t="s">
        <v>5293</v>
      </c>
      <c r="C5167" s="42" t="s">
        <v>10904</v>
      </c>
      <c r="D5167" s="43" t="s">
        <v>136</v>
      </c>
      <c r="E5167" s="43" t="s">
        <v>92</v>
      </c>
      <c r="F5167" s="42" t="s">
        <v>11469</v>
      </c>
      <c r="G5167" t="s">
        <v>13197</v>
      </c>
    </row>
    <row r="5168" spans="1:7" x14ac:dyDescent="0.3">
      <c r="A5168" s="42" t="s">
        <v>5005</v>
      </c>
      <c r="B5168" s="42" t="s">
        <v>5294</v>
      </c>
      <c r="C5168" s="42" t="s">
        <v>10905</v>
      </c>
      <c r="D5168" s="43" t="s">
        <v>136</v>
      </c>
      <c r="E5168" s="43" t="s">
        <v>92</v>
      </c>
      <c r="F5168" s="42" t="s">
        <v>11469</v>
      </c>
      <c r="G5168" t="s">
        <v>13197</v>
      </c>
    </row>
    <row r="5169" spans="1:7" x14ac:dyDescent="0.3">
      <c r="A5169" s="42" t="s">
        <v>5005</v>
      </c>
      <c r="B5169" s="42" t="s">
        <v>5295</v>
      </c>
      <c r="C5169" s="42" t="s">
        <v>10906</v>
      </c>
      <c r="D5169" s="43" t="s">
        <v>136</v>
      </c>
      <c r="E5169" s="43" t="s">
        <v>92</v>
      </c>
      <c r="F5169" s="42" t="s">
        <v>11469</v>
      </c>
      <c r="G5169" t="s">
        <v>13197</v>
      </c>
    </row>
    <row r="5170" spans="1:7" x14ac:dyDescent="0.3">
      <c r="A5170" s="42" t="s">
        <v>5005</v>
      </c>
      <c r="B5170" s="42" t="s">
        <v>5296</v>
      </c>
      <c r="C5170" s="42" t="s">
        <v>10907</v>
      </c>
      <c r="D5170" s="43" t="s">
        <v>136</v>
      </c>
      <c r="E5170" s="43" t="s">
        <v>92</v>
      </c>
      <c r="F5170" s="42" t="s">
        <v>11469</v>
      </c>
      <c r="G5170" t="s">
        <v>13197</v>
      </c>
    </row>
    <row r="5171" spans="1:7" x14ac:dyDescent="0.3">
      <c r="A5171" s="42" t="s">
        <v>5005</v>
      </c>
      <c r="B5171" s="42" t="s">
        <v>5297</v>
      </c>
      <c r="C5171" s="42" t="s">
        <v>10908</v>
      </c>
      <c r="D5171" s="43" t="s">
        <v>136</v>
      </c>
      <c r="E5171" s="43" t="s">
        <v>92</v>
      </c>
      <c r="F5171" s="42" t="s">
        <v>11469</v>
      </c>
      <c r="G5171" t="s">
        <v>13197</v>
      </c>
    </row>
    <row r="5172" spans="1:7" x14ac:dyDescent="0.3">
      <c r="A5172" s="42" t="s">
        <v>5005</v>
      </c>
      <c r="B5172" s="42" t="s">
        <v>5298</v>
      </c>
      <c r="C5172" s="42" t="s">
        <v>10909</v>
      </c>
      <c r="D5172" s="43" t="s">
        <v>136</v>
      </c>
      <c r="E5172" s="43" t="s">
        <v>92</v>
      </c>
      <c r="F5172" s="42" t="s">
        <v>11469</v>
      </c>
      <c r="G5172" t="s">
        <v>13197</v>
      </c>
    </row>
    <row r="5173" spans="1:7" x14ac:dyDescent="0.3">
      <c r="A5173" s="42" t="s">
        <v>5005</v>
      </c>
      <c r="B5173" s="42" t="s">
        <v>5299</v>
      </c>
      <c r="C5173" s="42" t="s">
        <v>10910</v>
      </c>
      <c r="D5173" s="43" t="s">
        <v>136</v>
      </c>
      <c r="E5173" s="43" t="s">
        <v>92</v>
      </c>
      <c r="F5173" s="42" t="s">
        <v>11469</v>
      </c>
      <c r="G5173" t="s">
        <v>13197</v>
      </c>
    </row>
    <row r="5174" spans="1:7" x14ac:dyDescent="0.3">
      <c r="A5174" s="42" t="s">
        <v>5005</v>
      </c>
      <c r="B5174" s="42" t="s">
        <v>5300</v>
      </c>
      <c r="C5174" s="42" t="s">
        <v>10911</v>
      </c>
      <c r="D5174" s="43" t="s">
        <v>136</v>
      </c>
      <c r="E5174" s="43" t="s">
        <v>92</v>
      </c>
      <c r="F5174" s="42" t="s">
        <v>11469</v>
      </c>
      <c r="G5174" t="s">
        <v>13197</v>
      </c>
    </row>
    <row r="5175" spans="1:7" x14ac:dyDescent="0.3">
      <c r="A5175" t="s">
        <v>2547</v>
      </c>
      <c r="B5175" t="s">
        <v>11433</v>
      </c>
      <c r="C5175" t="s">
        <v>11434</v>
      </c>
      <c r="D5175" t="s">
        <v>91</v>
      </c>
      <c r="E5175" t="s">
        <v>91</v>
      </c>
      <c r="F5175" t="s">
        <v>192</v>
      </c>
      <c r="G5175" t="s">
        <v>13196</v>
      </c>
    </row>
    <row r="5176" spans="1:7" x14ac:dyDescent="0.3">
      <c r="A5176" t="s">
        <v>2547</v>
      </c>
      <c r="B5176" t="s">
        <v>11435</v>
      </c>
      <c r="C5176" t="s">
        <v>11436</v>
      </c>
      <c r="D5176" t="s">
        <v>91</v>
      </c>
      <c r="E5176" t="s">
        <v>91</v>
      </c>
      <c r="F5176" s="42" t="s">
        <v>192</v>
      </c>
      <c r="G5176" t="s">
        <v>13196</v>
      </c>
    </row>
    <row r="5177" spans="1:7" x14ac:dyDescent="0.3">
      <c r="A5177" t="s">
        <v>2547</v>
      </c>
      <c r="B5177" t="s">
        <v>11437</v>
      </c>
      <c r="C5177" t="s">
        <v>11438</v>
      </c>
      <c r="D5177" t="s">
        <v>91</v>
      </c>
      <c r="E5177" t="s">
        <v>91</v>
      </c>
      <c r="F5177" t="s">
        <v>192</v>
      </c>
      <c r="G5177" t="s">
        <v>13196</v>
      </c>
    </row>
    <row r="5178" spans="1:7" x14ac:dyDescent="0.3">
      <c r="A5178" t="s">
        <v>2547</v>
      </c>
      <c r="B5178" t="s">
        <v>1522</v>
      </c>
      <c r="C5178" t="s">
        <v>11439</v>
      </c>
      <c r="D5178" t="s">
        <v>91</v>
      </c>
      <c r="E5178" t="s">
        <v>91</v>
      </c>
      <c r="F5178" s="42" t="s">
        <v>11469</v>
      </c>
      <c r="G5178" t="s">
        <v>13197</v>
      </c>
    </row>
    <row r="5179" spans="1:7" x14ac:dyDescent="0.3">
      <c r="A5179" t="s">
        <v>2547</v>
      </c>
      <c r="B5179" t="s">
        <v>11440</v>
      </c>
      <c r="C5179" t="s">
        <v>11441</v>
      </c>
      <c r="D5179" t="s">
        <v>91</v>
      </c>
      <c r="E5179" t="s">
        <v>91</v>
      </c>
      <c r="F5179" s="42" t="s">
        <v>11469</v>
      </c>
      <c r="G5179" t="s">
        <v>13197</v>
      </c>
    </row>
    <row r="5180" spans="1:7" x14ac:dyDescent="0.3">
      <c r="A5180" t="s">
        <v>2547</v>
      </c>
      <c r="B5180" t="s">
        <v>11442</v>
      </c>
      <c r="C5180" t="s">
        <v>11443</v>
      </c>
      <c r="D5180" t="s">
        <v>91</v>
      </c>
      <c r="E5180" t="s">
        <v>91</v>
      </c>
      <c r="F5180" s="42" t="s">
        <v>11469</v>
      </c>
      <c r="G5180" t="s">
        <v>13197</v>
      </c>
    </row>
    <row r="5181" spans="1:7" x14ac:dyDescent="0.3">
      <c r="A5181" t="s">
        <v>2547</v>
      </c>
      <c r="B5181" t="s">
        <v>2744</v>
      </c>
      <c r="C5181" t="s">
        <v>8273</v>
      </c>
      <c r="D5181" t="s">
        <v>91</v>
      </c>
      <c r="E5181" t="s">
        <v>91</v>
      </c>
      <c r="F5181" s="42" t="s">
        <v>11469</v>
      </c>
      <c r="G5181" t="s">
        <v>13197</v>
      </c>
    </row>
    <row r="5182" spans="1:7" x14ac:dyDescent="0.3">
      <c r="A5182" t="s">
        <v>2547</v>
      </c>
      <c r="B5182" t="s">
        <v>2612</v>
      </c>
      <c r="C5182" t="s">
        <v>8138</v>
      </c>
      <c r="D5182" t="s">
        <v>91</v>
      </c>
      <c r="E5182" t="s">
        <v>91</v>
      </c>
      <c r="F5182" s="42" t="s">
        <v>192</v>
      </c>
      <c r="G5182" t="s">
        <v>13196</v>
      </c>
    </row>
    <row r="5183" spans="1:7" x14ac:dyDescent="0.3">
      <c r="A5183" t="s">
        <v>2547</v>
      </c>
      <c r="B5183" t="s">
        <v>2805</v>
      </c>
      <c r="C5183" t="s">
        <v>8342</v>
      </c>
      <c r="D5183" t="s">
        <v>91</v>
      </c>
      <c r="E5183" t="s">
        <v>91</v>
      </c>
      <c r="F5183" t="s">
        <v>192</v>
      </c>
      <c r="G5183" t="s">
        <v>13196</v>
      </c>
    </row>
    <row r="5184" spans="1:7" x14ac:dyDescent="0.3">
      <c r="A5184" s="42" t="s">
        <v>11459</v>
      </c>
      <c r="B5184" s="42" t="s">
        <v>11459</v>
      </c>
      <c r="C5184" s="42" t="s">
        <v>11460</v>
      </c>
      <c r="D5184" s="43" t="s">
        <v>91</v>
      </c>
      <c r="E5184" s="43" t="s">
        <v>91</v>
      </c>
      <c r="F5184" s="42" t="s">
        <v>11469</v>
      </c>
      <c r="G5184" t="s">
        <v>13197</v>
      </c>
    </row>
    <row r="5185" spans="1:7" x14ac:dyDescent="0.3">
      <c r="A5185" t="s">
        <v>2055</v>
      </c>
      <c r="B5185" t="s">
        <v>11465</v>
      </c>
      <c r="C5185" t="s">
        <v>11467</v>
      </c>
      <c r="D5185" t="s">
        <v>136</v>
      </c>
      <c r="E5185" t="s">
        <v>92</v>
      </c>
      <c r="F5185" t="s">
        <v>192</v>
      </c>
      <c r="G5185" t="s">
        <v>13197</v>
      </c>
    </row>
    <row r="5186" spans="1:7" x14ac:dyDescent="0.3">
      <c r="A5186" t="s">
        <v>2055</v>
      </c>
      <c r="B5186" t="s">
        <v>11466</v>
      </c>
      <c r="C5186" t="s">
        <v>11468</v>
      </c>
      <c r="D5186" t="s">
        <v>136</v>
      </c>
      <c r="E5186" t="s">
        <v>92</v>
      </c>
      <c r="F5186" t="s">
        <v>192</v>
      </c>
      <c r="G5186" t="s">
        <v>13197</v>
      </c>
    </row>
    <row r="5187" spans="1:7" x14ac:dyDescent="0.3">
      <c r="A5187" t="s">
        <v>2464</v>
      </c>
      <c r="B5187" t="s">
        <v>12278</v>
      </c>
      <c r="C5187" t="s">
        <v>12279</v>
      </c>
      <c r="D5187" t="s">
        <v>230</v>
      </c>
      <c r="E5187" t="s">
        <v>92</v>
      </c>
      <c r="F5187" t="s">
        <v>192</v>
      </c>
      <c r="G5187" t="s">
        <v>13197</v>
      </c>
    </row>
    <row r="5188" spans="1:7" x14ac:dyDescent="0.3">
      <c r="A5188" t="s">
        <v>2817</v>
      </c>
      <c r="B5188" t="s">
        <v>12303</v>
      </c>
      <c r="C5188" t="s">
        <v>12304</v>
      </c>
      <c r="D5188" t="s">
        <v>231</v>
      </c>
      <c r="E5188" t="s">
        <v>92</v>
      </c>
      <c r="F5188" t="s">
        <v>192</v>
      </c>
      <c r="G5188" t="s">
        <v>13197</v>
      </c>
    </row>
    <row r="5189" spans="1:7" x14ac:dyDescent="0.3">
      <c r="A5189" t="s">
        <v>2249</v>
      </c>
      <c r="B5189" t="s">
        <v>12307</v>
      </c>
      <c r="C5189" t="s">
        <v>12308</v>
      </c>
      <c r="D5189" t="s">
        <v>227</v>
      </c>
      <c r="E5189" t="s">
        <v>1430</v>
      </c>
      <c r="F5189" t="s">
        <v>192</v>
      </c>
      <c r="G5189" t="s">
        <v>13197</v>
      </c>
    </row>
    <row r="5190" spans="1:7" x14ac:dyDescent="0.3">
      <c r="A5190" t="s">
        <v>1529</v>
      </c>
      <c r="B5190" t="s">
        <v>12309</v>
      </c>
      <c r="C5190" t="s">
        <v>12310</v>
      </c>
      <c r="D5190" t="s">
        <v>91</v>
      </c>
      <c r="E5190" t="s">
        <v>91</v>
      </c>
      <c r="F5190" s="42" t="s">
        <v>11469</v>
      </c>
      <c r="G5190" t="s">
        <v>13197</v>
      </c>
    </row>
    <row r="5191" spans="1:7" x14ac:dyDescent="0.3">
      <c r="A5191" t="s">
        <v>1553</v>
      </c>
      <c r="B5191" t="s">
        <v>12311</v>
      </c>
      <c r="C5191" t="s">
        <v>12312</v>
      </c>
      <c r="D5191" t="s">
        <v>91</v>
      </c>
      <c r="E5191" t="s">
        <v>91</v>
      </c>
      <c r="F5191" s="42" t="s">
        <v>137</v>
      </c>
      <c r="G5191" t="s">
        <v>13196</v>
      </c>
    </row>
    <row r="5192" spans="1:7" x14ac:dyDescent="0.3">
      <c r="A5192" t="s">
        <v>238</v>
      </c>
      <c r="B5192" t="s">
        <v>12320</v>
      </c>
      <c r="C5192" t="s">
        <v>12321</v>
      </c>
      <c r="D5192" t="s">
        <v>229</v>
      </c>
      <c r="E5192" t="s">
        <v>92</v>
      </c>
      <c r="F5192" s="42" t="s">
        <v>11469</v>
      </c>
      <c r="G5192" t="s">
        <v>13197</v>
      </c>
    </row>
    <row r="5193" spans="1:7" x14ac:dyDescent="0.3">
      <c r="A5193" t="s">
        <v>238</v>
      </c>
      <c r="B5193" t="s">
        <v>12322</v>
      </c>
      <c r="C5193" t="s">
        <v>12323</v>
      </c>
      <c r="D5193" t="s">
        <v>229</v>
      </c>
      <c r="E5193" t="s">
        <v>92</v>
      </c>
      <c r="F5193" s="42" t="s">
        <v>11469</v>
      </c>
      <c r="G5193" t="s">
        <v>13197</v>
      </c>
    </row>
    <row r="5194" spans="1:7" x14ac:dyDescent="0.3">
      <c r="A5194" t="s">
        <v>238</v>
      </c>
      <c r="B5194" t="s">
        <v>13191</v>
      </c>
      <c r="C5194" t="s">
        <v>13192</v>
      </c>
      <c r="D5194" t="s">
        <v>229</v>
      </c>
      <c r="E5194" t="s">
        <v>92</v>
      </c>
      <c r="F5194" s="42" t="s">
        <v>11469</v>
      </c>
      <c r="G5194" t="s">
        <v>13197</v>
      </c>
    </row>
    <row r="5195" spans="1:7" x14ac:dyDescent="0.3">
      <c r="A5195" t="s">
        <v>906</v>
      </c>
      <c r="B5195" t="s">
        <v>936</v>
      </c>
      <c r="C5195" t="s">
        <v>6460</v>
      </c>
      <c r="D5195" t="s">
        <v>136</v>
      </c>
      <c r="E5195" t="s">
        <v>92</v>
      </c>
      <c r="F5195" s="42" t="s">
        <v>11469</v>
      </c>
      <c r="G5195" t="s">
        <v>13197</v>
      </c>
    </row>
    <row r="5196" spans="1:7" x14ac:dyDescent="0.3">
      <c r="A5196" t="s">
        <v>2055</v>
      </c>
      <c r="B5196" t="s">
        <v>13193</v>
      </c>
      <c r="C5196" t="s">
        <v>13194</v>
      </c>
      <c r="D5196" t="s">
        <v>136</v>
      </c>
      <c r="E5196" t="s">
        <v>92</v>
      </c>
      <c r="F5196" s="42" t="s">
        <v>11469</v>
      </c>
      <c r="G5196" t="s">
        <v>13197</v>
      </c>
    </row>
    <row r="5197" spans="1:7" x14ac:dyDescent="0.3">
      <c r="A5197" t="s">
        <v>3259</v>
      </c>
      <c r="B5197" t="s">
        <v>13189</v>
      </c>
      <c r="C5197" t="s">
        <v>13190</v>
      </c>
      <c r="D5197" t="s">
        <v>136</v>
      </c>
      <c r="E5197" t="s">
        <v>92</v>
      </c>
      <c r="F5197" s="42" t="s">
        <v>192</v>
      </c>
      <c r="G5197" t="s">
        <v>13196</v>
      </c>
    </row>
    <row r="5198" spans="1:7" x14ac:dyDescent="0.3">
      <c r="A5198" s="6" t="s">
        <v>3259</v>
      </c>
      <c r="B5198" s="6" t="s">
        <v>13206</v>
      </c>
      <c r="C5198" s="6" t="s">
        <v>13207</v>
      </c>
      <c r="D5198" s="6" t="s">
        <v>136</v>
      </c>
      <c r="E5198" s="6" t="s">
        <v>92</v>
      </c>
      <c r="F5198" s="42" t="s">
        <v>11469</v>
      </c>
    </row>
    <row r="5199" spans="1:7" x14ac:dyDescent="0.3">
      <c r="A5199" s="6" t="s">
        <v>1553</v>
      </c>
      <c r="B5199" s="6" t="s">
        <v>13208</v>
      </c>
      <c r="C5199" s="6" t="s">
        <v>13209</v>
      </c>
      <c r="D5199" s="6" t="s">
        <v>91</v>
      </c>
      <c r="E5199" s="6" t="s">
        <v>91</v>
      </c>
      <c r="F5199" s="6" t="s">
        <v>137</v>
      </c>
    </row>
    <row r="5200" spans="1:7" x14ac:dyDescent="0.3">
      <c r="A5200" s="6" t="s">
        <v>1553</v>
      </c>
      <c r="B5200" s="6" t="s">
        <v>13210</v>
      </c>
      <c r="C5200" s="6" t="s">
        <v>13211</v>
      </c>
      <c r="D5200" s="6" t="s">
        <v>91</v>
      </c>
      <c r="E5200" s="6" t="s">
        <v>91</v>
      </c>
      <c r="F5200" s="42" t="s">
        <v>137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B2:I18"/>
  <sheetViews>
    <sheetView workbookViewId="0">
      <selection activeCell="D18" sqref="D18"/>
    </sheetView>
  </sheetViews>
  <sheetFormatPr defaultRowHeight="14.4" x14ac:dyDescent="0.3"/>
  <cols>
    <col min="1" max="1" width="8.88671875" style="6"/>
    <col min="2" max="2" width="8.33203125" style="6" bestFit="1" customWidth="1"/>
    <col min="3" max="3" width="18.33203125" style="6" bestFit="1" customWidth="1"/>
    <col min="4" max="4" width="51.109375" style="6" bestFit="1" customWidth="1"/>
    <col min="5" max="5" width="21.5546875" style="6" bestFit="1" customWidth="1"/>
    <col min="6" max="6" width="13.6640625" style="6" bestFit="1" customWidth="1"/>
    <col min="7" max="7" width="11.109375" style="6" bestFit="1" customWidth="1"/>
    <col min="8" max="8" width="12.88671875" style="6" bestFit="1" customWidth="1"/>
    <col min="9" max="16384" width="8.88671875" style="6"/>
  </cols>
  <sheetData>
    <row r="2" spans="2:9" x14ac:dyDescent="0.3">
      <c r="B2" s="13" t="s">
        <v>86</v>
      </c>
      <c r="C2" s="13" t="s">
        <v>30</v>
      </c>
      <c r="D2" s="13" t="s">
        <v>31</v>
      </c>
      <c r="E2" s="13" t="s">
        <v>32</v>
      </c>
      <c r="F2" s="13" t="s">
        <v>218</v>
      </c>
    </row>
    <row r="3" spans="2:9" x14ac:dyDescent="0.3">
      <c r="B3" s="13"/>
      <c r="C3" s="13"/>
      <c r="D3" s="13"/>
      <c r="E3" s="13"/>
      <c r="F3" s="13" t="str">
        <f>IF(COUNT(B3:E3)=4,"","")</f>
        <v/>
      </c>
    </row>
    <row r="5" spans="2:9" x14ac:dyDescent="0.3">
      <c r="B5"/>
      <c r="C5" s="13" t="s">
        <v>44</v>
      </c>
      <c r="D5" s="13" t="s">
        <v>45</v>
      </c>
      <c r="E5" s="13" t="s">
        <v>46</v>
      </c>
    </row>
    <row r="6" spans="2:9" x14ac:dyDescent="0.3">
      <c r="B6"/>
      <c r="C6" s="13" t="s">
        <v>12423</v>
      </c>
      <c r="D6" s="13" t="str">
        <f>IFERROR(INDEX('Trade Category'!C2:C830,MATCH(length_increase_tmpl,trade_list_master,0)),"")</f>
        <v>Brick and Tile Makers -Where any machinery is used; excl. clay or blaes getting below 6 metres</v>
      </c>
      <c r="E6" s="13" t="str">
        <f>IFERROR(VLOOKUP(C6,'Trade Category'!$A$2:$C$830,3,0),"")</f>
        <v/>
      </c>
      <c r="G6" s="6" t="s">
        <v>11452</v>
      </c>
      <c r="I6" s="6" t="s">
        <v>11453</v>
      </c>
    </row>
    <row r="8" spans="2:9" x14ac:dyDescent="0.3">
      <c r="B8" s="13" t="s">
        <v>43</v>
      </c>
      <c r="C8" s="13" t="s">
        <v>67</v>
      </c>
      <c r="D8" s="13" t="s">
        <v>45</v>
      </c>
      <c r="E8" s="13" t="s">
        <v>68</v>
      </c>
      <c r="F8" s="13" t="s">
        <v>69</v>
      </c>
      <c r="G8" s="13" t="s">
        <v>70</v>
      </c>
      <c r="H8" s="13" t="s">
        <v>71</v>
      </c>
    </row>
    <row r="9" spans="2:9" x14ac:dyDescent="0.3">
      <c r="B9" s="13"/>
      <c r="C9" s="13"/>
      <c r="D9" s="13"/>
      <c r="E9" s="13"/>
      <c r="F9" s="13"/>
      <c r="G9" s="13">
        <f>SUM(F9*C9*policy_term)</f>
        <v>0</v>
      </c>
      <c r="H9" s="13">
        <f>IFERROR(VLOOKUP(CONCATENATE(C9,D9,E9,F9),'Worker Premium Calc'!G4:S54,21,0),0)</f>
        <v>0</v>
      </c>
    </row>
    <row r="11" spans="2:9" x14ac:dyDescent="0.3">
      <c r="B11" s="16" t="s">
        <v>16</v>
      </c>
      <c r="C11" s="16" t="s">
        <v>41</v>
      </c>
      <c r="D11" s="16" t="s">
        <v>48</v>
      </c>
      <c r="E11" s="16" t="s">
        <v>49</v>
      </c>
      <c r="H11" s="16" t="s">
        <v>199</v>
      </c>
    </row>
    <row r="12" spans="2:9" x14ac:dyDescent="0.3">
      <c r="B12" s="13">
        <f>cl_zone</f>
        <v>0</v>
      </c>
      <c r="C12" s="13" t="str">
        <f>location_1</f>
        <v>Ahmedabad</v>
      </c>
      <c r="D12" s="13" t="str">
        <f>CONCATENATE(cl_zone1_tmpl,location1_tmpl)</f>
        <v>0Ahmedabad</v>
      </c>
      <c r="E12" s="1"/>
      <c r="H12" s="13"/>
    </row>
    <row r="14" spans="2:9" x14ac:dyDescent="0.3">
      <c r="B14" s="16" t="s">
        <v>16</v>
      </c>
      <c r="C14" s="16" t="s">
        <v>41</v>
      </c>
      <c r="D14" s="16" t="s">
        <v>48</v>
      </c>
      <c r="E14" s="16" t="s">
        <v>49</v>
      </c>
      <c r="H14" s="16" t="s">
        <v>199</v>
      </c>
    </row>
    <row r="15" spans="2:9" x14ac:dyDescent="0.3">
      <c r="B15" s="13">
        <f>cl_zone</f>
        <v>0</v>
      </c>
      <c r="C15" s="13" t="str">
        <f>location_2</f>
        <v>Bangalore-Delhi-Mumbai</v>
      </c>
      <c r="D15" s="13" t="str">
        <f>CONCATENATE(cl_zone2_tmpl,location2_tmpl)</f>
        <v>0Bangalore-Delhi-Mumbai</v>
      </c>
      <c r="E15" s="1"/>
      <c r="H15" s="13"/>
    </row>
    <row r="17" spans="2:8" x14ac:dyDescent="0.3">
      <c r="B17" s="16" t="s">
        <v>16</v>
      </c>
      <c r="C17" s="16" t="s">
        <v>41</v>
      </c>
      <c r="D17" s="16" t="s">
        <v>48</v>
      </c>
      <c r="E17" s="16" t="s">
        <v>49</v>
      </c>
      <c r="H17" s="16" t="s">
        <v>199</v>
      </c>
    </row>
    <row r="18" spans="2:8" x14ac:dyDescent="0.3">
      <c r="B18" s="13">
        <f>cl_zone</f>
        <v>0</v>
      </c>
      <c r="C18" s="13" t="str">
        <f>location_3</f>
        <v>Others</v>
      </c>
      <c r="D18" s="13" t="str">
        <f>CONCATENATE(cl_zone3_tmpl,location3_tmpl)</f>
        <v>0Others</v>
      </c>
      <c r="E18" s="1"/>
      <c r="H18" s="13"/>
    </row>
  </sheetData>
  <dataValidations count="1">
    <dataValidation type="list" allowBlank="1" showInputMessage="1" showErrorMessage="1" sqref="D9" xr:uid="{00000000-0002-0000-0900-000000000000}">
      <formula1>tc_master</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847FE-B231-4EE6-86EA-9007F291F073}">
  <dimension ref="A1:A1604"/>
  <sheetViews>
    <sheetView topLeftCell="A1595" workbookViewId="0">
      <selection activeCell="D1605" sqref="D1605"/>
    </sheetView>
  </sheetViews>
  <sheetFormatPr defaultRowHeight="14.4" x14ac:dyDescent="0.3"/>
  <cols>
    <col min="1" max="1" width="97.77734375" style="6" bestFit="1" customWidth="1"/>
  </cols>
  <sheetData>
    <row r="1" spans="1:1" x14ac:dyDescent="0.3">
      <c r="A1" s="6">
        <f>add_comm_pro</f>
        <v>0</v>
      </c>
    </row>
    <row r="2" spans="1:1" x14ac:dyDescent="0.3">
      <c r="A2" s="6">
        <f>agent_corp_logic</f>
        <v>0</v>
      </c>
    </row>
    <row r="3" spans="1:1" x14ac:dyDescent="0.3">
      <c r="A3" s="6" t="str">
        <f>ahm_count</f>
        <v/>
      </c>
    </row>
    <row r="4" spans="1:1" x14ac:dyDescent="0.3">
      <c r="A4" s="6" t="str">
        <f>ahm_loc</f>
        <v/>
      </c>
    </row>
    <row r="5" spans="1:1" x14ac:dyDescent="0.3">
      <c r="A5" s="6" t="str">
        <f>ahm_loc1</f>
        <v/>
      </c>
    </row>
    <row r="6" spans="1:1" x14ac:dyDescent="0.3">
      <c r="A6" s="6">
        <f ca="1">annual_calc</f>
        <v>0</v>
      </c>
    </row>
    <row r="7" spans="1:1" x14ac:dyDescent="0.3">
      <c r="A7" s="6">
        <f ca="1">annual_exp_policy_premium</f>
        <v>0</v>
      </c>
    </row>
    <row r="8" spans="1:1" x14ac:dyDescent="0.3">
      <c r="A8" s="6" t="str">
        <f>app_product_name</f>
        <v>Employees Compensation</v>
      </c>
    </row>
    <row r="9" spans="1:1" x14ac:dyDescent="0.3">
      <c r="A9" s="6" t="e">
        <f>arr_claim_details</f>
        <v>#VALUE!</v>
      </c>
    </row>
    <row r="10" spans="1:1" x14ac:dyDescent="0.3">
      <c r="A10" s="6" t="e">
        <f>arr_trade_category_details</f>
        <v>#VALUE!</v>
      </c>
    </row>
    <row r="11" spans="1:1" x14ac:dyDescent="0.3">
      <c r="A11" s="6" t="str">
        <f>bgl_count</f>
        <v/>
      </c>
    </row>
    <row r="12" spans="1:1" x14ac:dyDescent="0.3">
      <c r="A12" s="6" t="str">
        <f>bgl_loc</f>
        <v/>
      </c>
    </row>
    <row r="13" spans="1:1" x14ac:dyDescent="0.3">
      <c r="A13" s="6" t="str">
        <f>bgl_loc1</f>
        <v/>
      </c>
    </row>
    <row r="14" spans="1:1" x14ac:dyDescent="0.3">
      <c r="A14" s="6" t="str">
        <f>business_type</f>
        <v>Renewal_Notice</v>
      </c>
    </row>
    <row r="15" spans="1:1" x14ac:dyDescent="0.3">
      <c r="A15" s="6" t="str">
        <f>calc_channel_mapper_name</f>
        <v/>
      </c>
    </row>
    <row r="16" spans="1:1" x14ac:dyDescent="0.3">
      <c r="A16" s="6">
        <f>calim_loading</f>
        <v>0</v>
      </c>
    </row>
    <row r="17" spans="1:1" x14ac:dyDescent="0.3">
      <c r="A17" s="6">
        <f>calim_loading_uw</f>
        <v>0</v>
      </c>
    </row>
    <row r="18" spans="1:1" x14ac:dyDescent="0.3">
      <c r="A18" s="6">
        <f>cgst_perc</f>
        <v>0.09</v>
      </c>
    </row>
    <row r="19" spans="1:1" x14ac:dyDescent="0.3">
      <c r="A19" s="6">
        <f ca="1">cgst_value</f>
        <v>0</v>
      </c>
    </row>
    <row r="20" spans="1:1" x14ac:dyDescent="0.3">
      <c r="A20" s="6">
        <f>channel</f>
        <v>0</v>
      </c>
    </row>
    <row r="21" spans="1:1" x14ac:dyDescent="0.3">
      <c r="A21" s="6" t="str">
        <f>channel_mapper</f>
        <v/>
      </c>
    </row>
    <row r="22" spans="1:1" x14ac:dyDescent="0.3">
      <c r="A22" s="6" t="str">
        <f>channel_mapper_name</f>
        <v/>
      </c>
    </row>
    <row r="23" spans="1:1" x14ac:dyDescent="0.3">
      <c r="A23" s="6">
        <f>channel_payment</f>
        <v>0</v>
      </c>
    </row>
    <row r="24" spans="1:1" x14ac:dyDescent="0.3">
      <c r="A24" s="6">
        <f>check_perc</f>
        <v>0</v>
      </c>
    </row>
    <row r="25" spans="1:1" x14ac:dyDescent="0.3">
      <c r="A25" s="6" t="str">
        <f>chn_count</f>
        <v/>
      </c>
    </row>
    <row r="26" spans="1:1" x14ac:dyDescent="0.3">
      <c r="A26" s="6" t="str">
        <f>chn_loc</f>
        <v/>
      </c>
    </row>
    <row r="27" spans="1:1" x14ac:dyDescent="0.3">
      <c r="A27" s="6" t="str">
        <f>chn_loc1</f>
        <v/>
      </c>
    </row>
    <row r="28" spans="1:1" x14ac:dyDescent="0.3">
      <c r="A28" s="6">
        <f>cl_zone</f>
        <v>0</v>
      </c>
    </row>
    <row r="29" spans="1:1" x14ac:dyDescent="0.3">
      <c r="A29" s="6">
        <f>cl_zone_1</f>
        <v>0</v>
      </c>
    </row>
    <row r="30" spans="1:1" x14ac:dyDescent="0.3">
      <c r="A30" s="6">
        <f>cl_zone_2</f>
        <v>0</v>
      </c>
    </row>
    <row r="31" spans="1:1" x14ac:dyDescent="0.3">
      <c r="A31" s="6">
        <f>cl_zone_2_uw</f>
        <v>0</v>
      </c>
    </row>
    <row r="32" spans="1:1" x14ac:dyDescent="0.3">
      <c r="A32" s="6">
        <f>cl_zone_3</f>
        <v>0</v>
      </c>
    </row>
    <row r="33" spans="1:1" x14ac:dyDescent="0.3">
      <c r="A33" s="6">
        <f>cl_zone_3_uw</f>
        <v>0</v>
      </c>
    </row>
    <row r="34" spans="1:1" x14ac:dyDescent="0.3">
      <c r="A34" s="6">
        <f>cl_zone_uw</f>
        <v>0</v>
      </c>
    </row>
    <row r="35" spans="1:1" x14ac:dyDescent="0.3">
      <c r="A35" s="6">
        <f>cl_zone1_tmpl</f>
        <v>0</v>
      </c>
    </row>
    <row r="36" spans="1:1" x14ac:dyDescent="0.3">
      <c r="A36" s="6">
        <f>cl_zone2_tmpl</f>
        <v>0</v>
      </c>
    </row>
    <row r="37" spans="1:1" x14ac:dyDescent="0.3">
      <c r="A37" s="6">
        <f>cl_zone3_tmpl</f>
        <v>0</v>
      </c>
    </row>
    <row r="38" spans="1:1" x14ac:dyDescent="0.3">
      <c r="A38" s="6">
        <f>claim_amount_1</f>
        <v>0</v>
      </c>
    </row>
    <row r="39" spans="1:1" x14ac:dyDescent="0.3">
      <c r="A39" s="6">
        <f>claim_amount_2</f>
        <v>0</v>
      </c>
    </row>
    <row r="40" spans="1:1" x14ac:dyDescent="0.3">
      <c r="A40" s="6">
        <f>claim_amount_3</f>
        <v>0</v>
      </c>
    </row>
    <row r="41" spans="1:1" x14ac:dyDescent="0.3">
      <c r="A41" s="6">
        <f>claim_amount_tmpl</f>
        <v>0</v>
      </c>
    </row>
    <row r="42" spans="1:1" x14ac:dyDescent="0.3">
      <c r="A42" s="6">
        <f>claim_count_1</f>
        <v>0</v>
      </c>
    </row>
    <row r="43" spans="1:1" x14ac:dyDescent="0.3">
      <c r="A43" s="6">
        <f>claim_count_2</f>
        <v>0</v>
      </c>
    </row>
    <row r="44" spans="1:1" x14ac:dyDescent="0.3">
      <c r="A44" s="6">
        <f>claim_count_3</f>
        <v>0</v>
      </c>
    </row>
    <row r="45" spans="1:1" x14ac:dyDescent="0.3">
      <c r="A45" s="6">
        <f>claim_count_tmpl</f>
        <v>0</v>
      </c>
    </row>
    <row r="46" spans="1:1" x14ac:dyDescent="0.3">
      <c r="A46" s="6">
        <f>claim_loading</f>
        <v>0</v>
      </c>
    </row>
    <row r="47" spans="1:1" x14ac:dyDescent="0.3">
      <c r="A47" s="6">
        <f>claim_premium_1</f>
        <v>0</v>
      </c>
    </row>
    <row r="48" spans="1:1" x14ac:dyDescent="0.3">
      <c r="A48" s="6">
        <f>claim_premium_2</f>
        <v>0</v>
      </c>
    </row>
    <row r="49" spans="1:1" x14ac:dyDescent="0.3">
      <c r="A49" s="6">
        <f>claim_premium_3</f>
        <v>0</v>
      </c>
    </row>
    <row r="50" spans="1:1" x14ac:dyDescent="0.3">
      <c r="A50" s="6">
        <f>claim_premium_tmpl</f>
        <v>0</v>
      </c>
    </row>
    <row r="51" spans="1:1" x14ac:dyDescent="0.3">
      <c r="A51" s="6">
        <f>claim_ratio</f>
        <v>0</v>
      </c>
    </row>
    <row r="52" spans="1:1" x14ac:dyDescent="0.3">
      <c r="A52" s="6">
        <f>claim_ratio_uw</f>
        <v>0</v>
      </c>
    </row>
    <row r="53" spans="1:1" x14ac:dyDescent="0.3">
      <c r="A53" s="6">
        <f>claim_refferal</f>
        <v>0</v>
      </c>
    </row>
    <row r="54" spans="1:1" x14ac:dyDescent="0.3">
      <c r="A54" s="6">
        <f>claim_year_1</f>
        <v>0</v>
      </c>
    </row>
    <row r="55" spans="1:1" x14ac:dyDescent="0.3">
      <c r="A55" s="6">
        <f>claim_year_2</f>
        <v>0</v>
      </c>
    </row>
    <row r="56" spans="1:1" x14ac:dyDescent="0.3">
      <c r="A56" s="6">
        <f>claim_year_3</f>
        <v>0</v>
      </c>
    </row>
    <row r="57" spans="1:1" x14ac:dyDescent="0.3">
      <c r="A57" s="6">
        <f>claim_years</f>
        <v>0</v>
      </c>
    </row>
    <row r="58" spans="1:1" x14ac:dyDescent="0.3">
      <c r="A58" s="6" t="str">
        <f>clause_1</f>
        <v>Subject additionally to the following conditions, limitations, warranties.</v>
      </c>
    </row>
    <row r="59" spans="1:1" x14ac:dyDescent="0.3">
      <c r="A59" s="6" t="str">
        <f>clause_1_appl</f>
        <v>yes</v>
      </c>
    </row>
    <row r="60" spans="1:1" x14ac:dyDescent="0.3">
      <c r="A60" s="6">
        <f>clause_10</f>
        <v>0</v>
      </c>
    </row>
    <row r="61" spans="1:1" x14ac:dyDescent="0.3">
      <c r="A61" s="6" t="str">
        <f>clause_10_appl</f>
        <v>no</v>
      </c>
    </row>
    <row r="62" spans="1:1" x14ac:dyDescent="0.3">
      <c r="A62" s="6">
        <f>clause_11</f>
        <v>0</v>
      </c>
    </row>
    <row r="63" spans="1:1" x14ac:dyDescent="0.3">
      <c r="A63" s="6" t="str">
        <f>clause_11_appl</f>
        <v>no</v>
      </c>
    </row>
    <row r="64" spans="1:1" x14ac:dyDescent="0.3">
      <c r="A64" s="6">
        <f>clause_12</f>
        <v>0</v>
      </c>
    </row>
    <row r="65" spans="1:1" x14ac:dyDescent="0.3">
      <c r="A65" s="6" t="str">
        <f>clause_12_appl</f>
        <v>no</v>
      </c>
    </row>
    <row r="66" spans="1:1" x14ac:dyDescent="0.3">
      <c r="A66" s="6">
        <f>clause_13</f>
        <v>0</v>
      </c>
    </row>
    <row r="67" spans="1:1" x14ac:dyDescent="0.3">
      <c r="A67" s="6" t="str">
        <f>clause_13_appl</f>
        <v>no</v>
      </c>
    </row>
    <row r="68" spans="1:1" x14ac:dyDescent="0.3">
      <c r="A68" s="6">
        <f>clause_14</f>
        <v>0</v>
      </c>
    </row>
    <row r="69" spans="1:1" x14ac:dyDescent="0.3">
      <c r="A69" s="6" t="str">
        <f>clause_14_appl</f>
        <v>no</v>
      </c>
    </row>
    <row r="70" spans="1:1" x14ac:dyDescent="0.3">
      <c r="A70" s="6">
        <f>clause_15</f>
        <v>0</v>
      </c>
    </row>
    <row r="71" spans="1:1" x14ac:dyDescent="0.3">
      <c r="A71" s="6" t="str">
        <f>clause_15_appl</f>
        <v>no</v>
      </c>
    </row>
    <row r="72" spans="1:1" x14ac:dyDescent="0.3">
      <c r="A72" s="6" t="str">
        <f>clause_16</f>
        <v/>
      </c>
    </row>
    <row r="73" spans="1:1" x14ac:dyDescent="0.3">
      <c r="A73" s="6" t="str">
        <f>clause_16_appl</f>
        <v>yes</v>
      </c>
    </row>
    <row r="74" spans="1:1" x14ac:dyDescent="0.3">
      <c r="A74" s="6" t="str">
        <f>clause_17</f>
        <v/>
      </c>
    </row>
    <row r="75" spans="1:1" x14ac:dyDescent="0.3">
      <c r="A75" s="6" t="str">
        <f>clause_17_appl</f>
        <v>yes</v>
      </c>
    </row>
    <row r="76" spans="1:1" x14ac:dyDescent="0.3">
      <c r="A76" s="6" t="str">
        <f>clause_18</f>
        <v/>
      </c>
    </row>
    <row r="77" spans="1:1" x14ac:dyDescent="0.3">
      <c r="A77" s="6" t="str">
        <f>clause_18_appl</f>
        <v>yes</v>
      </c>
    </row>
    <row r="78" spans="1:1" x14ac:dyDescent="0.3">
      <c r="A78" s="6" t="str">
        <f>clause_19</f>
        <v/>
      </c>
    </row>
    <row r="79" spans="1:1" x14ac:dyDescent="0.3">
      <c r="A79" s="6" t="str">
        <f>clause_19_appl</f>
        <v>yes</v>
      </c>
    </row>
    <row r="80" spans="1:1" x14ac:dyDescent="0.3">
      <c r="A80" s="6" t="str">
        <f>clause_2</f>
        <v>Warranted that workers involved in underground work such as mines, tunneling, etc. and/or blasting are not covered.</v>
      </c>
    </row>
    <row r="81" spans="1:1" x14ac:dyDescent="0.3">
      <c r="A81" s="6" t="str">
        <f>clause_2_appl</f>
        <v>yes</v>
      </c>
    </row>
    <row r="82" spans="1:1" x14ac:dyDescent="0.3">
      <c r="A82" s="6" t="str">
        <f>clause_3</f>
        <v>Jurisdiction - India</v>
      </c>
    </row>
    <row r="83" spans="1:1" x14ac:dyDescent="0.3">
      <c r="A83" s="6" t="str">
        <f>clause_3_appl</f>
        <v>yes</v>
      </c>
    </row>
    <row r="84" spans="1:1" x14ac:dyDescent="0.3">
      <c r="A84" s="6" t="str">
        <f>clause_4</f>
        <v>Including cover for Contractor and sub contractor workers</v>
      </c>
    </row>
    <row r="85" spans="1:1" x14ac:dyDescent="0.3">
      <c r="A85" s="6" t="str">
        <f>clause_4_appl</f>
        <v>yes</v>
      </c>
    </row>
    <row r="86" spans="1:1" x14ac:dyDescent="0.3">
      <c r="A86" s="6" t="str">
        <f ca="1">clause_5</f>
        <v/>
      </c>
    </row>
    <row r="87" spans="1:1" x14ac:dyDescent="0.3">
      <c r="A87" s="6" t="str">
        <f>clause_5_appl</f>
        <v>yes</v>
      </c>
    </row>
    <row r="88" spans="1:1" x14ac:dyDescent="0.3">
      <c r="A88" s="6" t="str">
        <f ca="1">clause_5_master</f>
        <v/>
      </c>
    </row>
    <row r="89" spans="1:1" x14ac:dyDescent="0.3">
      <c r="A89" s="6" t="str">
        <f>clause_5a</f>
        <v/>
      </c>
    </row>
    <row r="90" spans="1:1" x14ac:dyDescent="0.3">
      <c r="A90" s="6" t="str">
        <f>clause_5a_appl</f>
        <v>yes</v>
      </c>
    </row>
    <row r="91" spans="1:1" x14ac:dyDescent="0.3">
      <c r="A91" s="6" t="str">
        <f>clause_5b</f>
        <v/>
      </c>
    </row>
    <row r="92" spans="1:1" x14ac:dyDescent="0.3">
      <c r="A92" s="6" t="str">
        <f>clause_5b_appl</f>
        <v>yes</v>
      </c>
    </row>
    <row r="93" spans="1:1" x14ac:dyDescent="0.3">
      <c r="A93" s="6" t="str">
        <f>clause_6</f>
        <v/>
      </c>
    </row>
    <row r="94" spans="1:1" x14ac:dyDescent="0.3">
      <c r="A94" s="6" t="str">
        <f>clause_6_appl</f>
        <v>yes</v>
      </c>
    </row>
    <row r="95" spans="1:1" x14ac:dyDescent="0.3">
      <c r="A95" s="6" t="str">
        <f>clause_7</f>
        <v xml:space="preserve"> Loss History for last 3 years: - no</v>
      </c>
    </row>
    <row r="96" spans="1:1" x14ac:dyDescent="0.3">
      <c r="A96" s="6" t="str">
        <f>clause_7_appl</f>
        <v>yes</v>
      </c>
    </row>
    <row r="97" spans="1:1" x14ac:dyDescent="0.3">
      <c r="A97" s="6">
        <f>clause_8</f>
        <v>0</v>
      </c>
    </row>
    <row r="98" spans="1:1" x14ac:dyDescent="0.3">
      <c r="A98" s="6" t="str">
        <f>clause_8_appl</f>
        <v>no</v>
      </c>
    </row>
    <row r="99" spans="1:1" x14ac:dyDescent="0.3">
      <c r="A99" s="6">
        <f>clause_9</f>
        <v>0</v>
      </c>
    </row>
    <row r="100" spans="1:1" x14ac:dyDescent="0.3">
      <c r="A100" s="6" t="str">
        <f>clause_9_appl</f>
        <v>no</v>
      </c>
    </row>
    <row r="101" spans="1:1" x14ac:dyDescent="0.3">
      <c r="A101" s="6">
        <f>clause_code_1</f>
        <v>50132</v>
      </c>
    </row>
    <row r="102" spans="1:1" x14ac:dyDescent="0.3">
      <c r="A102" s="6" t="str">
        <f>clause_code_10</f>
        <v/>
      </c>
    </row>
    <row r="103" spans="1:1" x14ac:dyDescent="0.3">
      <c r="A103" s="6" t="str">
        <f>clause_code_11</f>
        <v/>
      </c>
    </row>
    <row r="104" spans="1:1" x14ac:dyDescent="0.3">
      <c r="A104" s="6" t="str">
        <f>clause_code_12</f>
        <v/>
      </c>
    </row>
    <row r="105" spans="1:1" x14ac:dyDescent="0.3">
      <c r="A105" s="6" t="str">
        <f>clause_code_13</f>
        <v/>
      </c>
    </row>
    <row r="106" spans="1:1" x14ac:dyDescent="0.3">
      <c r="A106" s="6" t="str">
        <f>clause_code_14</f>
        <v/>
      </c>
    </row>
    <row r="107" spans="1:1" x14ac:dyDescent="0.3">
      <c r="A107" s="6" t="str">
        <f>clause_code_15</f>
        <v/>
      </c>
    </row>
    <row r="108" spans="1:1" x14ac:dyDescent="0.3">
      <c r="A108" s="6">
        <f>clause_code_2</f>
        <v>50133</v>
      </c>
    </row>
    <row r="109" spans="1:1" x14ac:dyDescent="0.3">
      <c r="A109" s="6">
        <f>clause_code_3</f>
        <v>50134</v>
      </c>
    </row>
    <row r="110" spans="1:1" x14ac:dyDescent="0.3">
      <c r="A110" s="6">
        <f>clause_code_4</f>
        <v>50135</v>
      </c>
    </row>
    <row r="111" spans="1:1" x14ac:dyDescent="0.3">
      <c r="A111" s="6" t="str">
        <f ca="1">clause_code_5</f>
        <v/>
      </c>
    </row>
    <row r="112" spans="1:1" x14ac:dyDescent="0.3">
      <c r="A112" s="6" t="str">
        <f>clause_code_5a</f>
        <v/>
      </c>
    </row>
    <row r="113" spans="1:1" x14ac:dyDescent="0.3">
      <c r="A113" s="6" t="str">
        <f>clause_code_5b</f>
        <v/>
      </c>
    </row>
    <row r="114" spans="1:1" x14ac:dyDescent="0.3">
      <c r="A114" s="6" t="str">
        <f>clause_code_6</f>
        <v/>
      </c>
    </row>
    <row r="115" spans="1:1" x14ac:dyDescent="0.3">
      <c r="A115" s="6">
        <f>clause_code_7</f>
        <v>50149</v>
      </c>
    </row>
    <row r="116" spans="1:1" x14ac:dyDescent="0.3">
      <c r="A116" s="6" t="str">
        <f>clause_code_8</f>
        <v/>
      </c>
    </row>
    <row r="117" spans="1:1" x14ac:dyDescent="0.3">
      <c r="A117" s="6" t="str">
        <f>clause_code_9</f>
        <v/>
      </c>
    </row>
    <row r="118" spans="1:1" x14ac:dyDescent="0.3">
      <c r="A118" s="6" t="str">
        <f>clause_dis_1</f>
        <v>Subject additionally to the following conditions, limitations, warranties.</v>
      </c>
    </row>
    <row r="119" spans="1:1" x14ac:dyDescent="0.3">
      <c r="A119" s="6">
        <f>clause_dis_10</f>
        <v>0</v>
      </c>
    </row>
    <row r="120" spans="1:1" x14ac:dyDescent="0.3">
      <c r="A120" s="6">
        <f>clause_dis_11</f>
        <v>0</v>
      </c>
    </row>
    <row r="121" spans="1:1" x14ac:dyDescent="0.3">
      <c r="A121" s="6">
        <f>clause_dis_12</f>
        <v>0</v>
      </c>
    </row>
    <row r="122" spans="1:1" x14ac:dyDescent="0.3">
      <c r="A122" s="6">
        <f>clause_dis_13</f>
        <v>0</v>
      </c>
    </row>
    <row r="123" spans="1:1" x14ac:dyDescent="0.3">
      <c r="A123" s="6">
        <f>clause_dis_14</f>
        <v>0</v>
      </c>
    </row>
    <row r="124" spans="1:1" x14ac:dyDescent="0.3">
      <c r="A124" s="6">
        <f>clause_dis_15</f>
        <v>0</v>
      </c>
    </row>
    <row r="125" spans="1:1" x14ac:dyDescent="0.3">
      <c r="A125" s="6" t="str">
        <f>clause_dis_16</f>
        <v/>
      </c>
    </row>
    <row r="126" spans="1:1" x14ac:dyDescent="0.3">
      <c r="A126" s="6" t="str">
        <f>clause_dis_17</f>
        <v/>
      </c>
    </row>
    <row r="127" spans="1:1" x14ac:dyDescent="0.3">
      <c r="A127" s="6" t="str">
        <f>clause_dis_18</f>
        <v/>
      </c>
    </row>
    <row r="128" spans="1:1" x14ac:dyDescent="0.3">
      <c r="A128" s="6" t="str">
        <f>clause_dis_19</f>
        <v/>
      </c>
    </row>
    <row r="129" spans="1:1" x14ac:dyDescent="0.3">
      <c r="A129" s="6" t="str">
        <f>clause_dis_2</f>
        <v>Warranted that workers involved in underground work such as mines, tunneling, etc. and/or blasting are not covered.</v>
      </c>
    </row>
    <row r="130" spans="1:1" x14ac:dyDescent="0.3">
      <c r="A130" s="6" t="str">
        <f>clause_dis_3</f>
        <v>Jurisdiction - India</v>
      </c>
    </row>
    <row r="131" spans="1:1" x14ac:dyDescent="0.3">
      <c r="A131" s="6" t="str">
        <f>clause_dis_4</f>
        <v>Including cover for Contractor and sub contractor workers</v>
      </c>
    </row>
    <row r="132" spans="1:1" x14ac:dyDescent="0.3">
      <c r="A132" s="6" t="str">
        <f ca="1">clause_dis_5</f>
        <v/>
      </c>
    </row>
    <row r="133" spans="1:1" x14ac:dyDescent="0.3">
      <c r="A133" s="6" t="str">
        <f>clause_dis_5a</f>
        <v/>
      </c>
    </row>
    <row r="134" spans="1:1" x14ac:dyDescent="0.3">
      <c r="A134" s="6" t="str">
        <f>clause_dis_5b</f>
        <v/>
      </c>
    </row>
    <row r="135" spans="1:1" x14ac:dyDescent="0.3">
      <c r="A135" s="6" t="str">
        <f>clause_dis_6</f>
        <v/>
      </c>
    </row>
    <row r="136" spans="1:1" x14ac:dyDescent="0.3">
      <c r="A136" s="6" t="str">
        <f>clause_dis_7</f>
        <v xml:space="preserve"> Loss History for last 3 years: - no</v>
      </c>
    </row>
    <row r="137" spans="1:1" x14ac:dyDescent="0.3">
      <c r="A137" s="6">
        <f>clause_dis_8</f>
        <v>0</v>
      </c>
    </row>
    <row r="138" spans="1:1" x14ac:dyDescent="0.3">
      <c r="A138" s="6">
        <f>clause_dis_9</f>
        <v>0</v>
      </c>
    </row>
    <row r="139" spans="1:1" x14ac:dyDescent="0.3">
      <c r="A139" s="6">
        <f>client_contact_no</f>
        <v>0</v>
      </c>
    </row>
    <row r="140" spans="1:1" x14ac:dyDescent="0.3">
      <c r="A140" s="6">
        <f>client_email_id</f>
        <v>0</v>
      </c>
    </row>
    <row r="141" spans="1:1" x14ac:dyDescent="0.3">
      <c r="A141" s="6">
        <f>com_city_check</f>
        <v>0</v>
      </c>
    </row>
    <row r="142" spans="1:1" x14ac:dyDescent="0.3">
      <c r="A142" s="6">
        <f>com_pin_check</f>
        <v>0</v>
      </c>
    </row>
    <row r="143" spans="1:1" x14ac:dyDescent="0.3">
      <c r="A143" s="6">
        <f>com_state_check</f>
        <v>0</v>
      </c>
    </row>
    <row r="144" spans="1:1" x14ac:dyDescent="0.3">
      <c r="A144" s="6">
        <f>comm_state_code</f>
        <v>0</v>
      </c>
    </row>
    <row r="145" spans="1:1" x14ac:dyDescent="0.3">
      <c r="A145" s="6">
        <f>cont_1</f>
        <v>0</v>
      </c>
    </row>
    <row r="146" spans="1:1" x14ac:dyDescent="0.3">
      <c r="A146" s="6">
        <f>cont_1_uw</f>
        <v>0</v>
      </c>
    </row>
    <row r="147" spans="1:1" x14ac:dyDescent="0.3">
      <c r="A147" s="6">
        <f>cont_2</f>
        <v>0</v>
      </c>
    </row>
    <row r="148" spans="1:1" x14ac:dyDescent="0.3">
      <c r="A148" s="6">
        <f>cont_2_uw</f>
        <v>0</v>
      </c>
    </row>
    <row r="149" spans="1:1" x14ac:dyDescent="0.3">
      <c r="A149" s="6">
        <f>cont_3</f>
        <v>0</v>
      </c>
    </row>
    <row r="150" spans="1:1" x14ac:dyDescent="0.3">
      <c r="A150" s="6">
        <f>cont_3_uw</f>
        <v>0</v>
      </c>
    </row>
    <row r="151" spans="1:1" x14ac:dyDescent="0.3">
      <c r="A151" s="6">
        <f ca="1">cont_per_1</f>
        <v>0</v>
      </c>
    </row>
    <row r="152" spans="1:1" x14ac:dyDescent="0.3">
      <c r="A152" s="6">
        <f ca="1">cont_per_2</f>
        <v>0</v>
      </c>
    </row>
    <row r="153" spans="1:1" x14ac:dyDescent="0.3">
      <c r="A153" s="6">
        <f ca="1">cont_per_3</f>
        <v>0</v>
      </c>
    </row>
    <row r="154" spans="1:1" x14ac:dyDescent="0.3">
      <c r="A154" s="6">
        <f>cont1_tmpl</f>
        <v>0</v>
      </c>
    </row>
    <row r="155" spans="1:1" x14ac:dyDescent="0.3">
      <c r="A155" s="6">
        <f>cont2_tmpl</f>
        <v>0</v>
      </c>
    </row>
    <row r="156" spans="1:1" x14ac:dyDescent="0.3">
      <c r="A156" s="6">
        <f>cont3_tmpl</f>
        <v>0</v>
      </c>
    </row>
    <row r="157" spans="1:1" x14ac:dyDescent="0.3">
      <c r="A157" s="6" t="str">
        <f>contractors_coverd</f>
        <v>yes</v>
      </c>
    </row>
    <row r="158" spans="1:1" x14ac:dyDescent="0.3">
      <c r="A158" s="6">
        <f>decimal_check</f>
        <v>0</v>
      </c>
    </row>
    <row r="159" spans="1:1" x14ac:dyDescent="0.3">
      <c r="A159" s="6" t="str">
        <f>del_count</f>
        <v/>
      </c>
    </row>
    <row r="160" spans="1:1" x14ac:dyDescent="0.3">
      <c r="A160" s="6" t="str">
        <f>del_loc</f>
        <v/>
      </c>
    </row>
    <row r="161" spans="1:1" x14ac:dyDescent="0.3">
      <c r="A161" s="6" t="str">
        <f>del_loc1</f>
        <v/>
      </c>
    </row>
    <row r="162" spans="1:1" x14ac:dyDescent="0.3">
      <c r="A162" s="6">
        <f ca="1">diff_premium</f>
        <v>0</v>
      </c>
    </row>
    <row r="163" spans="1:1" x14ac:dyDescent="0.3">
      <c r="A163" s="6">
        <f>ec_discount</f>
        <v>0</v>
      </c>
    </row>
    <row r="164" spans="1:1" x14ac:dyDescent="0.3">
      <c r="A164" s="6">
        <f>ec_discount_per</f>
        <v>0</v>
      </c>
    </row>
    <row r="165" spans="1:1" x14ac:dyDescent="0.3">
      <c r="A165" s="6">
        <f>exp_policy_premium</f>
        <v>0</v>
      </c>
    </row>
    <row r="166" spans="1:1" x14ac:dyDescent="0.3">
      <c r="A166" s="6" t="e">
        <f>experience_master</f>
        <v>#VALUE!</v>
      </c>
    </row>
    <row r="167" spans="1:1" x14ac:dyDescent="0.3">
      <c r="A167" s="6" t="e">
        <f>extent_master</f>
        <v>#VALUE!</v>
      </c>
    </row>
    <row r="168" spans="1:1" x14ac:dyDescent="0.3">
      <c r="A168" s="6" t="str">
        <f>final_cl_zone</f>
        <v/>
      </c>
    </row>
    <row r="169" spans="1:1" x14ac:dyDescent="0.3">
      <c r="A169" s="6" t="str">
        <f>final_cl_zone1</f>
        <v>-</v>
      </c>
    </row>
    <row r="170" spans="1:1" x14ac:dyDescent="0.3">
      <c r="A170" s="6">
        <f ca="1">final_load_disc</f>
        <v>0</v>
      </c>
    </row>
    <row r="171" spans="1:1" x14ac:dyDescent="0.3">
      <c r="A171" s="6">
        <f>final_load_disc_per</f>
        <v>0</v>
      </c>
    </row>
    <row r="172" spans="1:1" x14ac:dyDescent="0.3">
      <c r="A172" s="6">
        <f>final_load_disc_uw</f>
        <v>0</v>
      </c>
    </row>
    <row r="173" spans="1:1" x14ac:dyDescent="0.3">
      <c r="A173" s="6">
        <f ca="1">final_premium</f>
        <v>0</v>
      </c>
    </row>
    <row r="174" spans="1:1" x14ac:dyDescent="0.3">
      <c r="A174" s="6">
        <f>gc_product_code</f>
        <v>1409</v>
      </c>
    </row>
    <row r="175" spans="1:1" x14ac:dyDescent="0.3">
      <c r="A175" s="6">
        <f>general_risk_features</f>
        <v>0</v>
      </c>
    </row>
    <row r="176" spans="1:1" x14ac:dyDescent="0.3">
      <c r="A176" s="6">
        <f ca="1">general_risk_features_loading</f>
        <v>0</v>
      </c>
    </row>
    <row r="177" spans="1:1" x14ac:dyDescent="0.3">
      <c r="A177" s="6">
        <f>general_risk_features_uw</f>
        <v>0</v>
      </c>
    </row>
    <row r="178" spans="1:1" x14ac:dyDescent="0.3">
      <c r="A178" s="6">
        <f>general_risk_protection</f>
        <v>0</v>
      </c>
    </row>
    <row r="179" spans="1:1" x14ac:dyDescent="0.3">
      <c r="A179" s="6">
        <f ca="1">general_risk_protection_disc</f>
        <v>0</v>
      </c>
    </row>
    <row r="180" spans="1:1" x14ac:dyDescent="0.3">
      <c r="A180" s="6">
        <f>general_risk_protection_per</f>
        <v>0</v>
      </c>
    </row>
    <row r="181" spans="1:1" x14ac:dyDescent="0.3">
      <c r="A181" s="6">
        <f>general_risk_protection_uw</f>
        <v>0</v>
      </c>
    </row>
    <row r="182" spans="1:1" x14ac:dyDescent="0.3">
      <c r="A182" s="6" t="e">
        <f>group_size_master</f>
        <v>#VALUE!</v>
      </c>
    </row>
    <row r="183" spans="1:1" x14ac:dyDescent="0.3">
      <c r="A183" s="6" t="e">
        <f>grp_claim_details</f>
        <v>#VALUE!</v>
      </c>
    </row>
    <row r="184" spans="1:1" x14ac:dyDescent="0.3">
      <c r="A184" s="6" t="e">
        <f>grp_client_information</f>
        <v>#VALUE!</v>
      </c>
    </row>
    <row r="185" spans="1:1" x14ac:dyDescent="0.3">
      <c r="A185" s="6" t="e">
        <f>grp_contribution_details</f>
        <v>#VALUE!</v>
      </c>
    </row>
    <row r="186" spans="1:1" x14ac:dyDescent="0.3">
      <c r="A186" s="6" t="e">
        <f>grp_custom_clauses</f>
        <v>#VALUE!</v>
      </c>
    </row>
    <row r="187" spans="1:1" x14ac:dyDescent="0.3">
      <c r="A187" s="6" t="e">
        <f>grp_default_clauses</f>
        <v>#VALUE!</v>
      </c>
    </row>
    <row r="188" spans="1:1" x14ac:dyDescent="0.3">
      <c r="A188" s="6" t="e">
        <f>grp_discount_parameter_options</f>
        <v>#VALUE!</v>
      </c>
    </row>
    <row r="189" spans="1:1" x14ac:dyDescent="0.3">
      <c r="A189" s="6" t="e">
        <f>grp_display_no_of_lines</f>
        <v>#VALUE!</v>
      </c>
    </row>
    <row r="190" spans="1:1" x14ac:dyDescent="0.3">
      <c r="A190" s="6" t="e">
        <f>grp_loading_and_discount</f>
        <v>#VALUE!</v>
      </c>
    </row>
    <row r="191" spans="1:1" x14ac:dyDescent="0.3">
      <c r="A191" s="6" t="e">
        <f>grp_loading_parameter_options</f>
        <v>#VALUE!</v>
      </c>
    </row>
    <row r="192" spans="1:1" x14ac:dyDescent="0.3">
      <c r="A192" s="6" t="e">
        <f>grp_loc_count</f>
        <v>#VALUE!</v>
      </c>
    </row>
    <row r="193" spans="1:1" x14ac:dyDescent="0.3">
      <c r="A193" s="6" t="e">
        <f>grp_medex</f>
        <v>#VALUE!</v>
      </c>
    </row>
    <row r="194" spans="1:1" x14ac:dyDescent="0.3">
      <c r="A194" s="6" t="e">
        <f>grp_occupational_disease</f>
        <v>#VALUE!</v>
      </c>
    </row>
    <row r="195" spans="1:1" x14ac:dyDescent="0.3">
      <c r="A195" s="6" t="e">
        <f>grp_product_details</f>
        <v>#VALUE!</v>
      </c>
    </row>
    <row r="196" spans="1:1" x14ac:dyDescent="0.3">
      <c r="A196" s="6" t="e">
        <f>grp_risk_detail</f>
        <v>#VALUE!</v>
      </c>
    </row>
    <row r="197" spans="1:1" x14ac:dyDescent="0.3">
      <c r="A197" s="6" t="e">
        <f>grp_risk_location_1</f>
        <v>#VALUE!</v>
      </c>
    </row>
    <row r="198" spans="1:1" x14ac:dyDescent="0.3">
      <c r="A198" s="6" t="e">
        <f>grp_risk_location_2</f>
        <v>#VALUE!</v>
      </c>
    </row>
    <row r="199" spans="1:1" x14ac:dyDescent="0.3">
      <c r="A199" s="6" t="e">
        <f>grp_risk_location_3</f>
        <v>#VALUE!</v>
      </c>
    </row>
    <row r="200" spans="1:1" x14ac:dyDescent="0.3">
      <c r="A200" s="6" t="e">
        <f>grp_risk_location_4</f>
        <v>#VALUE!</v>
      </c>
    </row>
    <row r="201" spans="1:1" x14ac:dyDescent="0.3">
      <c r="A201" s="6" t="e">
        <f>grp_risk_location_5</f>
        <v>#VALUE!</v>
      </c>
    </row>
    <row r="202" spans="1:1" x14ac:dyDescent="0.3">
      <c r="A202" s="6" t="e">
        <f>grp_risk_protection_features</f>
        <v>#VALUE!</v>
      </c>
    </row>
    <row r="203" spans="1:1" x14ac:dyDescent="0.3">
      <c r="A203" s="6" t="e">
        <f>grp_trade_category</f>
        <v>#VALUE!</v>
      </c>
    </row>
    <row r="204" spans="1:1" x14ac:dyDescent="0.3">
      <c r="A204" s="6" t="e">
        <f>grp_underwriter_remarks</f>
        <v>#VALUE!</v>
      </c>
    </row>
    <row r="205" spans="1:1" x14ac:dyDescent="0.3">
      <c r="A205" s="6" t="e">
        <f>grp_uw_outputs</f>
        <v>#VALUE!</v>
      </c>
    </row>
    <row r="206" spans="1:1" x14ac:dyDescent="0.3">
      <c r="A206" s="6" t="e">
        <f>grp_uw_referral</f>
        <v>#VALUE!</v>
      </c>
    </row>
    <row r="207" spans="1:1" x14ac:dyDescent="0.3">
      <c r="A207" s="6" t="e">
        <f>grp_wc_tariff_premium</f>
        <v>#VALUE!</v>
      </c>
    </row>
    <row r="208" spans="1:1" x14ac:dyDescent="0.3">
      <c r="A208" s="6" t="e">
        <f>grp_work_details</f>
        <v>#VALUE!</v>
      </c>
    </row>
    <row r="209" spans="1:1" x14ac:dyDescent="0.3">
      <c r="A209" s="6" t="e">
        <f>grp_worker_details_1</f>
        <v>#VALUE!</v>
      </c>
    </row>
    <row r="210" spans="1:1" x14ac:dyDescent="0.3">
      <c r="A210" s="6" t="e">
        <f>grp_worker_details_10</f>
        <v>#VALUE!</v>
      </c>
    </row>
    <row r="211" spans="1:1" x14ac:dyDescent="0.3">
      <c r="A211" s="6" t="e">
        <f>grp_worker_details_11</f>
        <v>#VALUE!</v>
      </c>
    </row>
    <row r="212" spans="1:1" x14ac:dyDescent="0.3">
      <c r="A212" s="6" t="e">
        <f>grp_worker_details_12</f>
        <v>#VALUE!</v>
      </c>
    </row>
    <row r="213" spans="1:1" x14ac:dyDescent="0.3">
      <c r="A213" s="6" t="e">
        <f>grp_worker_details_13</f>
        <v>#VALUE!</v>
      </c>
    </row>
    <row r="214" spans="1:1" x14ac:dyDescent="0.3">
      <c r="A214" s="6" t="e">
        <f>grp_worker_details_14</f>
        <v>#VALUE!</v>
      </c>
    </row>
    <row r="215" spans="1:1" x14ac:dyDescent="0.3">
      <c r="A215" s="6" t="e">
        <f>grp_worker_details_15</f>
        <v>#VALUE!</v>
      </c>
    </row>
    <row r="216" spans="1:1" x14ac:dyDescent="0.3">
      <c r="A216" s="6" t="e">
        <f>grp_worker_details_16</f>
        <v>#VALUE!</v>
      </c>
    </row>
    <row r="217" spans="1:1" x14ac:dyDescent="0.3">
      <c r="A217" s="6" t="e">
        <f>grp_worker_details_17</f>
        <v>#VALUE!</v>
      </c>
    </row>
    <row r="218" spans="1:1" x14ac:dyDescent="0.3">
      <c r="A218" s="6" t="e">
        <f>grp_worker_details_18</f>
        <v>#VALUE!</v>
      </c>
    </row>
    <row r="219" spans="1:1" x14ac:dyDescent="0.3">
      <c r="A219" s="6" t="e">
        <f>grp_worker_details_19</f>
        <v>#VALUE!</v>
      </c>
    </row>
    <row r="220" spans="1:1" x14ac:dyDescent="0.3">
      <c r="A220" s="6" t="e">
        <f>grp_worker_details_2</f>
        <v>#VALUE!</v>
      </c>
    </row>
    <row r="221" spans="1:1" x14ac:dyDescent="0.3">
      <c r="A221" s="6" t="e">
        <f>grp_worker_details_20</f>
        <v>#VALUE!</v>
      </c>
    </row>
    <row r="222" spans="1:1" x14ac:dyDescent="0.3">
      <c r="A222" s="6" t="e">
        <f>grp_worker_details_21</f>
        <v>#VALUE!</v>
      </c>
    </row>
    <row r="223" spans="1:1" x14ac:dyDescent="0.3">
      <c r="A223" s="6" t="e">
        <f>grp_worker_details_22</f>
        <v>#VALUE!</v>
      </c>
    </row>
    <row r="224" spans="1:1" x14ac:dyDescent="0.3">
      <c r="A224" s="6" t="e">
        <f>grp_worker_details_23</f>
        <v>#VALUE!</v>
      </c>
    </row>
    <row r="225" spans="1:1" x14ac:dyDescent="0.3">
      <c r="A225" s="6" t="e">
        <f>grp_worker_details_24</f>
        <v>#VALUE!</v>
      </c>
    </row>
    <row r="226" spans="1:1" x14ac:dyDescent="0.3">
      <c r="A226" s="6" t="e">
        <f>grp_worker_details_25</f>
        <v>#VALUE!</v>
      </c>
    </row>
    <row r="227" spans="1:1" x14ac:dyDescent="0.3">
      <c r="A227" s="6" t="e">
        <f>grp_worker_details_26</f>
        <v>#VALUE!</v>
      </c>
    </row>
    <row r="228" spans="1:1" x14ac:dyDescent="0.3">
      <c r="A228" s="6" t="e">
        <f>grp_worker_details_27</f>
        <v>#VALUE!</v>
      </c>
    </row>
    <row r="229" spans="1:1" x14ac:dyDescent="0.3">
      <c r="A229" s="6" t="e">
        <f>grp_worker_details_28</f>
        <v>#VALUE!</v>
      </c>
    </row>
    <row r="230" spans="1:1" x14ac:dyDescent="0.3">
      <c r="A230" s="6" t="e">
        <f>grp_worker_details_29</f>
        <v>#VALUE!</v>
      </c>
    </row>
    <row r="231" spans="1:1" x14ac:dyDescent="0.3">
      <c r="A231" s="6" t="e">
        <f>grp_worker_details_3</f>
        <v>#VALUE!</v>
      </c>
    </row>
    <row r="232" spans="1:1" x14ac:dyDescent="0.3">
      <c r="A232" s="6" t="e">
        <f>grp_worker_details_30</f>
        <v>#VALUE!</v>
      </c>
    </row>
    <row r="233" spans="1:1" x14ac:dyDescent="0.3">
      <c r="A233" s="6" t="e">
        <f>grp_worker_details_31</f>
        <v>#VALUE!</v>
      </c>
    </row>
    <row r="234" spans="1:1" x14ac:dyDescent="0.3">
      <c r="A234" s="6" t="e">
        <f>grp_worker_details_32</f>
        <v>#VALUE!</v>
      </c>
    </row>
    <row r="235" spans="1:1" x14ac:dyDescent="0.3">
      <c r="A235" s="6" t="e">
        <f>grp_worker_details_33</f>
        <v>#VALUE!</v>
      </c>
    </row>
    <row r="236" spans="1:1" x14ac:dyDescent="0.3">
      <c r="A236" s="6" t="e">
        <f>grp_worker_details_34</f>
        <v>#VALUE!</v>
      </c>
    </row>
    <row r="237" spans="1:1" x14ac:dyDescent="0.3">
      <c r="A237" s="6" t="e">
        <f>grp_worker_details_35</f>
        <v>#VALUE!</v>
      </c>
    </row>
    <row r="238" spans="1:1" x14ac:dyDescent="0.3">
      <c r="A238" s="6" t="e">
        <f>grp_worker_details_36</f>
        <v>#VALUE!</v>
      </c>
    </row>
    <row r="239" spans="1:1" x14ac:dyDescent="0.3">
      <c r="A239" s="6" t="e">
        <f>grp_worker_details_37</f>
        <v>#VALUE!</v>
      </c>
    </row>
    <row r="240" spans="1:1" x14ac:dyDescent="0.3">
      <c r="A240" s="6" t="e">
        <f>grp_worker_details_38</f>
        <v>#VALUE!</v>
      </c>
    </row>
    <row r="241" spans="1:1" x14ac:dyDescent="0.3">
      <c r="A241" s="6" t="e">
        <f>grp_worker_details_39</f>
        <v>#VALUE!</v>
      </c>
    </row>
    <row r="242" spans="1:1" x14ac:dyDescent="0.3">
      <c r="A242" s="6" t="e">
        <f>grp_worker_details_4</f>
        <v>#VALUE!</v>
      </c>
    </row>
    <row r="243" spans="1:1" x14ac:dyDescent="0.3">
      <c r="A243" s="6" t="e">
        <f>grp_worker_details_40</f>
        <v>#VALUE!</v>
      </c>
    </row>
    <row r="244" spans="1:1" x14ac:dyDescent="0.3">
      <c r="A244" s="6" t="e">
        <f>grp_worker_details_41</f>
        <v>#VALUE!</v>
      </c>
    </row>
    <row r="245" spans="1:1" x14ac:dyDescent="0.3">
      <c r="A245" s="6" t="e">
        <f>grp_worker_details_42</f>
        <v>#VALUE!</v>
      </c>
    </row>
    <row r="246" spans="1:1" x14ac:dyDescent="0.3">
      <c r="A246" s="6" t="e">
        <f>grp_worker_details_43</f>
        <v>#VALUE!</v>
      </c>
    </row>
    <row r="247" spans="1:1" x14ac:dyDescent="0.3">
      <c r="A247" s="6" t="e">
        <f>grp_worker_details_44</f>
        <v>#VALUE!</v>
      </c>
    </row>
    <row r="248" spans="1:1" x14ac:dyDescent="0.3">
      <c r="A248" s="6" t="e">
        <f>grp_worker_details_45</f>
        <v>#VALUE!</v>
      </c>
    </row>
    <row r="249" spans="1:1" x14ac:dyDescent="0.3">
      <c r="A249" s="6" t="e">
        <f>grp_worker_details_46</f>
        <v>#VALUE!</v>
      </c>
    </row>
    <row r="250" spans="1:1" x14ac:dyDescent="0.3">
      <c r="A250" s="6" t="e">
        <f>grp_worker_details_47</f>
        <v>#VALUE!</v>
      </c>
    </row>
    <row r="251" spans="1:1" x14ac:dyDescent="0.3">
      <c r="A251" s="6" t="e">
        <f>grp_worker_details_48</f>
        <v>#VALUE!</v>
      </c>
    </row>
    <row r="252" spans="1:1" x14ac:dyDescent="0.3">
      <c r="A252" s="6" t="e">
        <f>grp_worker_details_49</f>
        <v>#VALUE!</v>
      </c>
    </row>
    <row r="253" spans="1:1" x14ac:dyDescent="0.3">
      <c r="A253" s="6" t="e">
        <f>grp_worker_details_5</f>
        <v>#VALUE!</v>
      </c>
    </row>
    <row r="254" spans="1:1" x14ac:dyDescent="0.3">
      <c r="A254" s="6" t="e">
        <f>grp_worker_details_50</f>
        <v>#VALUE!</v>
      </c>
    </row>
    <row r="255" spans="1:1" x14ac:dyDescent="0.3">
      <c r="A255" s="6" t="e">
        <f>grp_worker_details_6</f>
        <v>#VALUE!</v>
      </c>
    </row>
    <row r="256" spans="1:1" x14ac:dyDescent="0.3">
      <c r="A256" s="6" t="e">
        <f>grp_worker_details_7</f>
        <v>#VALUE!</v>
      </c>
    </row>
    <row r="257" spans="1:1" x14ac:dyDescent="0.3">
      <c r="A257" s="6" t="e">
        <f>grp_worker_details_8</f>
        <v>#VALUE!</v>
      </c>
    </row>
    <row r="258" spans="1:1" x14ac:dyDescent="0.3">
      <c r="A258" s="6" t="e">
        <f>grp_worker_details_9</f>
        <v>#VALUE!</v>
      </c>
    </row>
    <row r="259" spans="1:1" x14ac:dyDescent="0.3">
      <c r="A259" s="6">
        <f ca="1">gst</f>
        <v>0</v>
      </c>
    </row>
    <row r="260" spans="1:1" x14ac:dyDescent="0.3">
      <c r="A260" s="6" t="str">
        <f>hyd_count</f>
        <v/>
      </c>
    </row>
    <row r="261" spans="1:1" x14ac:dyDescent="0.3">
      <c r="A261" s="6" t="str">
        <f>hyd_loc</f>
        <v/>
      </c>
    </row>
    <row r="262" spans="1:1" x14ac:dyDescent="0.3">
      <c r="A262" s="6" t="str">
        <f>hyd_loc1</f>
        <v/>
      </c>
    </row>
    <row r="263" spans="1:1" x14ac:dyDescent="0.3">
      <c r="A263" s="6">
        <f>igst_perc</f>
        <v>0</v>
      </c>
    </row>
    <row r="264" spans="1:1" x14ac:dyDescent="0.3">
      <c r="A264" s="6">
        <f ca="1">igst_value</f>
        <v>0</v>
      </c>
    </row>
    <row r="265" spans="1:1" x14ac:dyDescent="0.3">
      <c r="A265" s="6">
        <f>insured_name</f>
        <v>0</v>
      </c>
    </row>
    <row r="266" spans="1:1" x14ac:dyDescent="0.3">
      <c r="A266" s="6">
        <f>internal_uw_app</f>
        <v>0</v>
      </c>
    </row>
    <row r="267" spans="1:1" x14ac:dyDescent="0.3">
      <c r="A267" s="6" t="str">
        <f>kol_count</f>
        <v/>
      </c>
    </row>
    <row r="268" spans="1:1" x14ac:dyDescent="0.3">
      <c r="A268" s="6" t="str">
        <f>kol_loc</f>
        <v/>
      </c>
    </row>
    <row r="269" spans="1:1" x14ac:dyDescent="0.3">
      <c r="A269" s="6" t="str">
        <f>kol_loc1</f>
        <v/>
      </c>
    </row>
    <row r="270" spans="1:1" x14ac:dyDescent="0.3">
      <c r="A270" s="6" t="str">
        <f>length_increase_tmpl</f>
        <v>1065-Brick and Tile Makers -Where any  machinery is used; excl. clay or blaes getting below 6 metres-PUP</v>
      </c>
    </row>
    <row r="271" spans="1:1" x14ac:dyDescent="0.3">
      <c r="A271" s="6">
        <f>load_disc_check</f>
        <v>0</v>
      </c>
    </row>
    <row r="272" spans="1:1" x14ac:dyDescent="0.3">
      <c r="A272" s="6">
        <f>load_disc_perc</f>
        <v>0</v>
      </c>
    </row>
    <row r="273" spans="1:1" x14ac:dyDescent="0.3">
      <c r="A273" s="6">
        <f ca="1">load_exp_policy_premium</f>
        <v>0</v>
      </c>
    </row>
    <row r="274" spans="1:1" x14ac:dyDescent="0.3">
      <c r="A274" s="6">
        <f>loading</f>
        <v>0</v>
      </c>
    </row>
    <row r="275" spans="1:1" x14ac:dyDescent="0.3">
      <c r="A275" s="6">
        <f>loading_discount</f>
        <v>0</v>
      </c>
    </row>
    <row r="276" spans="1:1" x14ac:dyDescent="0.3">
      <c r="A276" s="6">
        <f>loading_discount_uw</f>
        <v>0</v>
      </c>
    </row>
    <row r="277" spans="1:1" x14ac:dyDescent="0.3">
      <c r="A277" s="6">
        <f>loc_1_address_line1</f>
        <v>0</v>
      </c>
    </row>
    <row r="278" spans="1:1" x14ac:dyDescent="0.3">
      <c r="A278" s="6">
        <f>loc_1_address_line2</f>
        <v>0</v>
      </c>
    </row>
    <row r="279" spans="1:1" x14ac:dyDescent="0.3">
      <c r="A279" s="6">
        <f>loc_1_address_line3</f>
        <v>0</v>
      </c>
    </row>
    <row r="280" spans="1:1" x14ac:dyDescent="0.3">
      <c r="A280" s="6">
        <f>loc_1_city</f>
        <v>0</v>
      </c>
    </row>
    <row r="281" spans="1:1" x14ac:dyDescent="0.3">
      <c r="A281" s="6">
        <f>loc_1_city_state</f>
        <v>0</v>
      </c>
    </row>
    <row r="282" spans="1:1" x14ac:dyDescent="0.3">
      <c r="A282" s="6">
        <f>loc_1_pincode</f>
        <v>0</v>
      </c>
    </row>
    <row r="283" spans="1:1" x14ac:dyDescent="0.3">
      <c r="A283" s="6">
        <f>loc_1_state</f>
        <v>0</v>
      </c>
    </row>
    <row r="284" spans="1:1" x14ac:dyDescent="0.3">
      <c r="A284" s="6">
        <f>loc_2_address_line1</f>
        <v>0</v>
      </c>
    </row>
    <row r="285" spans="1:1" x14ac:dyDescent="0.3">
      <c r="A285" s="6">
        <f>loc_2_address_line2</f>
        <v>0</v>
      </c>
    </row>
    <row r="286" spans="1:1" x14ac:dyDescent="0.3">
      <c r="A286" s="6">
        <f>loc_2_address_line3</f>
        <v>0</v>
      </c>
    </row>
    <row r="287" spans="1:1" x14ac:dyDescent="0.3">
      <c r="A287" s="6">
        <f>loc_2_city</f>
        <v>0</v>
      </c>
    </row>
    <row r="288" spans="1:1" x14ac:dyDescent="0.3">
      <c r="A288" s="6">
        <f>loc_2_city_state</f>
        <v>0</v>
      </c>
    </row>
    <row r="289" spans="1:1" x14ac:dyDescent="0.3">
      <c r="A289" s="6">
        <f>loc_2_pincode</f>
        <v>0</v>
      </c>
    </row>
    <row r="290" spans="1:1" x14ac:dyDescent="0.3">
      <c r="A290" s="6">
        <f>loc_2_state</f>
        <v>0</v>
      </c>
    </row>
    <row r="291" spans="1:1" x14ac:dyDescent="0.3">
      <c r="A291" s="6">
        <f>loc_3_address_line1</f>
        <v>0</v>
      </c>
    </row>
    <row r="292" spans="1:1" x14ac:dyDescent="0.3">
      <c r="A292" s="6">
        <f>loc_3_address_line2</f>
        <v>0</v>
      </c>
    </row>
    <row r="293" spans="1:1" x14ac:dyDescent="0.3">
      <c r="A293" s="6">
        <f>loc_3_address_line3</f>
        <v>0</v>
      </c>
    </row>
    <row r="294" spans="1:1" x14ac:dyDescent="0.3">
      <c r="A294" s="6">
        <f>loc_3_city</f>
        <v>0</v>
      </c>
    </row>
    <row r="295" spans="1:1" x14ac:dyDescent="0.3">
      <c r="A295" s="6">
        <f>loc_3_city_state</f>
        <v>0</v>
      </c>
    </row>
    <row r="296" spans="1:1" x14ac:dyDescent="0.3">
      <c r="A296" s="6">
        <f>loc_3_pincode</f>
        <v>0</v>
      </c>
    </row>
    <row r="297" spans="1:1" x14ac:dyDescent="0.3">
      <c r="A297" s="6">
        <f>loc_3_state</f>
        <v>0</v>
      </c>
    </row>
    <row r="298" spans="1:1" x14ac:dyDescent="0.3">
      <c r="A298" s="6">
        <f>loc_4_address_line1</f>
        <v>0</v>
      </c>
    </row>
    <row r="299" spans="1:1" x14ac:dyDescent="0.3">
      <c r="A299" s="6">
        <f>loc_4_address_line2</f>
        <v>0</v>
      </c>
    </row>
    <row r="300" spans="1:1" x14ac:dyDescent="0.3">
      <c r="A300" s="6">
        <f>loc_4_address_line3</f>
        <v>0</v>
      </c>
    </row>
    <row r="301" spans="1:1" x14ac:dyDescent="0.3">
      <c r="A301" s="6">
        <f>loc_4_city</f>
        <v>0</v>
      </c>
    </row>
    <row r="302" spans="1:1" x14ac:dyDescent="0.3">
      <c r="A302" s="6">
        <f>loc_4_city_state</f>
        <v>0</v>
      </c>
    </row>
    <row r="303" spans="1:1" x14ac:dyDescent="0.3">
      <c r="A303" s="6">
        <f>loc_4_pincode</f>
        <v>0</v>
      </c>
    </row>
    <row r="304" spans="1:1" x14ac:dyDescent="0.3">
      <c r="A304" s="6">
        <f>loc_4_state</f>
        <v>0</v>
      </c>
    </row>
    <row r="305" spans="1:1" x14ac:dyDescent="0.3">
      <c r="A305" s="6">
        <f>loc_5_address_line1</f>
        <v>0</v>
      </c>
    </row>
    <row r="306" spans="1:1" x14ac:dyDescent="0.3">
      <c r="A306" s="6">
        <f>loc_5_address_line2</f>
        <v>0</v>
      </c>
    </row>
    <row r="307" spans="1:1" x14ac:dyDescent="0.3">
      <c r="A307" s="6">
        <f>loc_5_address_line3</f>
        <v>0</v>
      </c>
    </row>
    <row r="308" spans="1:1" x14ac:dyDescent="0.3">
      <c r="A308" s="6">
        <f>loc_5_city</f>
        <v>0</v>
      </c>
    </row>
    <row r="309" spans="1:1" x14ac:dyDescent="0.3">
      <c r="A309" s="6">
        <f>loc_5_city_state</f>
        <v>0</v>
      </c>
    </row>
    <row r="310" spans="1:1" x14ac:dyDescent="0.3">
      <c r="A310" s="6">
        <f>loc_5_pincode</f>
        <v>0</v>
      </c>
    </row>
    <row r="311" spans="1:1" x14ac:dyDescent="0.3">
      <c r="A311" s="6">
        <f>loc_5_state</f>
        <v>0</v>
      </c>
    </row>
    <row r="312" spans="1:1" x14ac:dyDescent="0.3">
      <c r="A312" s="6">
        <f>location</f>
        <v>0</v>
      </c>
    </row>
    <row r="313" spans="1:1" x14ac:dyDescent="0.3">
      <c r="A313" s="6" t="str">
        <f>location_1</f>
        <v>Ahmedabad</v>
      </c>
    </row>
    <row r="314" spans="1:1" x14ac:dyDescent="0.3">
      <c r="A314" s="6" t="str">
        <f>location_2</f>
        <v>Bangalore-Delhi-Mumbai</v>
      </c>
    </row>
    <row r="315" spans="1:1" x14ac:dyDescent="0.3">
      <c r="A315" s="6" t="str">
        <f>location_3</f>
        <v>Others</v>
      </c>
    </row>
    <row r="316" spans="1:1" x14ac:dyDescent="0.3">
      <c r="A316" s="6">
        <f>location_code</f>
        <v>0</v>
      </c>
    </row>
    <row r="317" spans="1:1" x14ac:dyDescent="0.3">
      <c r="A317" s="6">
        <f>location_count</f>
        <v>1</v>
      </c>
    </row>
    <row r="318" spans="1:1" x14ac:dyDescent="0.3">
      <c r="A318" s="6" t="e">
        <f>location_count_master</f>
        <v>#VALUE!</v>
      </c>
    </row>
    <row r="319" spans="1:1" x14ac:dyDescent="0.3">
      <c r="A319" s="6" t="str">
        <f>location_group_1</f>
        <v>0Ahmedabad</v>
      </c>
    </row>
    <row r="320" spans="1:1" x14ac:dyDescent="0.3">
      <c r="A320" s="6">
        <f>location_group_1_uw</f>
        <v>0</v>
      </c>
    </row>
    <row r="321" spans="1:1" x14ac:dyDescent="0.3">
      <c r="A321" s="6" t="str">
        <f>location_group_2</f>
        <v>0Bangalore-Delhi-Mumbai</v>
      </c>
    </row>
    <row r="322" spans="1:1" x14ac:dyDescent="0.3">
      <c r="A322" s="6">
        <f>location_group_2_uw</f>
        <v>0</v>
      </c>
    </row>
    <row r="323" spans="1:1" x14ac:dyDescent="0.3">
      <c r="A323" s="6" t="str">
        <f>location_group_3</f>
        <v>0Others</v>
      </c>
    </row>
    <row r="324" spans="1:1" x14ac:dyDescent="0.3">
      <c r="A324" s="6">
        <f>location_group_3_uw</f>
        <v>0</v>
      </c>
    </row>
    <row r="325" spans="1:1" x14ac:dyDescent="0.3">
      <c r="A325" s="6" t="str">
        <f>location_group1_tmpl</f>
        <v>0Ahmedabad</v>
      </c>
    </row>
    <row r="326" spans="1:1" x14ac:dyDescent="0.3">
      <c r="A326" s="6" t="str">
        <f>location_group2_tmpl</f>
        <v>0Bangalore-Delhi-Mumbai</v>
      </c>
    </row>
    <row r="327" spans="1:1" x14ac:dyDescent="0.3">
      <c r="A327" s="6" t="str">
        <f>location_group3_tmpl</f>
        <v>0Others</v>
      </c>
    </row>
    <row r="328" spans="1:1" x14ac:dyDescent="0.3">
      <c r="A328" s="6" t="str">
        <f>location_type</f>
        <v>All over India</v>
      </c>
    </row>
    <row r="329" spans="1:1" x14ac:dyDescent="0.3">
      <c r="A329" s="6" t="e">
        <f>location_type_master</f>
        <v>#VALUE!</v>
      </c>
    </row>
    <row r="330" spans="1:1" x14ac:dyDescent="0.3">
      <c r="A330" s="6">
        <f>location_type_users</f>
        <v>0</v>
      </c>
    </row>
    <row r="331" spans="1:1" x14ac:dyDescent="0.3">
      <c r="A331" s="6" t="str">
        <f>location_type_uw</f>
        <v>All over India</v>
      </c>
    </row>
    <row r="332" spans="1:1" x14ac:dyDescent="0.3">
      <c r="A332" s="6" t="str">
        <f>location1_tmpl</f>
        <v>Ahmedabad</v>
      </c>
    </row>
    <row r="333" spans="1:1" x14ac:dyDescent="0.3">
      <c r="A333" s="6" t="str">
        <f>location2_tmpl</f>
        <v>Bangalore-Delhi-Mumbai</v>
      </c>
    </row>
    <row r="334" spans="1:1" x14ac:dyDescent="0.3">
      <c r="A334" s="6" t="str">
        <f>location3_tmpl</f>
        <v>Others</v>
      </c>
    </row>
    <row r="335" spans="1:1" x14ac:dyDescent="0.3">
      <c r="A335" s="6" t="str">
        <f>locationtype_producer</f>
        <v>All over India</v>
      </c>
    </row>
    <row r="336" spans="1:1" x14ac:dyDescent="0.3">
      <c r="A336" s="6" t="e">
        <f>locationtype_uw</f>
        <v>#VALUE!</v>
      </c>
    </row>
    <row r="337" spans="1:1" x14ac:dyDescent="0.3">
      <c r="A337" s="6" t="str">
        <f>loss_history</f>
        <v>no</v>
      </c>
    </row>
    <row r="338" spans="1:1" x14ac:dyDescent="0.3">
      <c r="A338" s="6" t="str">
        <f>lp_option_option_1</f>
        <v>no</v>
      </c>
    </row>
    <row r="339" spans="1:1" x14ac:dyDescent="0.3">
      <c r="A339" s="6" t="str">
        <f>lp_option_option_2</f>
        <v>no</v>
      </c>
    </row>
    <row r="340" spans="1:1" x14ac:dyDescent="0.3">
      <c r="A340" s="6" t="str">
        <f>lp_option_option_3</f>
        <v>no</v>
      </c>
    </row>
    <row r="341" spans="1:1" x14ac:dyDescent="0.3">
      <c r="A341" s="6" t="str">
        <f>lp_option_option_4</f>
        <v>Plain</v>
      </c>
    </row>
    <row r="342" spans="1:1" x14ac:dyDescent="0.3">
      <c r="A342" s="6" t="str">
        <f>lp_option_option_5</f>
        <v>Automated</v>
      </c>
    </row>
    <row r="343" spans="1:1" x14ac:dyDescent="0.3">
      <c r="A343" s="6" t="str">
        <f>lp_option_option_6</f>
        <v>no</v>
      </c>
    </row>
    <row r="344" spans="1:1" x14ac:dyDescent="0.3">
      <c r="A344" s="6" t="str">
        <f>lp_option_option_7</f>
        <v>no</v>
      </c>
    </row>
    <row r="345" spans="1:1" x14ac:dyDescent="0.3">
      <c r="A345" s="6" t="str">
        <f>lp_option_option_8</f>
        <v>no</v>
      </c>
    </row>
    <row r="346" spans="1:1" x14ac:dyDescent="0.3">
      <c r="A346" s="6">
        <f>lp_option_per_1</f>
        <v>0</v>
      </c>
    </row>
    <row r="347" spans="1:1" x14ac:dyDescent="0.3">
      <c r="A347" s="6">
        <f>lp_option_per_2</f>
        <v>0</v>
      </c>
    </row>
    <row r="348" spans="1:1" x14ac:dyDescent="0.3">
      <c r="A348" s="6">
        <f>lp_option_per_3</f>
        <v>0</v>
      </c>
    </row>
    <row r="349" spans="1:1" x14ac:dyDescent="0.3">
      <c r="A349" s="6">
        <f>lp_option_per_4</f>
        <v>0</v>
      </c>
    </row>
    <row r="350" spans="1:1" x14ac:dyDescent="0.3">
      <c r="A350" s="6">
        <f>lp_option_per_5</f>
        <v>0</v>
      </c>
    </row>
    <row r="351" spans="1:1" x14ac:dyDescent="0.3">
      <c r="A351" s="6">
        <f>lp_option_per_6</f>
        <v>0</v>
      </c>
    </row>
    <row r="352" spans="1:1" x14ac:dyDescent="0.3">
      <c r="A352" s="6">
        <f>lp_option_per_7</f>
        <v>0</v>
      </c>
    </row>
    <row r="353" spans="1:1" x14ac:dyDescent="0.3">
      <c r="A353" s="6">
        <f>lp_option_per_8</f>
        <v>0</v>
      </c>
    </row>
    <row r="354" spans="1:1" x14ac:dyDescent="0.3">
      <c r="A354" s="6">
        <f>medex_act_flag</f>
        <v>0</v>
      </c>
    </row>
    <row r="355" spans="1:1" x14ac:dyDescent="0.3">
      <c r="A355" s="6" t="str">
        <f>medex_actuals</f>
        <v>no</v>
      </c>
    </row>
    <row r="356" spans="1:1" x14ac:dyDescent="0.3">
      <c r="A356" s="6">
        <f>medex_agg_flag</f>
        <v>0</v>
      </c>
    </row>
    <row r="357" spans="1:1" x14ac:dyDescent="0.3">
      <c r="A357" s="6" t="str">
        <f>medex_agg_uw_error</f>
        <v xml:space="preserve">Max Limit : </v>
      </c>
    </row>
    <row r="358" spans="1:1" x14ac:dyDescent="0.3">
      <c r="A358" s="6" t="str">
        <f>medex_agg_uw_error_msg</f>
        <v/>
      </c>
    </row>
    <row r="359" spans="1:1" x14ac:dyDescent="0.3">
      <c r="A359" s="6">
        <f>medex_aggregate_limit</f>
        <v>0</v>
      </c>
    </row>
    <row r="360" spans="1:1" x14ac:dyDescent="0.3">
      <c r="A360" s="6">
        <f>medex_flag</f>
        <v>0</v>
      </c>
    </row>
    <row r="361" spans="1:1" x14ac:dyDescent="0.3">
      <c r="A361" s="6">
        <f>medex_loading</f>
        <v>0</v>
      </c>
    </row>
    <row r="362" spans="1:1" x14ac:dyDescent="0.3">
      <c r="A362" s="6">
        <f>medex_loading_uw</f>
        <v>0</v>
      </c>
    </row>
    <row r="363" spans="1:1" x14ac:dyDescent="0.3">
      <c r="A363" s="6" t="str">
        <f>medex_location</f>
        <v/>
      </c>
    </row>
    <row r="364" spans="1:1" x14ac:dyDescent="0.3">
      <c r="A364" s="6">
        <f>medex_location_uw</f>
        <v>0</v>
      </c>
    </row>
    <row r="365" spans="1:1" x14ac:dyDescent="0.3">
      <c r="A365" s="6" t="e">
        <f>medex_master</f>
        <v>#VALUE!</v>
      </c>
    </row>
    <row r="366" spans="1:1" x14ac:dyDescent="0.3">
      <c r="A366" s="6">
        <f>medex_option</f>
        <v>0</v>
      </c>
    </row>
    <row r="367" spans="1:1" x14ac:dyDescent="0.3">
      <c r="A367" s="6">
        <f>medex_per_person_limit</f>
        <v>0</v>
      </c>
    </row>
    <row r="368" spans="1:1" x14ac:dyDescent="0.3">
      <c r="A368" s="6">
        <f>medex_pp_flag</f>
        <v>0</v>
      </c>
    </row>
    <row r="369" spans="1:1" x14ac:dyDescent="0.3">
      <c r="A369" s="6" t="str">
        <f>medex_pp_uw_error</f>
        <v xml:space="preserve">Max Limit : </v>
      </c>
    </row>
    <row r="370" spans="1:1" x14ac:dyDescent="0.3">
      <c r="A370" s="6" t="str">
        <f>medex_pp_uw_error_msg</f>
        <v/>
      </c>
    </row>
    <row r="371" spans="1:1" x14ac:dyDescent="0.3">
      <c r="A371" s="6">
        <f ca="1">medex_prem_1</f>
        <v>0</v>
      </c>
    </row>
    <row r="372" spans="1:1" x14ac:dyDescent="0.3">
      <c r="A372" s="6">
        <f ca="1">medex_prem_10</f>
        <v>0</v>
      </c>
    </row>
    <row r="373" spans="1:1" x14ac:dyDescent="0.3">
      <c r="A373" s="6">
        <f ca="1">medex_prem_11</f>
        <v>0</v>
      </c>
    </row>
    <row r="374" spans="1:1" x14ac:dyDescent="0.3">
      <c r="A374" s="6">
        <f ca="1">medex_prem_12</f>
        <v>0</v>
      </c>
    </row>
    <row r="375" spans="1:1" x14ac:dyDescent="0.3">
      <c r="A375" s="6">
        <f ca="1">medex_prem_13</f>
        <v>0</v>
      </c>
    </row>
    <row r="376" spans="1:1" x14ac:dyDescent="0.3">
      <c r="A376" s="6">
        <f ca="1">medex_prem_14</f>
        <v>0</v>
      </c>
    </row>
    <row r="377" spans="1:1" x14ac:dyDescent="0.3">
      <c r="A377" s="6">
        <f ca="1">medex_prem_15</f>
        <v>0</v>
      </c>
    </row>
    <row r="378" spans="1:1" x14ac:dyDescent="0.3">
      <c r="A378" s="6">
        <f ca="1">medex_prem_2</f>
        <v>0</v>
      </c>
    </row>
    <row r="379" spans="1:1" x14ac:dyDescent="0.3">
      <c r="A379" s="6">
        <f ca="1">medex_prem_3</f>
        <v>0</v>
      </c>
    </row>
    <row r="380" spans="1:1" x14ac:dyDescent="0.3">
      <c r="A380" s="6">
        <f ca="1">medex_prem_4</f>
        <v>0</v>
      </c>
    </row>
    <row r="381" spans="1:1" x14ac:dyDescent="0.3">
      <c r="A381" s="6">
        <f ca="1">medex_prem_5</f>
        <v>0</v>
      </c>
    </row>
    <row r="382" spans="1:1" x14ac:dyDescent="0.3">
      <c r="A382" s="6">
        <f ca="1">medex_prem_6</f>
        <v>0</v>
      </c>
    </row>
    <row r="383" spans="1:1" x14ac:dyDescent="0.3">
      <c r="A383" s="6">
        <f ca="1">medex_prem_7</f>
        <v>0</v>
      </c>
    </row>
    <row r="384" spans="1:1" x14ac:dyDescent="0.3">
      <c r="A384" s="6">
        <f ca="1">medex_prem_8</f>
        <v>0</v>
      </c>
    </row>
    <row r="385" spans="1:1" x14ac:dyDescent="0.3">
      <c r="A385" s="6">
        <f ca="1">medex_prem_9</f>
        <v>0</v>
      </c>
    </row>
    <row r="386" spans="1:1" x14ac:dyDescent="0.3">
      <c r="A386" s="6">
        <f ca="1">medex_premium</f>
        <v>0</v>
      </c>
    </row>
    <row r="387" spans="1:1" x14ac:dyDescent="0.3">
      <c r="A387" s="6">
        <f>medex_premium_uw</f>
        <v>0</v>
      </c>
    </row>
    <row r="388" spans="1:1" x14ac:dyDescent="0.3">
      <c r="A388" s="6">
        <f>monthly_wages_1</f>
        <v>0</v>
      </c>
    </row>
    <row r="389" spans="1:1" x14ac:dyDescent="0.3">
      <c r="A389" s="6">
        <f>monthly_wages_10</f>
        <v>0</v>
      </c>
    </row>
    <row r="390" spans="1:1" x14ac:dyDescent="0.3">
      <c r="A390" s="6">
        <f>monthly_wages_11</f>
        <v>0</v>
      </c>
    </row>
    <row r="391" spans="1:1" x14ac:dyDescent="0.3">
      <c r="A391" s="6">
        <f>monthly_wages_12</f>
        <v>0</v>
      </c>
    </row>
    <row r="392" spans="1:1" x14ac:dyDescent="0.3">
      <c r="A392" s="6">
        <f>monthly_wages_13</f>
        <v>0</v>
      </c>
    </row>
    <row r="393" spans="1:1" x14ac:dyDescent="0.3">
      <c r="A393" s="6">
        <f>monthly_wages_14</f>
        <v>0</v>
      </c>
    </row>
    <row r="394" spans="1:1" x14ac:dyDescent="0.3">
      <c r="A394" s="6">
        <f>monthly_wages_15</f>
        <v>0</v>
      </c>
    </row>
    <row r="395" spans="1:1" x14ac:dyDescent="0.3">
      <c r="A395" s="6">
        <f>monthly_wages_16</f>
        <v>0</v>
      </c>
    </row>
    <row r="396" spans="1:1" x14ac:dyDescent="0.3">
      <c r="A396" s="6">
        <f>monthly_wages_17</f>
        <v>0</v>
      </c>
    </row>
    <row r="397" spans="1:1" x14ac:dyDescent="0.3">
      <c r="A397" s="6">
        <f>monthly_wages_18</f>
        <v>0</v>
      </c>
    </row>
    <row r="398" spans="1:1" x14ac:dyDescent="0.3">
      <c r="A398" s="6">
        <f>monthly_wages_19</f>
        <v>0</v>
      </c>
    </row>
    <row r="399" spans="1:1" x14ac:dyDescent="0.3">
      <c r="A399" s="6">
        <f>monthly_wages_2</f>
        <v>0</v>
      </c>
    </row>
    <row r="400" spans="1:1" x14ac:dyDescent="0.3">
      <c r="A400" s="6">
        <f>monthly_wages_20</f>
        <v>0</v>
      </c>
    </row>
    <row r="401" spans="1:1" x14ac:dyDescent="0.3">
      <c r="A401" s="6">
        <f>monthly_wages_21</f>
        <v>0</v>
      </c>
    </row>
    <row r="402" spans="1:1" x14ac:dyDescent="0.3">
      <c r="A402" s="6">
        <f>monthly_wages_22</f>
        <v>0</v>
      </c>
    </row>
    <row r="403" spans="1:1" x14ac:dyDescent="0.3">
      <c r="A403" s="6">
        <f>monthly_wages_23</f>
        <v>0</v>
      </c>
    </row>
    <row r="404" spans="1:1" x14ac:dyDescent="0.3">
      <c r="A404" s="6">
        <f>monthly_wages_24</f>
        <v>0</v>
      </c>
    </row>
    <row r="405" spans="1:1" x14ac:dyDescent="0.3">
      <c r="A405" s="6">
        <f>monthly_wages_25</f>
        <v>0</v>
      </c>
    </row>
    <row r="406" spans="1:1" x14ac:dyDescent="0.3">
      <c r="A406" s="6">
        <f>monthly_wages_26</f>
        <v>0</v>
      </c>
    </row>
    <row r="407" spans="1:1" x14ac:dyDescent="0.3">
      <c r="A407" s="6">
        <f>monthly_wages_27</f>
        <v>0</v>
      </c>
    </row>
    <row r="408" spans="1:1" x14ac:dyDescent="0.3">
      <c r="A408" s="6">
        <f>monthly_wages_28</f>
        <v>0</v>
      </c>
    </row>
    <row r="409" spans="1:1" x14ac:dyDescent="0.3">
      <c r="A409" s="6">
        <f>monthly_wages_29</f>
        <v>0</v>
      </c>
    </row>
    <row r="410" spans="1:1" x14ac:dyDescent="0.3">
      <c r="A410" s="6">
        <f>monthly_wages_3</f>
        <v>0</v>
      </c>
    </row>
    <row r="411" spans="1:1" x14ac:dyDescent="0.3">
      <c r="A411" s="6">
        <f>monthly_wages_30</f>
        <v>0</v>
      </c>
    </row>
    <row r="412" spans="1:1" x14ac:dyDescent="0.3">
      <c r="A412" s="6">
        <f>monthly_wages_31</f>
        <v>0</v>
      </c>
    </row>
    <row r="413" spans="1:1" x14ac:dyDescent="0.3">
      <c r="A413" s="6">
        <f>monthly_wages_32</f>
        <v>0</v>
      </c>
    </row>
    <row r="414" spans="1:1" x14ac:dyDescent="0.3">
      <c r="A414" s="6">
        <f>monthly_wages_33</f>
        <v>0</v>
      </c>
    </row>
    <row r="415" spans="1:1" x14ac:dyDescent="0.3">
      <c r="A415" s="6">
        <f>monthly_wages_34</f>
        <v>0</v>
      </c>
    </row>
    <row r="416" spans="1:1" x14ac:dyDescent="0.3">
      <c r="A416" s="6">
        <f>monthly_wages_35</f>
        <v>0</v>
      </c>
    </row>
    <row r="417" spans="1:1" x14ac:dyDescent="0.3">
      <c r="A417" s="6">
        <f>monthly_wages_36</f>
        <v>0</v>
      </c>
    </row>
    <row r="418" spans="1:1" x14ac:dyDescent="0.3">
      <c r="A418" s="6">
        <f>monthly_wages_37</f>
        <v>0</v>
      </c>
    </row>
    <row r="419" spans="1:1" x14ac:dyDescent="0.3">
      <c r="A419" s="6">
        <f>monthly_wages_38</f>
        <v>0</v>
      </c>
    </row>
    <row r="420" spans="1:1" x14ac:dyDescent="0.3">
      <c r="A420" s="6">
        <f>monthly_wages_39</f>
        <v>0</v>
      </c>
    </row>
    <row r="421" spans="1:1" x14ac:dyDescent="0.3">
      <c r="A421" s="6">
        <f>monthly_wages_4</f>
        <v>0</v>
      </c>
    </row>
    <row r="422" spans="1:1" x14ac:dyDescent="0.3">
      <c r="A422" s="6">
        <f>monthly_wages_40</f>
        <v>0</v>
      </c>
    </row>
    <row r="423" spans="1:1" x14ac:dyDescent="0.3">
      <c r="A423" s="6">
        <f>monthly_wages_41</f>
        <v>0</v>
      </c>
    </row>
    <row r="424" spans="1:1" x14ac:dyDescent="0.3">
      <c r="A424" s="6">
        <f>monthly_wages_42</f>
        <v>0</v>
      </c>
    </row>
    <row r="425" spans="1:1" x14ac:dyDescent="0.3">
      <c r="A425" s="6">
        <f>monthly_wages_43</f>
        <v>0</v>
      </c>
    </row>
    <row r="426" spans="1:1" x14ac:dyDescent="0.3">
      <c r="A426" s="6">
        <f>monthly_wages_44</f>
        <v>0</v>
      </c>
    </row>
    <row r="427" spans="1:1" x14ac:dyDescent="0.3">
      <c r="A427" s="6">
        <f>monthly_wages_45</f>
        <v>0</v>
      </c>
    </row>
    <row r="428" spans="1:1" x14ac:dyDescent="0.3">
      <c r="A428" s="6">
        <f>monthly_wages_46</f>
        <v>0</v>
      </c>
    </row>
    <row r="429" spans="1:1" x14ac:dyDescent="0.3">
      <c r="A429" s="6">
        <f>monthly_wages_47</f>
        <v>0</v>
      </c>
    </row>
    <row r="430" spans="1:1" x14ac:dyDescent="0.3">
      <c r="A430" s="6">
        <f>monthly_wages_48</f>
        <v>0</v>
      </c>
    </row>
    <row r="431" spans="1:1" x14ac:dyDescent="0.3">
      <c r="A431" s="6">
        <f>monthly_wages_49</f>
        <v>0</v>
      </c>
    </row>
    <row r="432" spans="1:1" x14ac:dyDescent="0.3">
      <c r="A432" s="6">
        <f>monthly_wages_5</f>
        <v>0</v>
      </c>
    </row>
    <row r="433" spans="1:1" x14ac:dyDescent="0.3">
      <c r="A433" s="6">
        <f>monthly_wages_50</f>
        <v>0</v>
      </c>
    </row>
    <row r="434" spans="1:1" x14ac:dyDescent="0.3">
      <c r="A434" s="6">
        <f>monthly_wages_6</f>
        <v>0</v>
      </c>
    </row>
    <row r="435" spans="1:1" x14ac:dyDescent="0.3">
      <c r="A435" s="6">
        <f>monthly_wages_7</f>
        <v>0</v>
      </c>
    </row>
    <row r="436" spans="1:1" x14ac:dyDescent="0.3">
      <c r="A436" s="6">
        <f>monthly_wages_8</f>
        <v>0</v>
      </c>
    </row>
    <row r="437" spans="1:1" x14ac:dyDescent="0.3">
      <c r="A437" s="6">
        <f>monthly_wages_9</f>
        <v>0</v>
      </c>
    </row>
    <row r="438" spans="1:1" x14ac:dyDescent="0.3">
      <c r="A438" s="6" t="str">
        <f>msme_customer</f>
        <v>no</v>
      </c>
    </row>
    <row r="439" spans="1:1" x14ac:dyDescent="0.3">
      <c r="A439" s="6">
        <f>msme_no</f>
        <v>0</v>
      </c>
    </row>
    <row r="440" spans="1:1" x14ac:dyDescent="0.3">
      <c r="A440" s="6">
        <f>msme_validation</f>
        <v>0</v>
      </c>
    </row>
    <row r="441" spans="1:1" x14ac:dyDescent="0.3">
      <c r="A441" s="6" t="str">
        <f>mum_count</f>
        <v/>
      </c>
    </row>
    <row r="442" spans="1:1" x14ac:dyDescent="0.3">
      <c r="A442" s="6" t="str">
        <f>mum_loc</f>
        <v/>
      </c>
    </row>
    <row r="443" spans="1:1" x14ac:dyDescent="0.3">
      <c r="A443" s="6" t="str">
        <f>mum_loc1</f>
        <v/>
      </c>
    </row>
    <row r="444" spans="1:1" x14ac:dyDescent="0.3">
      <c r="A444" s="6">
        <f>nature_of_loss</f>
        <v>0</v>
      </c>
    </row>
    <row r="445" spans="1:1" x14ac:dyDescent="0.3">
      <c r="A445" s="6">
        <f>nb_premium</f>
        <v>0</v>
      </c>
    </row>
    <row r="446" spans="1:1" x14ac:dyDescent="0.3">
      <c r="A446" s="6">
        <f ca="1">net_premium</f>
        <v>0</v>
      </c>
    </row>
    <row r="447" spans="1:1" x14ac:dyDescent="0.3">
      <c r="A447" s="6">
        <f>net_premium_uw</f>
        <v>0</v>
      </c>
    </row>
    <row r="448" spans="1:1" x14ac:dyDescent="0.3">
      <c r="A448" s="6">
        <f>new_cont1</f>
        <v>0</v>
      </c>
    </row>
    <row r="449" spans="1:1" x14ac:dyDescent="0.3">
      <c r="A449" s="6">
        <f>new_cont2</f>
        <v>0</v>
      </c>
    </row>
    <row r="450" spans="1:1" x14ac:dyDescent="0.3">
      <c r="A450" s="6">
        <f>new_cont3</f>
        <v>0</v>
      </c>
    </row>
    <row r="451" spans="1:1" x14ac:dyDescent="0.3">
      <c r="A451" s="6" t="str">
        <f>new_trade_catg_code</f>
        <v/>
      </c>
    </row>
    <row r="452" spans="1:1" x14ac:dyDescent="0.3">
      <c r="A452" s="6" t="str">
        <f>new_trade_catg_desc</f>
        <v/>
      </c>
    </row>
    <row r="453" spans="1:1" x14ac:dyDescent="0.3">
      <c r="A453" s="6" t="str">
        <f>no_master</f>
        <v>no</v>
      </c>
    </row>
    <row r="454" spans="1:1" x14ac:dyDescent="0.3">
      <c r="A454" s="6">
        <f>no_of_days</f>
        <v>0</v>
      </c>
    </row>
    <row r="455" spans="1:1" x14ac:dyDescent="0.3">
      <c r="A455" s="6">
        <f>no_of_worker_1</f>
        <v>0</v>
      </c>
    </row>
    <row r="456" spans="1:1" x14ac:dyDescent="0.3">
      <c r="A456" s="6">
        <f>no_of_worker_10</f>
        <v>0</v>
      </c>
    </row>
    <row r="457" spans="1:1" x14ac:dyDescent="0.3">
      <c r="A457" s="6">
        <f>no_of_worker_11</f>
        <v>0</v>
      </c>
    </row>
    <row r="458" spans="1:1" x14ac:dyDescent="0.3">
      <c r="A458" s="6">
        <f>no_of_worker_12</f>
        <v>0</v>
      </c>
    </row>
    <row r="459" spans="1:1" x14ac:dyDescent="0.3">
      <c r="A459" s="6">
        <f>no_of_worker_13</f>
        <v>0</v>
      </c>
    </row>
    <row r="460" spans="1:1" x14ac:dyDescent="0.3">
      <c r="A460" s="6">
        <f>no_of_worker_14</f>
        <v>0</v>
      </c>
    </row>
    <row r="461" spans="1:1" x14ac:dyDescent="0.3">
      <c r="A461" s="6">
        <f>no_of_worker_15</f>
        <v>0</v>
      </c>
    </row>
    <row r="462" spans="1:1" x14ac:dyDescent="0.3">
      <c r="A462" s="6">
        <f>no_of_worker_16</f>
        <v>0</v>
      </c>
    </row>
    <row r="463" spans="1:1" x14ac:dyDescent="0.3">
      <c r="A463" s="6">
        <f>no_of_worker_17</f>
        <v>0</v>
      </c>
    </row>
    <row r="464" spans="1:1" x14ac:dyDescent="0.3">
      <c r="A464" s="6">
        <f>no_of_worker_18</f>
        <v>0</v>
      </c>
    </row>
    <row r="465" spans="1:1" x14ac:dyDescent="0.3">
      <c r="A465" s="6">
        <f>no_of_worker_19</f>
        <v>0</v>
      </c>
    </row>
    <row r="466" spans="1:1" x14ac:dyDescent="0.3">
      <c r="A466" s="6">
        <f>no_of_worker_2</f>
        <v>0</v>
      </c>
    </row>
    <row r="467" spans="1:1" x14ac:dyDescent="0.3">
      <c r="A467" s="6">
        <f>no_of_worker_20</f>
        <v>0</v>
      </c>
    </row>
    <row r="468" spans="1:1" x14ac:dyDescent="0.3">
      <c r="A468" s="6">
        <f>no_of_worker_21</f>
        <v>0</v>
      </c>
    </row>
    <row r="469" spans="1:1" x14ac:dyDescent="0.3">
      <c r="A469" s="6">
        <f>no_of_worker_22</f>
        <v>0</v>
      </c>
    </row>
    <row r="470" spans="1:1" x14ac:dyDescent="0.3">
      <c r="A470" s="6">
        <f>no_of_worker_23</f>
        <v>0</v>
      </c>
    </row>
    <row r="471" spans="1:1" x14ac:dyDescent="0.3">
      <c r="A471" s="6">
        <f>no_of_worker_24</f>
        <v>0</v>
      </c>
    </row>
    <row r="472" spans="1:1" x14ac:dyDescent="0.3">
      <c r="A472" s="6">
        <f>no_of_worker_25</f>
        <v>0</v>
      </c>
    </row>
    <row r="473" spans="1:1" x14ac:dyDescent="0.3">
      <c r="A473" s="6">
        <f>no_of_worker_26</f>
        <v>0</v>
      </c>
    </row>
    <row r="474" spans="1:1" x14ac:dyDescent="0.3">
      <c r="A474" s="6">
        <f>no_of_worker_27</f>
        <v>0</v>
      </c>
    </row>
    <row r="475" spans="1:1" x14ac:dyDescent="0.3">
      <c r="A475" s="6">
        <f>no_of_worker_28</f>
        <v>0</v>
      </c>
    </row>
    <row r="476" spans="1:1" x14ac:dyDescent="0.3">
      <c r="A476" s="6">
        <f>no_of_worker_29</f>
        <v>0</v>
      </c>
    </row>
    <row r="477" spans="1:1" x14ac:dyDescent="0.3">
      <c r="A477" s="6">
        <f>no_of_worker_3</f>
        <v>0</v>
      </c>
    </row>
    <row r="478" spans="1:1" x14ac:dyDescent="0.3">
      <c r="A478" s="6">
        <f>no_of_worker_30</f>
        <v>0</v>
      </c>
    </row>
    <row r="479" spans="1:1" x14ac:dyDescent="0.3">
      <c r="A479" s="6">
        <f>no_of_worker_31</f>
        <v>0</v>
      </c>
    </row>
    <row r="480" spans="1:1" x14ac:dyDescent="0.3">
      <c r="A480" s="6">
        <f>no_of_worker_32</f>
        <v>0</v>
      </c>
    </row>
    <row r="481" spans="1:1" x14ac:dyDescent="0.3">
      <c r="A481" s="6">
        <f>no_of_worker_33</f>
        <v>0</v>
      </c>
    </row>
    <row r="482" spans="1:1" x14ac:dyDescent="0.3">
      <c r="A482" s="6">
        <f>no_of_worker_34</f>
        <v>0</v>
      </c>
    </row>
    <row r="483" spans="1:1" x14ac:dyDescent="0.3">
      <c r="A483" s="6">
        <f>no_of_worker_35</f>
        <v>0</v>
      </c>
    </row>
    <row r="484" spans="1:1" x14ac:dyDescent="0.3">
      <c r="A484" s="6">
        <f>no_of_worker_36</f>
        <v>0</v>
      </c>
    </row>
    <row r="485" spans="1:1" x14ac:dyDescent="0.3">
      <c r="A485" s="6">
        <f>no_of_worker_37</f>
        <v>0</v>
      </c>
    </row>
    <row r="486" spans="1:1" x14ac:dyDescent="0.3">
      <c r="A486" s="6">
        <f>no_of_worker_38</f>
        <v>0</v>
      </c>
    </row>
    <row r="487" spans="1:1" x14ac:dyDescent="0.3">
      <c r="A487" s="6">
        <f>no_of_worker_39</f>
        <v>0</v>
      </c>
    </row>
    <row r="488" spans="1:1" x14ac:dyDescent="0.3">
      <c r="A488" s="6">
        <f>no_of_worker_4</f>
        <v>0</v>
      </c>
    </row>
    <row r="489" spans="1:1" x14ac:dyDescent="0.3">
      <c r="A489" s="6">
        <f>no_of_worker_40</f>
        <v>0</v>
      </c>
    </row>
    <row r="490" spans="1:1" x14ac:dyDescent="0.3">
      <c r="A490" s="6">
        <f>no_of_worker_41</f>
        <v>0</v>
      </c>
    </row>
    <row r="491" spans="1:1" x14ac:dyDescent="0.3">
      <c r="A491" s="6">
        <f>no_of_worker_42</f>
        <v>0</v>
      </c>
    </row>
    <row r="492" spans="1:1" x14ac:dyDescent="0.3">
      <c r="A492" s="6">
        <f>no_of_worker_43</f>
        <v>0</v>
      </c>
    </row>
    <row r="493" spans="1:1" x14ac:dyDescent="0.3">
      <c r="A493" s="6">
        <f>no_of_worker_44</f>
        <v>0</v>
      </c>
    </row>
    <row r="494" spans="1:1" x14ac:dyDescent="0.3">
      <c r="A494" s="6">
        <f>no_of_worker_45</f>
        <v>0</v>
      </c>
    </row>
    <row r="495" spans="1:1" x14ac:dyDescent="0.3">
      <c r="A495" s="6">
        <f>no_of_worker_46</f>
        <v>0</v>
      </c>
    </row>
    <row r="496" spans="1:1" x14ac:dyDescent="0.3">
      <c r="A496" s="6">
        <f>no_of_worker_47</f>
        <v>0</v>
      </c>
    </row>
    <row r="497" spans="1:1" x14ac:dyDescent="0.3">
      <c r="A497" s="6">
        <f>no_of_worker_48</f>
        <v>0</v>
      </c>
    </row>
    <row r="498" spans="1:1" x14ac:dyDescent="0.3">
      <c r="A498" s="6">
        <f>no_of_worker_49</f>
        <v>0</v>
      </c>
    </row>
    <row r="499" spans="1:1" x14ac:dyDescent="0.3">
      <c r="A499" s="6">
        <f>no_of_worker_5</f>
        <v>0</v>
      </c>
    </row>
    <row r="500" spans="1:1" x14ac:dyDescent="0.3">
      <c r="A500" s="6">
        <f>no_of_worker_50</f>
        <v>0</v>
      </c>
    </row>
    <row r="501" spans="1:1" x14ac:dyDescent="0.3">
      <c r="A501" s="6">
        <f>no_of_worker_6</f>
        <v>0</v>
      </c>
    </row>
    <row r="502" spans="1:1" x14ac:dyDescent="0.3">
      <c r="A502" s="6">
        <f>no_of_worker_7</f>
        <v>0</v>
      </c>
    </row>
    <row r="503" spans="1:1" x14ac:dyDescent="0.3">
      <c r="A503" s="6">
        <f>no_of_worker_8</f>
        <v>0</v>
      </c>
    </row>
    <row r="504" spans="1:1" x14ac:dyDescent="0.3">
      <c r="A504" s="6">
        <f>no_of_worker_9</f>
        <v>0</v>
      </c>
    </row>
    <row r="505" spans="1:1" x14ac:dyDescent="0.3">
      <c r="A505" s="6" t="e">
        <f>no_yes_master</f>
        <v>#VALUE!</v>
      </c>
    </row>
    <row r="506" spans="1:1" x14ac:dyDescent="0.3">
      <c r="A506" s="6">
        <f>nsm_min_dis</f>
        <v>0</v>
      </c>
    </row>
    <row r="507" spans="1:1" x14ac:dyDescent="0.3">
      <c r="A507" s="6" t="str">
        <f>nstp_flag</f>
        <v>=IF(SUM(E5:E26)&gt;0,"Yes","No")</v>
      </c>
    </row>
    <row r="508" spans="1:1" x14ac:dyDescent="0.3">
      <c r="A508" s="6" t="str">
        <f ca="1">nstp_reason</f>
        <v/>
      </c>
    </row>
    <row r="509" spans="1:1" x14ac:dyDescent="0.3">
      <c r="A509" s="6">
        <f>od_act_flag</f>
        <v>0</v>
      </c>
    </row>
    <row r="510" spans="1:1" x14ac:dyDescent="0.3">
      <c r="A510" s="6" t="str">
        <f>od_actuals</f>
        <v>no</v>
      </c>
    </row>
    <row r="511" spans="1:1" x14ac:dyDescent="0.3">
      <c r="A511" s="6" t="str">
        <f>od_actuals_uw</f>
        <v>no</v>
      </c>
    </row>
    <row r="512" spans="1:1" x14ac:dyDescent="0.3">
      <c r="A512" s="6">
        <f>od_agg_flag</f>
        <v>0</v>
      </c>
    </row>
    <row r="513" spans="1:1" x14ac:dyDescent="0.3">
      <c r="A513" s="6" t="str">
        <f>od_agg_uw_error</f>
        <v xml:space="preserve">Max Limit : </v>
      </c>
    </row>
    <row r="514" spans="1:1" x14ac:dyDescent="0.3">
      <c r="A514" s="6" t="str">
        <f>od_agg_uw_error_msg</f>
        <v/>
      </c>
    </row>
    <row r="515" spans="1:1" x14ac:dyDescent="0.3">
      <c r="A515" s="6">
        <f>od_aggregate_limit</f>
        <v>0</v>
      </c>
    </row>
    <row r="516" spans="1:1" x14ac:dyDescent="0.3">
      <c r="A516" s="6">
        <f>od_aggregate_limit_uw</f>
        <v>0</v>
      </c>
    </row>
    <row r="517" spans="1:1" x14ac:dyDescent="0.3">
      <c r="A517" s="6">
        <f>od_flag</f>
        <v>0</v>
      </c>
    </row>
    <row r="518" spans="1:1" x14ac:dyDescent="0.3">
      <c r="A518" s="6">
        <f>od_loading</f>
        <v>0</v>
      </c>
    </row>
    <row r="519" spans="1:1" x14ac:dyDescent="0.3">
      <c r="A519" s="6">
        <f>od_loading_per_uw</f>
        <v>0</v>
      </c>
    </row>
    <row r="520" spans="1:1" x14ac:dyDescent="0.3">
      <c r="A520" s="6">
        <f>od_loading_uw</f>
        <v>0</v>
      </c>
    </row>
    <row r="521" spans="1:1" x14ac:dyDescent="0.3">
      <c r="A521" s="6">
        <f>od_per_person_limit</f>
        <v>0</v>
      </c>
    </row>
    <row r="522" spans="1:1" x14ac:dyDescent="0.3">
      <c r="A522" s="6">
        <f>od_per_person_limit_uw</f>
        <v>0</v>
      </c>
    </row>
    <row r="523" spans="1:1" x14ac:dyDescent="0.3">
      <c r="A523" s="6">
        <f>od_pp_flag</f>
        <v>0</v>
      </c>
    </row>
    <row r="524" spans="1:1" x14ac:dyDescent="0.3">
      <c r="A524" s="6" t="str">
        <f>od_pp_uw_error</f>
        <v xml:space="preserve">Max Limit : </v>
      </c>
    </row>
    <row r="525" spans="1:1" x14ac:dyDescent="0.3">
      <c r="A525" s="6" t="str">
        <f>od_pp_uw_error_msg</f>
        <v/>
      </c>
    </row>
    <row r="526" spans="1:1" x14ac:dyDescent="0.3">
      <c r="A526" s="6">
        <f ca="1">od_prem_1</f>
        <v>0</v>
      </c>
    </row>
    <row r="527" spans="1:1" x14ac:dyDescent="0.3">
      <c r="A527" s="6">
        <f ca="1">od_prem_10</f>
        <v>0</v>
      </c>
    </row>
    <row r="528" spans="1:1" x14ac:dyDescent="0.3">
      <c r="A528" s="6">
        <f ca="1">od_prem_11</f>
        <v>0</v>
      </c>
    </row>
    <row r="529" spans="1:1" x14ac:dyDescent="0.3">
      <c r="A529" s="6">
        <f ca="1">od_prem_12</f>
        <v>0</v>
      </c>
    </row>
    <row r="530" spans="1:1" x14ac:dyDescent="0.3">
      <c r="A530" s="6">
        <f ca="1">od_prem_13</f>
        <v>0</v>
      </c>
    </row>
    <row r="531" spans="1:1" x14ac:dyDescent="0.3">
      <c r="A531" s="6">
        <f ca="1">od_prem_14</f>
        <v>0</v>
      </c>
    </row>
    <row r="532" spans="1:1" x14ac:dyDescent="0.3">
      <c r="A532" s="6">
        <f ca="1">od_prem_15</f>
        <v>0</v>
      </c>
    </row>
    <row r="533" spans="1:1" x14ac:dyDescent="0.3">
      <c r="A533" s="6">
        <f ca="1">od_prem_2</f>
        <v>0</v>
      </c>
    </row>
    <row r="534" spans="1:1" x14ac:dyDescent="0.3">
      <c r="A534" s="6">
        <f ca="1">od_prem_3</f>
        <v>0</v>
      </c>
    </row>
    <row r="535" spans="1:1" x14ac:dyDescent="0.3">
      <c r="A535" s="6">
        <f ca="1">od_prem_4</f>
        <v>0</v>
      </c>
    </row>
    <row r="536" spans="1:1" x14ac:dyDescent="0.3">
      <c r="A536" s="6">
        <f ca="1">od_prem_5</f>
        <v>0</v>
      </c>
    </row>
    <row r="537" spans="1:1" x14ac:dyDescent="0.3">
      <c r="A537" s="6">
        <f ca="1">od_prem_6</f>
        <v>0</v>
      </c>
    </row>
    <row r="538" spans="1:1" x14ac:dyDescent="0.3">
      <c r="A538" s="6">
        <f ca="1">od_prem_7</f>
        <v>0</v>
      </c>
    </row>
    <row r="539" spans="1:1" x14ac:dyDescent="0.3">
      <c r="A539" s="6">
        <f ca="1">od_prem_8</f>
        <v>0</v>
      </c>
    </row>
    <row r="540" spans="1:1" x14ac:dyDescent="0.3">
      <c r="A540" s="6">
        <f ca="1">od_prem_9</f>
        <v>0</v>
      </c>
    </row>
    <row r="541" spans="1:1" x14ac:dyDescent="0.3">
      <c r="A541" s="6">
        <f ca="1">od_premium</f>
        <v>0</v>
      </c>
    </row>
    <row r="542" spans="1:1" x14ac:dyDescent="0.3">
      <c r="A542" s="6">
        <f>od_premium_uw</f>
        <v>0</v>
      </c>
    </row>
    <row r="543" spans="1:1" x14ac:dyDescent="0.3">
      <c r="A543" s="6">
        <f>old_new_uin</f>
        <v>0</v>
      </c>
    </row>
    <row r="544" spans="1:1" x14ac:dyDescent="0.3">
      <c r="A544" s="6">
        <f>open_claims</f>
        <v>0</v>
      </c>
    </row>
    <row r="545" spans="1:1" x14ac:dyDescent="0.3">
      <c r="A545" s="6" t="str">
        <f>option_1</f>
        <v>Untrained</v>
      </c>
    </row>
    <row r="546" spans="1:1" x14ac:dyDescent="0.3">
      <c r="A546" s="6" t="str">
        <f>option_10</f>
        <v>no</v>
      </c>
    </row>
    <row r="547" spans="1:1" x14ac:dyDescent="0.3">
      <c r="A547" s="6" t="str">
        <f>option_11</f>
        <v>no</v>
      </c>
    </row>
    <row r="548" spans="1:1" x14ac:dyDescent="0.3">
      <c r="A548" s="6" t="str">
        <f>option_12</f>
        <v>no</v>
      </c>
    </row>
    <row r="549" spans="1:1" x14ac:dyDescent="0.3">
      <c r="A549" s="6" t="str">
        <f>option_13</f>
        <v>no</v>
      </c>
    </row>
    <row r="550" spans="1:1" x14ac:dyDescent="0.3">
      <c r="A550" s="6" t="str">
        <f>option_2</f>
        <v>no</v>
      </c>
    </row>
    <row r="551" spans="1:1" x14ac:dyDescent="0.3">
      <c r="A551" s="6" t="str">
        <f>option_3</f>
        <v>no</v>
      </c>
    </row>
    <row r="552" spans="1:1" x14ac:dyDescent="0.3">
      <c r="A552" s="6" t="str">
        <f>option_4</f>
        <v>Upto 3 years</v>
      </c>
    </row>
    <row r="553" spans="1:1" x14ac:dyDescent="0.3">
      <c r="A553" s="6" t="str">
        <f>option_5</f>
        <v>no</v>
      </c>
    </row>
    <row r="554" spans="1:1" x14ac:dyDescent="0.3">
      <c r="A554" s="6" t="str">
        <f>option_6</f>
        <v>0-100</v>
      </c>
    </row>
    <row r="555" spans="1:1" x14ac:dyDescent="0.3">
      <c r="A555" s="6" t="str">
        <f>option_7</f>
        <v>no</v>
      </c>
    </row>
    <row r="556" spans="1:1" x14ac:dyDescent="0.3">
      <c r="A556" s="6" t="str">
        <f>option_8</f>
        <v>no</v>
      </c>
    </row>
    <row r="557" spans="1:1" x14ac:dyDescent="0.3">
      <c r="A557" s="6" t="str">
        <f>option_9</f>
        <v>no</v>
      </c>
    </row>
    <row r="558" spans="1:1" x14ac:dyDescent="0.3">
      <c r="A558" s="6">
        <f>option_per_1</f>
        <v>0</v>
      </c>
    </row>
    <row r="559" spans="1:1" x14ac:dyDescent="0.3">
      <c r="A559" s="6">
        <f>option_per_10</f>
        <v>0</v>
      </c>
    </row>
    <row r="560" spans="1:1" x14ac:dyDescent="0.3">
      <c r="A560" s="6">
        <f>option_per_11</f>
        <v>0</v>
      </c>
    </row>
    <row r="561" spans="1:1" x14ac:dyDescent="0.3">
      <c r="A561" s="6">
        <f>option_per_12</f>
        <v>0</v>
      </c>
    </row>
    <row r="562" spans="1:1" x14ac:dyDescent="0.3">
      <c r="A562" s="6">
        <f>option_per_13</f>
        <v>0</v>
      </c>
    </row>
    <row r="563" spans="1:1" x14ac:dyDescent="0.3">
      <c r="A563" s="6">
        <f>option_per_2</f>
        <v>0</v>
      </c>
    </row>
    <row r="564" spans="1:1" x14ac:dyDescent="0.3">
      <c r="A564" s="6">
        <f>option_per_3</f>
        <v>0</v>
      </c>
    </row>
    <row r="565" spans="1:1" x14ac:dyDescent="0.3">
      <c r="A565" s="6">
        <f>option_per_4</f>
        <v>0</v>
      </c>
    </row>
    <row r="566" spans="1:1" x14ac:dyDescent="0.3">
      <c r="A566" s="6">
        <f>option_per_5</f>
        <v>0</v>
      </c>
    </row>
    <row r="567" spans="1:1" x14ac:dyDescent="0.3">
      <c r="A567" s="6">
        <f>option_per_6</f>
        <v>0</v>
      </c>
    </row>
    <row r="568" spans="1:1" x14ac:dyDescent="0.3">
      <c r="A568" s="6">
        <f>option_per_7</f>
        <v>0</v>
      </c>
    </row>
    <row r="569" spans="1:1" x14ac:dyDescent="0.3">
      <c r="A569" s="6">
        <f>option_per_8</f>
        <v>0</v>
      </c>
    </row>
    <row r="570" spans="1:1" x14ac:dyDescent="0.3">
      <c r="A570" s="6">
        <f>option_per_9</f>
        <v>0</v>
      </c>
    </row>
    <row r="571" spans="1:1" x14ac:dyDescent="0.3">
      <c r="A571" s="6">
        <f>os_claim_amount</f>
        <v>0</v>
      </c>
    </row>
    <row r="572" spans="1:1" x14ac:dyDescent="0.3">
      <c r="A572" s="6">
        <f>paid_claim_amount</f>
        <v>0</v>
      </c>
    </row>
    <row r="573" spans="1:1" x14ac:dyDescent="0.3">
      <c r="A573" s="6">
        <f>paid_claims</f>
        <v>0</v>
      </c>
    </row>
    <row r="574" spans="1:1" x14ac:dyDescent="0.3">
      <c r="A574" s="6">
        <f>per_day_permium</f>
        <v>0</v>
      </c>
    </row>
    <row r="575" spans="1:1" x14ac:dyDescent="0.3">
      <c r="A575" s="6" t="str">
        <f>policy_status</f>
        <v>Decline</v>
      </c>
    </row>
    <row r="576" spans="1:1" x14ac:dyDescent="0.3">
      <c r="A576" s="6">
        <f>policy_term</f>
        <v>12</v>
      </c>
    </row>
    <row r="577" spans="1:1" x14ac:dyDescent="0.3">
      <c r="A577" s="6" t="e">
        <f>policy_term_master</f>
        <v>#VALUE!</v>
      </c>
    </row>
    <row r="578" spans="1:1" x14ac:dyDescent="0.3">
      <c r="A578" s="6" t="str">
        <f>premium_api</f>
        <v>NB</v>
      </c>
    </row>
    <row r="579" spans="1:1" x14ac:dyDescent="0.3">
      <c r="A579" s="6" t="str">
        <f>premium_display_master</f>
        <v>Show Premium</v>
      </c>
    </row>
    <row r="580" spans="1:1" x14ac:dyDescent="0.3">
      <c r="A580" s="6" t="e">
        <f>print_trade_category_details</f>
        <v>#VALUE!</v>
      </c>
    </row>
    <row r="581" spans="1:1" x14ac:dyDescent="0.3">
      <c r="A581" s="6">
        <f>producer_load_perc_uw</f>
        <v>0</v>
      </c>
    </row>
    <row r="582" spans="1:1" x14ac:dyDescent="0.3">
      <c r="A582" s="6">
        <f>producer_max_load</f>
        <v>0</v>
      </c>
    </row>
    <row r="583" spans="1:1" x14ac:dyDescent="0.3">
      <c r="A583" s="6">
        <f>producer_min_dis</f>
        <v>0</v>
      </c>
    </row>
    <row r="584" spans="1:1" x14ac:dyDescent="0.3">
      <c r="A584" s="6">
        <f>producer_type</f>
        <v>0</v>
      </c>
    </row>
    <row r="585" spans="1:1" x14ac:dyDescent="0.3">
      <c r="A585" s="6">
        <f>product_code_sequence</f>
        <v>0</v>
      </c>
    </row>
    <row r="586" spans="1:1" x14ac:dyDescent="0.3">
      <c r="A586" s="6">
        <f>proposer_address_line1</f>
        <v>0</v>
      </c>
    </row>
    <row r="587" spans="1:1" x14ac:dyDescent="0.3">
      <c r="A587" s="6">
        <f>proposer_address_line2</f>
        <v>0</v>
      </c>
    </row>
    <row r="588" spans="1:1" x14ac:dyDescent="0.3">
      <c r="A588" s="6">
        <f>proposer_address_line3</f>
        <v>0</v>
      </c>
    </row>
    <row r="589" spans="1:1" x14ac:dyDescent="0.3">
      <c r="A589" s="6">
        <f>proposer_city</f>
        <v>0</v>
      </c>
    </row>
    <row r="590" spans="1:1" x14ac:dyDescent="0.3">
      <c r="A590" s="6">
        <f>proposer_city_state</f>
        <v>0</v>
      </c>
    </row>
    <row r="591" spans="1:1" x14ac:dyDescent="0.3">
      <c r="A591" s="6">
        <f>proposer_pincode</f>
        <v>0</v>
      </c>
    </row>
    <row r="592" spans="1:1" x14ac:dyDescent="0.3">
      <c r="A592" s="6">
        <f>proposer_state</f>
        <v>0</v>
      </c>
    </row>
    <row r="593" spans="1:1" x14ac:dyDescent="0.3">
      <c r="A593" s="6">
        <f>proposer_telephone</f>
        <v>0</v>
      </c>
    </row>
    <row r="594" spans="1:1" x14ac:dyDescent="0.3">
      <c r="A594" s="6" t="str">
        <f>pun_count</f>
        <v/>
      </c>
    </row>
    <row r="595" spans="1:1" x14ac:dyDescent="0.3">
      <c r="A595" s="6" t="str">
        <f>pun_loc</f>
        <v/>
      </c>
    </row>
    <row r="596" spans="1:1" x14ac:dyDescent="0.3">
      <c r="A596" s="6" t="str">
        <f>pun_loc1</f>
        <v/>
      </c>
    </row>
    <row r="597" spans="1:1" x14ac:dyDescent="0.3">
      <c r="A597" s="6">
        <f>pup_dl</f>
        <v>0</v>
      </c>
    </row>
    <row r="598" spans="1:1" x14ac:dyDescent="0.3">
      <c r="A598" s="6">
        <f>quote_state_code</f>
        <v>0</v>
      </c>
    </row>
    <row r="599" spans="1:1" x14ac:dyDescent="0.3">
      <c r="A599" s="6">
        <f>rate_loc1_1</f>
        <v>0</v>
      </c>
    </row>
    <row r="600" spans="1:1" x14ac:dyDescent="0.3">
      <c r="A600" s="6">
        <f>rate_loc1_10</f>
        <v>0</v>
      </c>
    </row>
    <row r="601" spans="1:1" x14ac:dyDescent="0.3">
      <c r="A601" s="6">
        <f>rate_loc1_11</f>
        <v>0</v>
      </c>
    </row>
    <row r="602" spans="1:1" x14ac:dyDescent="0.3">
      <c r="A602" s="6">
        <f>rate_loc1_12</f>
        <v>0</v>
      </c>
    </row>
    <row r="603" spans="1:1" x14ac:dyDescent="0.3">
      <c r="A603" s="6">
        <f>rate_loc1_13</f>
        <v>0</v>
      </c>
    </row>
    <row r="604" spans="1:1" x14ac:dyDescent="0.3">
      <c r="A604" s="6">
        <f>rate_loc1_14</f>
        <v>0</v>
      </c>
    </row>
    <row r="605" spans="1:1" x14ac:dyDescent="0.3">
      <c r="A605" s="6">
        <f>rate_loc1_15</f>
        <v>0</v>
      </c>
    </row>
    <row r="606" spans="1:1" x14ac:dyDescent="0.3">
      <c r="A606" s="6">
        <f>rate_loc1_16</f>
        <v>0</v>
      </c>
    </row>
    <row r="607" spans="1:1" x14ac:dyDescent="0.3">
      <c r="A607" s="6">
        <f>rate_loc1_17</f>
        <v>0</v>
      </c>
    </row>
    <row r="608" spans="1:1" x14ac:dyDescent="0.3">
      <c r="A608" s="6">
        <f>rate_loc1_18</f>
        <v>0</v>
      </c>
    </row>
    <row r="609" spans="1:1" x14ac:dyDescent="0.3">
      <c r="A609" s="6">
        <f>rate_loc1_19</f>
        <v>0</v>
      </c>
    </row>
    <row r="610" spans="1:1" x14ac:dyDescent="0.3">
      <c r="A610" s="6">
        <f>rate_loc1_2</f>
        <v>0</v>
      </c>
    </row>
    <row r="611" spans="1:1" x14ac:dyDescent="0.3">
      <c r="A611" s="6">
        <f>rate_loc1_20</f>
        <v>0</v>
      </c>
    </row>
    <row r="612" spans="1:1" x14ac:dyDescent="0.3">
      <c r="A612" s="6">
        <f>rate_loc1_21</f>
        <v>0</v>
      </c>
    </row>
    <row r="613" spans="1:1" x14ac:dyDescent="0.3">
      <c r="A613" s="6">
        <f>rate_loc1_22</f>
        <v>0</v>
      </c>
    </row>
    <row r="614" spans="1:1" x14ac:dyDescent="0.3">
      <c r="A614" s="6">
        <f>rate_loc1_23</f>
        <v>0</v>
      </c>
    </row>
    <row r="615" spans="1:1" x14ac:dyDescent="0.3">
      <c r="A615" s="6">
        <f>rate_loc1_24</f>
        <v>0</v>
      </c>
    </row>
    <row r="616" spans="1:1" x14ac:dyDescent="0.3">
      <c r="A616" s="6">
        <f>rate_loc1_25</f>
        <v>0</v>
      </c>
    </row>
    <row r="617" spans="1:1" x14ac:dyDescent="0.3">
      <c r="A617" s="6">
        <f>rate_loc1_26</f>
        <v>0</v>
      </c>
    </row>
    <row r="618" spans="1:1" x14ac:dyDescent="0.3">
      <c r="A618" s="6">
        <f>rate_loc1_27</f>
        <v>0</v>
      </c>
    </row>
    <row r="619" spans="1:1" x14ac:dyDescent="0.3">
      <c r="A619" s="6">
        <f>rate_loc1_28</f>
        <v>0</v>
      </c>
    </row>
    <row r="620" spans="1:1" x14ac:dyDescent="0.3">
      <c r="A620" s="6">
        <f>rate_loc1_29</f>
        <v>0</v>
      </c>
    </row>
    <row r="621" spans="1:1" x14ac:dyDescent="0.3">
      <c r="A621" s="6">
        <f>rate_loc1_3</f>
        <v>0</v>
      </c>
    </row>
    <row r="622" spans="1:1" x14ac:dyDescent="0.3">
      <c r="A622" s="6">
        <f>rate_loc1_30</f>
        <v>0</v>
      </c>
    </row>
    <row r="623" spans="1:1" x14ac:dyDescent="0.3">
      <c r="A623" s="6">
        <f>rate_loc1_31</f>
        <v>0</v>
      </c>
    </row>
    <row r="624" spans="1:1" x14ac:dyDescent="0.3">
      <c r="A624" s="6">
        <f>rate_loc1_32</f>
        <v>0</v>
      </c>
    </row>
    <row r="625" spans="1:1" x14ac:dyDescent="0.3">
      <c r="A625" s="6">
        <f>rate_loc1_33</f>
        <v>0</v>
      </c>
    </row>
    <row r="626" spans="1:1" x14ac:dyDescent="0.3">
      <c r="A626" s="6">
        <f>rate_loc1_34</f>
        <v>0</v>
      </c>
    </row>
    <row r="627" spans="1:1" x14ac:dyDescent="0.3">
      <c r="A627" s="6">
        <f>rate_loc1_35</f>
        <v>0</v>
      </c>
    </row>
    <row r="628" spans="1:1" x14ac:dyDescent="0.3">
      <c r="A628" s="6">
        <f>rate_loc1_36</f>
        <v>0</v>
      </c>
    </row>
    <row r="629" spans="1:1" x14ac:dyDescent="0.3">
      <c r="A629" s="6">
        <f>rate_loc1_37</f>
        <v>0</v>
      </c>
    </row>
    <row r="630" spans="1:1" x14ac:dyDescent="0.3">
      <c r="A630" s="6">
        <f>rate_loc1_38</f>
        <v>0</v>
      </c>
    </row>
    <row r="631" spans="1:1" x14ac:dyDescent="0.3">
      <c r="A631" s="6">
        <f>rate_loc1_39</f>
        <v>0</v>
      </c>
    </row>
    <row r="632" spans="1:1" x14ac:dyDescent="0.3">
      <c r="A632" s="6">
        <f>rate_loc1_4</f>
        <v>0</v>
      </c>
    </row>
    <row r="633" spans="1:1" x14ac:dyDescent="0.3">
      <c r="A633" s="6">
        <f>rate_loc1_40</f>
        <v>0</v>
      </c>
    </row>
    <row r="634" spans="1:1" x14ac:dyDescent="0.3">
      <c r="A634" s="6">
        <f>rate_loc1_41</f>
        <v>0</v>
      </c>
    </row>
    <row r="635" spans="1:1" x14ac:dyDescent="0.3">
      <c r="A635" s="6">
        <f>rate_loc1_42</f>
        <v>0</v>
      </c>
    </row>
    <row r="636" spans="1:1" x14ac:dyDescent="0.3">
      <c r="A636" s="6">
        <f>rate_loc1_43</f>
        <v>0</v>
      </c>
    </row>
    <row r="637" spans="1:1" x14ac:dyDescent="0.3">
      <c r="A637" s="6">
        <f>rate_loc1_44</f>
        <v>0</v>
      </c>
    </row>
    <row r="638" spans="1:1" x14ac:dyDescent="0.3">
      <c r="A638" s="6">
        <f>rate_loc1_45</f>
        <v>0</v>
      </c>
    </row>
    <row r="639" spans="1:1" x14ac:dyDescent="0.3">
      <c r="A639" s="6">
        <f>rate_loc1_46</f>
        <v>0</v>
      </c>
    </row>
    <row r="640" spans="1:1" x14ac:dyDescent="0.3">
      <c r="A640" s="6">
        <f>rate_loc1_47</f>
        <v>0</v>
      </c>
    </row>
    <row r="641" spans="1:1" x14ac:dyDescent="0.3">
      <c r="A641" s="6">
        <f>rate_loc1_48</f>
        <v>0</v>
      </c>
    </row>
    <row r="642" spans="1:1" x14ac:dyDescent="0.3">
      <c r="A642" s="6">
        <f>rate_loc1_49</f>
        <v>0</v>
      </c>
    </row>
    <row r="643" spans="1:1" x14ac:dyDescent="0.3">
      <c r="A643" s="6">
        <f>rate_loc1_5</f>
        <v>0</v>
      </c>
    </row>
    <row r="644" spans="1:1" x14ac:dyDescent="0.3">
      <c r="A644" s="6">
        <f>rate_loc1_50</f>
        <v>0</v>
      </c>
    </row>
    <row r="645" spans="1:1" x14ac:dyDescent="0.3">
      <c r="A645" s="6">
        <f>rate_loc1_6</f>
        <v>0</v>
      </c>
    </row>
    <row r="646" spans="1:1" x14ac:dyDescent="0.3">
      <c r="A646" s="6">
        <f>rate_loc1_7</f>
        <v>0</v>
      </c>
    </row>
    <row r="647" spans="1:1" x14ac:dyDescent="0.3">
      <c r="A647" s="6">
        <f>rate_loc1_8</f>
        <v>0</v>
      </c>
    </row>
    <row r="648" spans="1:1" x14ac:dyDescent="0.3">
      <c r="A648" s="6">
        <f>rate_loc1_9</f>
        <v>0</v>
      </c>
    </row>
    <row r="649" spans="1:1" x14ac:dyDescent="0.3">
      <c r="A649" s="6">
        <f>rate_loc1a_1</f>
        <v>0</v>
      </c>
    </row>
    <row r="650" spans="1:1" x14ac:dyDescent="0.3">
      <c r="A650" s="6">
        <f>rate_loc1a_10</f>
        <v>0</v>
      </c>
    </row>
    <row r="651" spans="1:1" x14ac:dyDescent="0.3">
      <c r="A651" s="6">
        <f>rate_loc1a_11</f>
        <v>0</v>
      </c>
    </row>
    <row r="652" spans="1:1" x14ac:dyDescent="0.3">
      <c r="A652" s="6">
        <f>rate_loc1a_12</f>
        <v>0</v>
      </c>
    </row>
    <row r="653" spans="1:1" x14ac:dyDescent="0.3">
      <c r="A653" s="6">
        <f>rate_loc1a_13</f>
        <v>0</v>
      </c>
    </row>
    <row r="654" spans="1:1" x14ac:dyDescent="0.3">
      <c r="A654" s="6">
        <f>rate_loc1a_14</f>
        <v>0</v>
      </c>
    </row>
    <row r="655" spans="1:1" x14ac:dyDescent="0.3">
      <c r="A655" s="6">
        <f>rate_loc1a_15</f>
        <v>0</v>
      </c>
    </row>
    <row r="656" spans="1:1" x14ac:dyDescent="0.3">
      <c r="A656" s="6">
        <f>rate_loc1a_16</f>
        <v>0</v>
      </c>
    </row>
    <row r="657" spans="1:1" x14ac:dyDescent="0.3">
      <c r="A657" s="6">
        <f>rate_loc1a_17</f>
        <v>0</v>
      </c>
    </row>
    <row r="658" spans="1:1" x14ac:dyDescent="0.3">
      <c r="A658" s="6">
        <f>rate_loc1a_18</f>
        <v>0</v>
      </c>
    </row>
    <row r="659" spans="1:1" x14ac:dyDescent="0.3">
      <c r="A659" s="6">
        <f>rate_loc1a_19</f>
        <v>0</v>
      </c>
    </row>
    <row r="660" spans="1:1" x14ac:dyDescent="0.3">
      <c r="A660" s="6">
        <f>rate_loc1a_2</f>
        <v>0</v>
      </c>
    </row>
    <row r="661" spans="1:1" x14ac:dyDescent="0.3">
      <c r="A661" s="6">
        <f>rate_loc1a_20</f>
        <v>0</v>
      </c>
    </row>
    <row r="662" spans="1:1" x14ac:dyDescent="0.3">
      <c r="A662" s="6">
        <f>rate_loc1a_21</f>
        <v>0</v>
      </c>
    </row>
    <row r="663" spans="1:1" x14ac:dyDescent="0.3">
      <c r="A663" s="6">
        <f>rate_loc1a_22</f>
        <v>0</v>
      </c>
    </row>
    <row r="664" spans="1:1" x14ac:dyDescent="0.3">
      <c r="A664" s="6">
        <f>rate_loc1a_23</f>
        <v>0</v>
      </c>
    </row>
    <row r="665" spans="1:1" x14ac:dyDescent="0.3">
      <c r="A665" s="6">
        <f>rate_loc1a_24</f>
        <v>0</v>
      </c>
    </row>
    <row r="666" spans="1:1" x14ac:dyDescent="0.3">
      <c r="A666" s="6">
        <f>rate_loc1a_25</f>
        <v>0</v>
      </c>
    </row>
    <row r="667" spans="1:1" x14ac:dyDescent="0.3">
      <c r="A667" s="6">
        <f>rate_loc1a_26</f>
        <v>0</v>
      </c>
    </row>
    <row r="668" spans="1:1" x14ac:dyDescent="0.3">
      <c r="A668" s="6">
        <f>rate_loc1a_27</f>
        <v>0</v>
      </c>
    </row>
    <row r="669" spans="1:1" x14ac:dyDescent="0.3">
      <c r="A669" s="6">
        <f>rate_loc1a_28</f>
        <v>0</v>
      </c>
    </row>
    <row r="670" spans="1:1" x14ac:dyDescent="0.3">
      <c r="A670" s="6">
        <f>rate_loc1a_29</f>
        <v>0</v>
      </c>
    </row>
    <row r="671" spans="1:1" x14ac:dyDescent="0.3">
      <c r="A671" s="6">
        <f>rate_loc1a_3</f>
        <v>0</v>
      </c>
    </row>
    <row r="672" spans="1:1" x14ac:dyDescent="0.3">
      <c r="A672" s="6">
        <f>rate_loc1a_30</f>
        <v>0</v>
      </c>
    </row>
    <row r="673" spans="1:1" x14ac:dyDescent="0.3">
      <c r="A673" s="6">
        <f>rate_loc1a_31</f>
        <v>0</v>
      </c>
    </row>
    <row r="674" spans="1:1" x14ac:dyDescent="0.3">
      <c r="A674" s="6">
        <f>rate_loc1a_32</f>
        <v>0</v>
      </c>
    </row>
    <row r="675" spans="1:1" x14ac:dyDescent="0.3">
      <c r="A675" s="6">
        <f>rate_loc1a_33</f>
        <v>0</v>
      </c>
    </row>
    <row r="676" spans="1:1" x14ac:dyDescent="0.3">
      <c r="A676" s="6">
        <f>rate_loc1a_34</f>
        <v>0</v>
      </c>
    </row>
    <row r="677" spans="1:1" x14ac:dyDescent="0.3">
      <c r="A677" s="6">
        <f>rate_loc1a_35</f>
        <v>0</v>
      </c>
    </row>
    <row r="678" spans="1:1" x14ac:dyDescent="0.3">
      <c r="A678" s="6">
        <f>rate_loc1a_36</f>
        <v>0</v>
      </c>
    </row>
    <row r="679" spans="1:1" x14ac:dyDescent="0.3">
      <c r="A679" s="6">
        <f>rate_loc1a_37</f>
        <v>0</v>
      </c>
    </row>
    <row r="680" spans="1:1" x14ac:dyDescent="0.3">
      <c r="A680" s="6">
        <f>rate_loc1a_38</f>
        <v>0</v>
      </c>
    </row>
    <row r="681" spans="1:1" x14ac:dyDescent="0.3">
      <c r="A681" s="6">
        <f>rate_loc1a_39</f>
        <v>0</v>
      </c>
    </row>
    <row r="682" spans="1:1" x14ac:dyDescent="0.3">
      <c r="A682" s="6">
        <f>rate_loc1a_4</f>
        <v>0</v>
      </c>
    </row>
    <row r="683" spans="1:1" x14ac:dyDescent="0.3">
      <c r="A683" s="6">
        <f>rate_loc1a_40</f>
        <v>0</v>
      </c>
    </row>
    <row r="684" spans="1:1" x14ac:dyDescent="0.3">
      <c r="A684" s="6">
        <f>rate_loc1a_41</f>
        <v>0</v>
      </c>
    </row>
    <row r="685" spans="1:1" x14ac:dyDescent="0.3">
      <c r="A685" s="6">
        <f>rate_loc1a_42</f>
        <v>0</v>
      </c>
    </row>
    <row r="686" spans="1:1" x14ac:dyDescent="0.3">
      <c r="A686" s="6">
        <f>rate_loc1a_43</f>
        <v>0</v>
      </c>
    </row>
    <row r="687" spans="1:1" x14ac:dyDescent="0.3">
      <c r="A687" s="6">
        <f>rate_loc1a_44</f>
        <v>0</v>
      </c>
    </row>
    <row r="688" spans="1:1" x14ac:dyDescent="0.3">
      <c r="A688" s="6">
        <f>rate_loc1a_45</f>
        <v>0</v>
      </c>
    </row>
    <row r="689" spans="1:1" x14ac:dyDescent="0.3">
      <c r="A689" s="6">
        <f>rate_loc1a_46</f>
        <v>0</v>
      </c>
    </row>
    <row r="690" spans="1:1" x14ac:dyDescent="0.3">
      <c r="A690" s="6">
        <f>rate_loc1a_47</f>
        <v>0</v>
      </c>
    </row>
    <row r="691" spans="1:1" x14ac:dyDescent="0.3">
      <c r="A691" s="6">
        <f>rate_loc1a_48</f>
        <v>0</v>
      </c>
    </row>
    <row r="692" spans="1:1" x14ac:dyDescent="0.3">
      <c r="A692" s="6">
        <f>rate_loc1a_49</f>
        <v>0</v>
      </c>
    </row>
    <row r="693" spans="1:1" x14ac:dyDescent="0.3">
      <c r="A693" s="6">
        <f>rate_loc1a_5</f>
        <v>0</v>
      </c>
    </row>
    <row r="694" spans="1:1" x14ac:dyDescent="0.3">
      <c r="A694" s="6">
        <f>rate_loc1a_50</f>
        <v>0</v>
      </c>
    </row>
    <row r="695" spans="1:1" x14ac:dyDescent="0.3">
      <c r="A695" s="6">
        <f>rate_loc1a_6</f>
        <v>0</v>
      </c>
    </row>
    <row r="696" spans="1:1" x14ac:dyDescent="0.3">
      <c r="A696" s="6">
        <f>rate_loc1a_7</f>
        <v>0</v>
      </c>
    </row>
    <row r="697" spans="1:1" x14ac:dyDescent="0.3">
      <c r="A697" s="6">
        <f>rate_loc1a_8</f>
        <v>0</v>
      </c>
    </row>
    <row r="698" spans="1:1" x14ac:dyDescent="0.3">
      <c r="A698" s="6">
        <f>rate_loc1a_9</f>
        <v>0</v>
      </c>
    </row>
    <row r="699" spans="1:1" x14ac:dyDescent="0.3">
      <c r="A699" s="6">
        <f>rate_loc2_1</f>
        <v>0</v>
      </c>
    </row>
    <row r="700" spans="1:1" x14ac:dyDescent="0.3">
      <c r="A700" s="6">
        <f>rate_loc2_10</f>
        <v>0</v>
      </c>
    </row>
    <row r="701" spans="1:1" x14ac:dyDescent="0.3">
      <c r="A701" s="6">
        <f>rate_loc2_11</f>
        <v>0</v>
      </c>
    </row>
    <row r="702" spans="1:1" x14ac:dyDescent="0.3">
      <c r="A702" s="6">
        <f>rate_loc2_12</f>
        <v>0</v>
      </c>
    </row>
    <row r="703" spans="1:1" x14ac:dyDescent="0.3">
      <c r="A703" s="6">
        <f>rate_loc2_13</f>
        <v>0</v>
      </c>
    </row>
    <row r="704" spans="1:1" x14ac:dyDescent="0.3">
      <c r="A704" s="6">
        <f>rate_loc2_14</f>
        <v>0</v>
      </c>
    </row>
    <row r="705" spans="1:1" x14ac:dyDescent="0.3">
      <c r="A705" s="6">
        <f>rate_loc2_15</f>
        <v>0</v>
      </c>
    </row>
    <row r="706" spans="1:1" x14ac:dyDescent="0.3">
      <c r="A706" s="6">
        <f>rate_loc2_16</f>
        <v>0</v>
      </c>
    </row>
    <row r="707" spans="1:1" x14ac:dyDescent="0.3">
      <c r="A707" s="6">
        <f>rate_loc2_17</f>
        <v>0</v>
      </c>
    </row>
    <row r="708" spans="1:1" x14ac:dyDescent="0.3">
      <c r="A708" s="6">
        <f>rate_loc2_18</f>
        <v>0</v>
      </c>
    </row>
    <row r="709" spans="1:1" x14ac:dyDescent="0.3">
      <c r="A709" s="6">
        <f>rate_loc2_19</f>
        <v>0</v>
      </c>
    </row>
    <row r="710" spans="1:1" x14ac:dyDescent="0.3">
      <c r="A710" s="6">
        <f>rate_loc2_2</f>
        <v>0</v>
      </c>
    </row>
    <row r="711" spans="1:1" x14ac:dyDescent="0.3">
      <c r="A711" s="6">
        <f>rate_loc2_20</f>
        <v>0</v>
      </c>
    </row>
    <row r="712" spans="1:1" x14ac:dyDescent="0.3">
      <c r="A712" s="6">
        <f>rate_loc2_21</f>
        <v>0</v>
      </c>
    </row>
    <row r="713" spans="1:1" x14ac:dyDescent="0.3">
      <c r="A713" s="6">
        <f>rate_loc2_22</f>
        <v>0</v>
      </c>
    </row>
    <row r="714" spans="1:1" x14ac:dyDescent="0.3">
      <c r="A714" s="6">
        <f>rate_loc2_23</f>
        <v>0</v>
      </c>
    </row>
    <row r="715" spans="1:1" x14ac:dyDescent="0.3">
      <c r="A715" s="6">
        <f>rate_loc2_24</f>
        <v>0</v>
      </c>
    </row>
    <row r="716" spans="1:1" x14ac:dyDescent="0.3">
      <c r="A716" s="6">
        <f>rate_loc2_25</f>
        <v>0</v>
      </c>
    </row>
    <row r="717" spans="1:1" x14ac:dyDescent="0.3">
      <c r="A717" s="6">
        <f>rate_loc2_26</f>
        <v>0</v>
      </c>
    </row>
    <row r="718" spans="1:1" x14ac:dyDescent="0.3">
      <c r="A718" s="6">
        <f>rate_loc2_27</f>
        <v>0</v>
      </c>
    </row>
    <row r="719" spans="1:1" x14ac:dyDescent="0.3">
      <c r="A719" s="6">
        <f>rate_loc2_28</f>
        <v>0</v>
      </c>
    </row>
    <row r="720" spans="1:1" x14ac:dyDescent="0.3">
      <c r="A720" s="6">
        <f>rate_loc2_29</f>
        <v>0</v>
      </c>
    </row>
    <row r="721" spans="1:1" x14ac:dyDescent="0.3">
      <c r="A721" s="6">
        <f>rate_loc2_3</f>
        <v>0</v>
      </c>
    </row>
    <row r="722" spans="1:1" x14ac:dyDescent="0.3">
      <c r="A722" s="6">
        <f>rate_loc2_30</f>
        <v>0</v>
      </c>
    </row>
    <row r="723" spans="1:1" x14ac:dyDescent="0.3">
      <c r="A723" s="6">
        <f>rate_loc2_31</f>
        <v>0</v>
      </c>
    </row>
    <row r="724" spans="1:1" x14ac:dyDescent="0.3">
      <c r="A724" s="6">
        <f>rate_loc2_32</f>
        <v>0</v>
      </c>
    </row>
    <row r="725" spans="1:1" x14ac:dyDescent="0.3">
      <c r="A725" s="6">
        <f>rate_loc2_33</f>
        <v>0</v>
      </c>
    </row>
    <row r="726" spans="1:1" x14ac:dyDescent="0.3">
      <c r="A726" s="6">
        <f>rate_loc2_34</f>
        <v>0</v>
      </c>
    </row>
    <row r="727" spans="1:1" x14ac:dyDescent="0.3">
      <c r="A727" s="6">
        <f>rate_loc2_35</f>
        <v>0</v>
      </c>
    </row>
    <row r="728" spans="1:1" x14ac:dyDescent="0.3">
      <c r="A728" s="6">
        <f>rate_loc2_36</f>
        <v>0</v>
      </c>
    </row>
    <row r="729" spans="1:1" x14ac:dyDescent="0.3">
      <c r="A729" s="6">
        <f>rate_loc2_37</f>
        <v>0</v>
      </c>
    </row>
    <row r="730" spans="1:1" x14ac:dyDescent="0.3">
      <c r="A730" s="6">
        <f>rate_loc2_38</f>
        <v>0</v>
      </c>
    </row>
    <row r="731" spans="1:1" x14ac:dyDescent="0.3">
      <c r="A731" s="6">
        <f>rate_loc2_39</f>
        <v>0</v>
      </c>
    </row>
    <row r="732" spans="1:1" x14ac:dyDescent="0.3">
      <c r="A732" s="6">
        <f>rate_loc2_4</f>
        <v>0</v>
      </c>
    </row>
    <row r="733" spans="1:1" x14ac:dyDescent="0.3">
      <c r="A733" s="6">
        <f>rate_loc2_40</f>
        <v>0</v>
      </c>
    </row>
    <row r="734" spans="1:1" x14ac:dyDescent="0.3">
      <c r="A734" s="6">
        <f>rate_loc2_41</f>
        <v>0</v>
      </c>
    </row>
    <row r="735" spans="1:1" x14ac:dyDescent="0.3">
      <c r="A735" s="6">
        <f>rate_loc2_42</f>
        <v>0</v>
      </c>
    </row>
    <row r="736" spans="1:1" x14ac:dyDescent="0.3">
      <c r="A736" s="6">
        <f>rate_loc2_43</f>
        <v>0</v>
      </c>
    </row>
    <row r="737" spans="1:1" x14ac:dyDescent="0.3">
      <c r="A737" s="6">
        <f>rate_loc2_44</f>
        <v>0</v>
      </c>
    </row>
    <row r="738" spans="1:1" x14ac:dyDescent="0.3">
      <c r="A738" s="6">
        <f>rate_loc2_45</f>
        <v>0</v>
      </c>
    </row>
    <row r="739" spans="1:1" x14ac:dyDescent="0.3">
      <c r="A739" s="6">
        <f>rate_loc2_46</f>
        <v>0</v>
      </c>
    </row>
    <row r="740" spans="1:1" x14ac:dyDescent="0.3">
      <c r="A740" s="6">
        <f>rate_loc2_47</f>
        <v>0</v>
      </c>
    </row>
    <row r="741" spans="1:1" x14ac:dyDescent="0.3">
      <c r="A741" s="6">
        <f>rate_loc2_48</f>
        <v>0</v>
      </c>
    </row>
    <row r="742" spans="1:1" x14ac:dyDescent="0.3">
      <c r="A742" s="6">
        <f>rate_loc2_49</f>
        <v>0</v>
      </c>
    </row>
    <row r="743" spans="1:1" x14ac:dyDescent="0.3">
      <c r="A743" s="6">
        <f>rate_loc2_5</f>
        <v>0</v>
      </c>
    </row>
    <row r="744" spans="1:1" x14ac:dyDescent="0.3">
      <c r="A744" s="6">
        <f>rate_loc2_50</f>
        <v>0</v>
      </c>
    </row>
    <row r="745" spans="1:1" x14ac:dyDescent="0.3">
      <c r="A745" s="6">
        <f>rate_loc2_6</f>
        <v>0</v>
      </c>
    </row>
    <row r="746" spans="1:1" x14ac:dyDescent="0.3">
      <c r="A746" s="6">
        <f>rate_loc2_7</f>
        <v>0</v>
      </c>
    </row>
    <row r="747" spans="1:1" x14ac:dyDescent="0.3">
      <c r="A747" s="6">
        <f>rate_loc2_8</f>
        <v>0</v>
      </c>
    </row>
    <row r="748" spans="1:1" x14ac:dyDescent="0.3">
      <c r="A748" s="6">
        <f>rate_loc2_9</f>
        <v>0</v>
      </c>
    </row>
    <row r="749" spans="1:1" x14ac:dyDescent="0.3">
      <c r="A749" s="6">
        <f>rate_loc2b_1</f>
        <v>0</v>
      </c>
    </row>
    <row r="750" spans="1:1" x14ac:dyDescent="0.3">
      <c r="A750" s="6">
        <f>rate_loc2b_10</f>
        <v>0</v>
      </c>
    </row>
    <row r="751" spans="1:1" x14ac:dyDescent="0.3">
      <c r="A751" s="6">
        <f>rate_loc2b_11</f>
        <v>0</v>
      </c>
    </row>
    <row r="752" spans="1:1" x14ac:dyDescent="0.3">
      <c r="A752" s="6">
        <f>rate_loc2b_12</f>
        <v>0</v>
      </c>
    </row>
    <row r="753" spans="1:1" x14ac:dyDescent="0.3">
      <c r="A753" s="6">
        <f>rate_loc2b_13</f>
        <v>0</v>
      </c>
    </row>
    <row r="754" spans="1:1" x14ac:dyDescent="0.3">
      <c r="A754" s="6">
        <f>rate_loc2b_14</f>
        <v>0</v>
      </c>
    </row>
    <row r="755" spans="1:1" x14ac:dyDescent="0.3">
      <c r="A755" s="6">
        <f>rate_loc2b_15</f>
        <v>0</v>
      </c>
    </row>
    <row r="756" spans="1:1" x14ac:dyDescent="0.3">
      <c r="A756" s="6">
        <f>rate_loc2b_16</f>
        <v>0</v>
      </c>
    </row>
    <row r="757" spans="1:1" x14ac:dyDescent="0.3">
      <c r="A757" s="6">
        <f>rate_loc2b_17</f>
        <v>0</v>
      </c>
    </row>
    <row r="758" spans="1:1" x14ac:dyDescent="0.3">
      <c r="A758" s="6">
        <f>rate_loc2b_18</f>
        <v>0</v>
      </c>
    </row>
    <row r="759" spans="1:1" x14ac:dyDescent="0.3">
      <c r="A759" s="6">
        <f>rate_loc2b_19</f>
        <v>0</v>
      </c>
    </row>
    <row r="760" spans="1:1" x14ac:dyDescent="0.3">
      <c r="A760" s="6">
        <f>rate_loc2b_2</f>
        <v>0</v>
      </c>
    </row>
    <row r="761" spans="1:1" x14ac:dyDescent="0.3">
      <c r="A761" s="6">
        <f>rate_loc2b_20</f>
        <v>0</v>
      </c>
    </row>
    <row r="762" spans="1:1" x14ac:dyDescent="0.3">
      <c r="A762" s="6">
        <f>rate_loc2b_21</f>
        <v>0</v>
      </c>
    </row>
    <row r="763" spans="1:1" x14ac:dyDescent="0.3">
      <c r="A763" s="6">
        <f>rate_loc2b_22</f>
        <v>0</v>
      </c>
    </row>
    <row r="764" spans="1:1" x14ac:dyDescent="0.3">
      <c r="A764" s="6">
        <f>rate_loc2b_23</f>
        <v>0</v>
      </c>
    </row>
    <row r="765" spans="1:1" x14ac:dyDescent="0.3">
      <c r="A765" s="6">
        <f>rate_loc2b_24</f>
        <v>0</v>
      </c>
    </row>
    <row r="766" spans="1:1" x14ac:dyDescent="0.3">
      <c r="A766" s="6">
        <f>rate_loc2b_25</f>
        <v>0</v>
      </c>
    </row>
    <row r="767" spans="1:1" x14ac:dyDescent="0.3">
      <c r="A767" s="6">
        <f>rate_loc2b_26</f>
        <v>0</v>
      </c>
    </row>
    <row r="768" spans="1:1" x14ac:dyDescent="0.3">
      <c r="A768" s="6">
        <f>rate_loc2b_27</f>
        <v>0</v>
      </c>
    </row>
    <row r="769" spans="1:1" x14ac:dyDescent="0.3">
      <c r="A769" s="6">
        <f>rate_loc2b_28</f>
        <v>0</v>
      </c>
    </row>
    <row r="770" spans="1:1" x14ac:dyDescent="0.3">
      <c r="A770" s="6">
        <f>rate_loc2b_29</f>
        <v>0</v>
      </c>
    </row>
    <row r="771" spans="1:1" x14ac:dyDescent="0.3">
      <c r="A771" s="6">
        <f>rate_loc2b_3</f>
        <v>0</v>
      </c>
    </row>
    <row r="772" spans="1:1" x14ac:dyDescent="0.3">
      <c r="A772" s="6">
        <f>rate_loc2b_30</f>
        <v>0</v>
      </c>
    </row>
    <row r="773" spans="1:1" x14ac:dyDescent="0.3">
      <c r="A773" s="6">
        <f>rate_loc2b_31</f>
        <v>0</v>
      </c>
    </row>
    <row r="774" spans="1:1" x14ac:dyDescent="0.3">
      <c r="A774" s="6">
        <f>rate_loc2b_32</f>
        <v>0</v>
      </c>
    </row>
    <row r="775" spans="1:1" x14ac:dyDescent="0.3">
      <c r="A775" s="6">
        <f>rate_loc2b_33</f>
        <v>0</v>
      </c>
    </row>
    <row r="776" spans="1:1" x14ac:dyDescent="0.3">
      <c r="A776" s="6">
        <f>rate_loc2b_34</f>
        <v>0</v>
      </c>
    </row>
    <row r="777" spans="1:1" x14ac:dyDescent="0.3">
      <c r="A777" s="6">
        <f>rate_loc2b_35</f>
        <v>0</v>
      </c>
    </row>
    <row r="778" spans="1:1" x14ac:dyDescent="0.3">
      <c r="A778" s="6">
        <f>rate_loc2b_36</f>
        <v>0</v>
      </c>
    </row>
    <row r="779" spans="1:1" x14ac:dyDescent="0.3">
      <c r="A779" s="6">
        <f>rate_loc2b_37</f>
        <v>0</v>
      </c>
    </row>
    <row r="780" spans="1:1" x14ac:dyDescent="0.3">
      <c r="A780" s="6">
        <f>rate_loc2b_38</f>
        <v>0</v>
      </c>
    </row>
    <row r="781" spans="1:1" x14ac:dyDescent="0.3">
      <c r="A781" s="6">
        <f>rate_loc2b_39</f>
        <v>0</v>
      </c>
    </row>
    <row r="782" spans="1:1" x14ac:dyDescent="0.3">
      <c r="A782" s="6">
        <f>rate_loc2b_4</f>
        <v>0</v>
      </c>
    </row>
    <row r="783" spans="1:1" x14ac:dyDescent="0.3">
      <c r="A783" s="6">
        <f>rate_loc2b_40</f>
        <v>0</v>
      </c>
    </row>
    <row r="784" spans="1:1" x14ac:dyDescent="0.3">
      <c r="A784" s="6">
        <f>rate_loc2b_41</f>
        <v>0</v>
      </c>
    </row>
    <row r="785" spans="1:1" x14ac:dyDescent="0.3">
      <c r="A785" s="6">
        <f>rate_loc2b_42</f>
        <v>0</v>
      </c>
    </row>
    <row r="786" spans="1:1" x14ac:dyDescent="0.3">
      <c r="A786" s="6">
        <f>rate_loc2b_43</f>
        <v>0</v>
      </c>
    </row>
    <row r="787" spans="1:1" x14ac:dyDescent="0.3">
      <c r="A787" s="6">
        <f>rate_loc2b_44</f>
        <v>0</v>
      </c>
    </row>
    <row r="788" spans="1:1" x14ac:dyDescent="0.3">
      <c r="A788" s="6">
        <f>rate_loc2b_45</f>
        <v>0</v>
      </c>
    </row>
    <row r="789" spans="1:1" x14ac:dyDescent="0.3">
      <c r="A789" s="6">
        <f>rate_loc2b_46</f>
        <v>0</v>
      </c>
    </row>
    <row r="790" spans="1:1" x14ac:dyDescent="0.3">
      <c r="A790" s="6">
        <f>rate_loc2b_47</f>
        <v>0</v>
      </c>
    </row>
    <row r="791" spans="1:1" x14ac:dyDescent="0.3">
      <c r="A791" s="6">
        <f>rate_loc2b_48</f>
        <v>0</v>
      </c>
    </row>
    <row r="792" spans="1:1" x14ac:dyDescent="0.3">
      <c r="A792" s="6">
        <f>rate_loc2b_49</f>
        <v>0</v>
      </c>
    </row>
    <row r="793" spans="1:1" x14ac:dyDescent="0.3">
      <c r="A793" s="6">
        <f>rate_loc2b_5</f>
        <v>0</v>
      </c>
    </row>
    <row r="794" spans="1:1" x14ac:dyDescent="0.3">
      <c r="A794" s="6">
        <f>rate_loc2b_50</f>
        <v>0</v>
      </c>
    </row>
    <row r="795" spans="1:1" x14ac:dyDescent="0.3">
      <c r="A795" s="6">
        <f>rate_loc2b_6</f>
        <v>0</v>
      </c>
    </row>
    <row r="796" spans="1:1" x14ac:dyDescent="0.3">
      <c r="A796" s="6">
        <f>rate_loc2b_7</f>
        <v>0</v>
      </c>
    </row>
    <row r="797" spans="1:1" x14ac:dyDescent="0.3">
      <c r="A797" s="6">
        <f>rate_loc2b_8</f>
        <v>0</v>
      </c>
    </row>
    <row r="798" spans="1:1" x14ac:dyDescent="0.3">
      <c r="A798" s="6">
        <f>rate_loc2b_9</f>
        <v>0</v>
      </c>
    </row>
    <row r="799" spans="1:1" x14ac:dyDescent="0.3">
      <c r="A799" s="6">
        <f>rate_loc3_1</f>
        <v>0</v>
      </c>
    </row>
    <row r="800" spans="1:1" x14ac:dyDescent="0.3">
      <c r="A800" s="6">
        <f>rate_loc3_10</f>
        <v>0</v>
      </c>
    </row>
    <row r="801" spans="1:1" x14ac:dyDescent="0.3">
      <c r="A801" s="6">
        <f>rate_loc3_11</f>
        <v>0</v>
      </c>
    </row>
    <row r="802" spans="1:1" x14ac:dyDescent="0.3">
      <c r="A802" s="6">
        <f>rate_loc3_12</f>
        <v>0</v>
      </c>
    </row>
    <row r="803" spans="1:1" x14ac:dyDescent="0.3">
      <c r="A803" s="6">
        <f>rate_loc3_13</f>
        <v>0</v>
      </c>
    </row>
    <row r="804" spans="1:1" x14ac:dyDescent="0.3">
      <c r="A804" s="6">
        <f>rate_loc3_14</f>
        <v>0</v>
      </c>
    </row>
    <row r="805" spans="1:1" x14ac:dyDescent="0.3">
      <c r="A805" s="6">
        <f>rate_loc3_15</f>
        <v>0</v>
      </c>
    </row>
    <row r="806" spans="1:1" x14ac:dyDescent="0.3">
      <c r="A806" s="6">
        <f>rate_loc3_16</f>
        <v>0</v>
      </c>
    </row>
    <row r="807" spans="1:1" x14ac:dyDescent="0.3">
      <c r="A807" s="6">
        <f>rate_loc3_17</f>
        <v>0</v>
      </c>
    </row>
    <row r="808" spans="1:1" x14ac:dyDescent="0.3">
      <c r="A808" s="6">
        <f>rate_loc3_18</f>
        <v>0</v>
      </c>
    </row>
    <row r="809" spans="1:1" x14ac:dyDescent="0.3">
      <c r="A809" s="6">
        <f>rate_loc3_19</f>
        <v>0</v>
      </c>
    </row>
    <row r="810" spans="1:1" x14ac:dyDescent="0.3">
      <c r="A810" s="6">
        <f>rate_loc3_2</f>
        <v>0</v>
      </c>
    </row>
    <row r="811" spans="1:1" x14ac:dyDescent="0.3">
      <c r="A811" s="6">
        <f>rate_loc3_20</f>
        <v>0</v>
      </c>
    </row>
    <row r="812" spans="1:1" x14ac:dyDescent="0.3">
      <c r="A812" s="6">
        <f>rate_loc3_21</f>
        <v>0</v>
      </c>
    </row>
    <row r="813" spans="1:1" x14ac:dyDescent="0.3">
      <c r="A813" s="6">
        <f>rate_loc3_22</f>
        <v>0</v>
      </c>
    </row>
    <row r="814" spans="1:1" x14ac:dyDescent="0.3">
      <c r="A814" s="6">
        <f>rate_loc3_23</f>
        <v>0</v>
      </c>
    </row>
    <row r="815" spans="1:1" x14ac:dyDescent="0.3">
      <c r="A815" s="6">
        <f>rate_loc3_24</f>
        <v>0</v>
      </c>
    </row>
    <row r="816" spans="1:1" x14ac:dyDescent="0.3">
      <c r="A816" s="6">
        <f>rate_loc3_25</f>
        <v>0</v>
      </c>
    </row>
    <row r="817" spans="1:1" x14ac:dyDescent="0.3">
      <c r="A817" s="6">
        <f>rate_loc3_26</f>
        <v>0</v>
      </c>
    </row>
    <row r="818" spans="1:1" x14ac:dyDescent="0.3">
      <c r="A818" s="6">
        <f>rate_loc3_27</f>
        <v>0</v>
      </c>
    </row>
    <row r="819" spans="1:1" x14ac:dyDescent="0.3">
      <c r="A819" s="6">
        <f>rate_loc3_28</f>
        <v>0</v>
      </c>
    </row>
    <row r="820" spans="1:1" x14ac:dyDescent="0.3">
      <c r="A820" s="6">
        <f>rate_loc3_29</f>
        <v>0</v>
      </c>
    </row>
    <row r="821" spans="1:1" x14ac:dyDescent="0.3">
      <c r="A821" s="6">
        <f>rate_loc3_3</f>
        <v>0</v>
      </c>
    </row>
    <row r="822" spans="1:1" x14ac:dyDescent="0.3">
      <c r="A822" s="6">
        <f>rate_loc3_30</f>
        <v>0</v>
      </c>
    </row>
    <row r="823" spans="1:1" x14ac:dyDescent="0.3">
      <c r="A823" s="6">
        <f>rate_loc3_31</f>
        <v>0</v>
      </c>
    </row>
    <row r="824" spans="1:1" x14ac:dyDescent="0.3">
      <c r="A824" s="6">
        <f>rate_loc3_32</f>
        <v>0</v>
      </c>
    </row>
    <row r="825" spans="1:1" x14ac:dyDescent="0.3">
      <c r="A825" s="6">
        <f>rate_loc3_33</f>
        <v>0</v>
      </c>
    </row>
    <row r="826" spans="1:1" x14ac:dyDescent="0.3">
      <c r="A826" s="6">
        <f>rate_loc3_34</f>
        <v>0</v>
      </c>
    </row>
    <row r="827" spans="1:1" x14ac:dyDescent="0.3">
      <c r="A827" s="6">
        <f>rate_loc3_35</f>
        <v>0</v>
      </c>
    </row>
    <row r="828" spans="1:1" x14ac:dyDescent="0.3">
      <c r="A828" s="6">
        <f>rate_loc3_36</f>
        <v>0</v>
      </c>
    </row>
    <row r="829" spans="1:1" x14ac:dyDescent="0.3">
      <c r="A829" s="6">
        <f>rate_loc3_37</f>
        <v>0</v>
      </c>
    </row>
    <row r="830" spans="1:1" x14ac:dyDescent="0.3">
      <c r="A830" s="6">
        <f>rate_loc3_38</f>
        <v>0</v>
      </c>
    </row>
    <row r="831" spans="1:1" x14ac:dyDescent="0.3">
      <c r="A831" s="6">
        <f>rate_loc3_39</f>
        <v>0</v>
      </c>
    </row>
    <row r="832" spans="1:1" x14ac:dyDescent="0.3">
      <c r="A832" s="6">
        <f>rate_loc3_4</f>
        <v>0</v>
      </c>
    </row>
    <row r="833" spans="1:1" x14ac:dyDescent="0.3">
      <c r="A833" s="6">
        <f>rate_loc3_40</f>
        <v>0</v>
      </c>
    </row>
    <row r="834" spans="1:1" x14ac:dyDescent="0.3">
      <c r="A834" s="6">
        <f>rate_loc3_41</f>
        <v>0</v>
      </c>
    </row>
    <row r="835" spans="1:1" x14ac:dyDescent="0.3">
      <c r="A835" s="6">
        <f>rate_loc3_42</f>
        <v>0</v>
      </c>
    </row>
    <row r="836" spans="1:1" x14ac:dyDescent="0.3">
      <c r="A836" s="6">
        <f>rate_loc3_43</f>
        <v>0</v>
      </c>
    </row>
    <row r="837" spans="1:1" x14ac:dyDescent="0.3">
      <c r="A837" s="6">
        <f>rate_loc3_44</f>
        <v>0</v>
      </c>
    </row>
    <row r="838" spans="1:1" x14ac:dyDescent="0.3">
      <c r="A838" s="6">
        <f>rate_loc3_45</f>
        <v>0</v>
      </c>
    </row>
    <row r="839" spans="1:1" x14ac:dyDescent="0.3">
      <c r="A839" s="6">
        <f>rate_loc3_46</f>
        <v>0</v>
      </c>
    </row>
    <row r="840" spans="1:1" x14ac:dyDescent="0.3">
      <c r="A840" s="6">
        <f>rate_loc3_47</f>
        <v>0</v>
      </c>
    </row>
    <row r="841" spans="1:1" x14ac:dyDescent="0.3">
      <c r="A841" s="6">
        <f>rate_loc3_48</f>
        <v>0</v>
      </c>
    </row>
    <row r="842" spans="1:1" x14ac:dyDescent="0.3">
      <c r="A842" s="6">
        <f>rate_loc3_49</f>
        <v>0</v>
      </c>
    </row>
    <row r="843" spans="1:1" x14ac:dyDescent="0.3">
      <c r="A843" s="6">
        <f>rate_loc3_5</f>
        <v>0</v>
      </c>
    </row>
    <row r="844" spans="1:1" x14ac:dyDescent="0.3">
      <c r="A844" s="6">
        <f>rate_loc3_50</f>
        <v>0</v>
      </c>
    </row>
    <row r="845" spans="1:1" x14ac:dyDescent="0.3">
      <c r="A845" s="6">
        <f>rate_loc3_6</f>
        <v>0</v>
      </c>
    </row>
    <row r="846" spans="1:1" x14ac:dyDescent="0.3">
      <c r="A846" s="6">
        <f>rate_loc3_7</f>
        <v>0</v>
      </c>
    </row>
    <row r="847" spans="1:1" x14ac:dyDescent="0.3">
      <c r="A847" s="6">
        <f>rate_loc3_8</f>
        <v>0</v>
      </c>
    </row>
    <row r="848" spans="1:1" x14ac:dyDescent="0.3">
      <c r="A848" s="6">
        <f>rate_loc3_9</f>
        <v>0</v>
      </c>
    </row>
    <row r="849" spans="1:1" x14ac:dyDescent="0.3">
      <c r="A849" s="6">
        <f>rate_loc3c_1</f>
        <v>0</v>
      </c>
    </row>
    <row r="850" spans="1:1" x14ac:dyDescent="0.3">
      <c r="A850" s="6">
        <f>rate_loc3c_10</f>
        <v>0</v>
      </c>
    </row>
    <row r="851" spans="1:1" x14ac:dyDescent="0.3">
      <c r="A851" s="6">
        <f>rate_loc3c_11</f>
        <v>0</v>
      </c>
    </row>
    <row r="852" spans="1:1" x14ac:dyDescent="0.3">
      <c r="A852" s="6">
        <f>rate_loc3c_12</f>
        <v>0</v>
      </c>
    </row>
    <row r="853" spans="1:1" x14ac:dyDescent="0.3">
      <c r="A853" s="6">
        <f>rate_loc3c_13</f>
        <v>0</v>
      </c>
    </row>
    <row r="854" spans="1:1" x14ac:dyDescent="0.3">
      <c r="A854" s="6">
        <f>rate_loc3c_14</f>
        <v>0</v>
      </c>
    </row>
    <row r="855" spans="1:1" x14ac:dyDescent="0.3">
      <c r="A855" s="6">
        <f>rate_loc3c_15</f>
        <v>0</v>
      </c>
    </row>
    <row r="856" spans="1:1" x14ac:dyDescent="0.3">
      <c r="A856" s="6">
        <f>rate_loc3c_16</f>
        <v>0</v>
      </c>
    </row>
    <row r="857" spans="1:1" x14ac:dyDescent="0.3">
      <c r="A857" s="6">
        <f>rate_loc3c_17</f>
        <v>0</v>
      </c>
    </row>
    <row r="858" spans="1:1" x14ac:dyDescent="0.3">
      <c r="A858" s="6">
        <f>rate_loc3c_18</f>
        <v>0</v>
      </c>
    </row>
    <row r="859" spans="1:1" x14ac:dyDescent="0.3">
      <c r="A859" s="6">
        <f>rate_loc3c_19</f>
        <v>0</v>
      </c>
    </row>
    <row r="860" spans="1:1" x14ac:dyDescent="0.3">
      <c r="A860" s="6">
        <f>rate_loc3c_2</f>
        <v>0</v>
      </c>
    </row>
    <row r="861" spans="1:1" x14ac:dyDescent="0.3">
      <c r="A861" s="6">
        <f>rate_loc3c_20</f>
        <v>0</v>
      </c>
    </row>
    <row r="862" spans="1:1" x14ac:dyDescent="0.3">
      <c r="A862" s="6">
        <f>rate_loc3c_21</f>
        <v>0</v>
      </c>
    </row>
    <row r="863" spans="1:1" x14ac:dyDescent="0.3">
      <c r="A863" s="6">
        <f>rate_loc3c_22</f>
        <v>0</v>
      </c>
    </row>
    <row r="864" spans="1:1" x14ac:dyDescent="0.3">
      <c r="A864" s="6">
        <f>rate_loc3c_23</f>
        <v>0</v>
      </c>
    </row>
    <row r="865" spans="1:1" x14ac:dyDescent="0.3">
      <c r="A865" s="6">
        <f>rate_loc3c_24</f>
        <v>0</v>
      </c>
    </row>
    <row r="866" spans="1:1" x14ac:dyDescent="0.3">
      <c r="A866" s="6">
        <f>rate_loc3c_25</f>
        <v>0</v>
      </c>
    </row>
    <row r="867" spans="1:1" x14ac:dyDescent="0.3">
      <c r="A867" s="6">
        <f>rate_loc3c_26</f>
        <v>0</v>
      </c>
    </row>
    <row r="868" spans="1:1" x14ac:dyDescent="0.3">
      <c r="A868" s="6">
        <f>rate_loc3c_27</f>
        <v>0</v>
      </c>
    </row>
    <row r="869" spans="1:1" x14ac:dyDescent="0.3">
      <c r="A869" s="6">
        <f>rate_loc3c_28</f>
        <v>0</v>
      </c>
    </row>
    <row r="870" spans="1:1" x14ac:dyDescent="0.3">
      <c r="A870" s="6">
        <f>rate_loc3c_29</f>
        <v>0</v>
      </c>
    </row>
    <row r="871" spans="1:1" x14ac:dyDescent="0.3">
      <c r="A871" s="6">
        <f>rate_loc3c_3</f>
        <v>0</v>
      </c>
    </row>
    <row r="872" spans="1:1" x14ac:dyDescent="0.3">
      <c r="A872" s="6">
        <f>rate_loc3c_30</f>
        <v>0</v>
      </c>
    </row>
    <row r="873" spans="1:1" x14ac:dyDescent="0.3">
      <c r="A873" s="6">
        <f>rate_loc3c_31</f>
        <v>0</v>
      </c>
    </row>
    <row r="874" spans="1:1" x14ac:dyDescent="0.3">
      <c r="A874" s="6">
        <f>rate_loc3c_32</f>
        <v>0</v>
      </c>
    </row>
    <row r="875" spans="1:1" x14ac:dyDescent="0.3">
      <c r="A875" s="6">
        <f>rate_loc3c_33</f>
        <v>0</v>
      </c>
    </row>
    <row r="876" spans="1:1" x14ac:dyDescent="0.3">
      <c r="A876" s="6">
        <f>rate_loc3c_34</f>
        <v>0</v>
      </c>
    </row>
    <row r="877" spans="1:1" x14ac:dyDescent="0.3">
      <c r="A877" s="6">
        <f>rate_loc3c_35</f>
        <v>0</v>
      </c>
    </row>
    <row r="878" spans="1:1" x14ac:dyDescent="0.3">
      <c r="A878" s="6">
        <f>rate_loc3c_36</f>
        <v>0</v>
      </c>
    </row>
    <row r="879" spans="1:1" x14ac:dyDescent="0.3">
      <c r="A879" s="6">
        <f>rate_loc3c_37</f>
        <v>0</v>
      </c>
    </row>
    <row r="880" spans="1:1" x14ac:dyDescent="0.3">
      <c r="A880" s="6">
        <f>rate_loc3c_38</f>
        <v>0</v>
      </c>
    </row>
    <row r="881" spans="1:1" x14ac:dyDescent="0.3">
      <c r="A881" s="6">
        <f>rate_loc3c_39</f>
        <v>0</v>
      </c>
    </row>
    <row r="882" spans="1:1" x14ac:dyDescent="0.3">
      <c r="A882" s="6">
        <f>rate_loc3c_4</f>
        <v>0</v>
      </c>
    </row>
    <row r="883" spans="1:1" x14ac:dyDescent="0.3">
      <c r="A883" s="6">
        <f>rate_loc3c_40</f>
        <v>0</v>
      </c>
    </row>
    <row r="884" spans="1:1" x14ac:dyDescent="0.3">
      <c r="A884" s="6">
        <f>rate_loc3c_41</f>
        <v>0</v>
      </c>
    </row>
    <row r="885" spans="1:1" x14ac:dyDescent="0.3">
      <c r="A885" s="6">
        <f>rate_loc3c_42</f>
        <v>0</v>
      </c>
    </row>
    <row r="886" spans="1:1" x14ac:dyDescent="0.3">
      <c r="A886" s="6">
        <f>rate_loc3c_43</f>
        <v>0</v>
      </c>
    </row>
    <row r="887" spans="1:1" x14ac:dyDescent="0.3">
      <c r="A887" s="6">
        <f>rate_loc3c_44</f>
        <v>0</v>
      </c>
    </row>
    <row r="888" spans="1:1" x14ac:dyDescent="0.3">
      <c r="A888" s="6">
        <f>rate_loc3c_45</f>
        <v>0</v>
      </c>
    </row>
    <row r="889" spans="1:1" x14ac:dyDescent="0.3">
      <c r="A889" s="6">
        <f>rate_loc3c_46</f>
        <v>0</v>
      </c>
    </row>
    <row r="890" spans="1:1" x14ac:dyDescent="0.3">
      <c r="A890" s="6">
        <f>rate_loc3c_47</f>
        <v>0</v>
      </c>
    </row>
    <row r="891" spans="1:1" x14ac:dyDescent="0.3">
      <c r="A891" s="6">
        <f>rate_loc3c_48</f>
        <v>0</v>
      </c>
    </row>
    <row r="892" spans="1:1" x14ac:dyDescent="0.3">
      <c r="A892" s="6">
        <f>rate_loc3c_49</f>
        <v>0</v>
      </c>
    </row>
    <row r="893" spans="1:1" x14ac:dyDescent="0.3">
      <c r="A893" s="6">
        <f>rate_loc3c_5</f>
        <v>0</v>
      </c>
    </row>
    <row r="894" spans="1:1" x14ac:dyDescent="0.3">
      <c r="A894" s="6">
        <f>rate_loc3c_50</f>
        <v>0</v>
      </c>
    </row>
    <row r="895" spans="1:1" x14ac:dyDescent="0.3">
      <c r="A895" s="6">
        <f>rate_loc3c_6</f>
        <v>0</v>
      </c>
    </row>
    <row r="896" spans="1:1" x14ac:dyDescent="0.3">
      <c r="A896" s="6">
        <f>rate_loc3c_7</f>
        <v>0</v>
      </c>
    </row>
    <row r="897" spans="1:1" x14ac:dyDescent="0.3">
      <c r="A897" s="6">
        <f>rate_loc3c_8</f>
        <v>0</v>
      </c>
    </row>
    <row r="898" spans="1:1" x14ac:dyDescent="0.3">
      <c r="A898" s="6">
        <f>rate_loc3c_9</f>
        <v>0</v>
      </c>
    </row>
    <row r="899" spans="1:1" x14ac:dyDescent="0.3">
      <c r="A899" s="6" t="str">
        <f>refer_to_uw</f>
        <v>no</v>
      </c>
    </row>
    <row r="900" spans="1:1" x14ac:dyDescent="0.3">
      <c r="A900" s="6">
        <f>req_prem</f>
        <v>0</v>
      </c>
    </row>
    <row r="901" spans="1:1" x14ac:dyDescent="0.3">
      <c r="A901" s="6">
        <f>req_prem_check</f>
        <v>0</v>
      </c>
    </row>
    <row r="902" spans="1:1" x14ac:dyDescent="0.3">
      <c r="A902" s="6">
        <f>required_premium</f>
        <v>0</v>
      </c>
    </row>
    <row r="903" spans="1:1" x14ac:dyDescent="0.3">
      <c r="A903" s="6">
        <f ca="1">revised_exp_policy_premium</f>
        <v>0</v>
      </c>
    </row>
    <row r="904" spans="1:1" x14ac:dyDescent="0.3">
      <c r="A904" s="6" t="str">
        <f>revised_trade_catg</f>
        <v>-</v>
      </c>
    </row>
    <row r="905" spans="1:1" x14ac:dyDescent="0.3">
      <c r="A905" s="6">
        <f>risk_city_check</f>
        <v>0</v>
      </c>
    </row>
    <row r="906" spans="1:1" x14ac:dyDescent="0.3">
      <c r="A906" s="6">
        <f>risk_state_check</f>
        <v>0</v>
      </c>
    </row>
    <row r="907" spans="1:1" x14ac:dyDescent="0.3">
      <c r="A907" s="6">
        <f>risk1_pin_check</f>
        <v>0</v>
      </c>
    </row>
    <row r="908" spans="1:1" x14ac:dyDescent="0.3">
      <c r="A908" s="6">
        <f>risk2_pin_check</f>
        <v>0</v>
      </c>
    </row>
    <row r="909" spans="1:1" x14ac:dyDescent="0.3">
      <c r="A909" s="6">
        <f>risk3_pin_check</f>
        <v>0</v>
      </c>
    </row>
    <row r="910" spans="1:1" x14ac:dyDescent="0.3">
      <c r="A910" s="6">
        <f>risk4_pin_check</f>
        <v>0</v>
      </c>
    </row>
    <row r="911" spans="1:1" x14ac:dyDescent="0.3">
      <c r="A911" s="6">
        <f>risk5_pin_check</f>
        <v>0</v>
      </c>
    </row>
    <row r="912" spans="1:1" x14ac:dyDescent="0.3">
      <c r="A912" s="6">
        <f>rv_trade_ctg_code1</f>
        <v>0</v>
      </c>
    </row>
    <row r="913" spans="1:1" x14ac:dyDescent="0.3">
      <c r="A913" s="6">
        <f>rv_trade_ctg_code10</f>
        <v>0</v>
      </c>
    </row>
    <row r="914" spans="1:1" x14ac:dyDescent="0.3">
      <c r="A914" s="6">
        <f>rv_trade_ctg_code11</f>
        <v>0</v>
      </c>
    </row>
    <row r="915" spans="1:1" x14ac:dyDescent="0.3">
      <c r="A915" s="6">
        <f>rv_trade_ctg_code12</f>
        <v>0</v>
      </c>
    </row>
    <row r="916" spans="1:1" x14ac:dyDescent="0.3">
      <c r="A916" s="6">
        <f>rv_trade_ctg_code13</f>
        <v>0</v>
      </c>
    </row>
    <row r="917" spans="1:1" x14ac:dyDescent="0.3">
      <c r="A917" s="6">
        <f>rv_trade_ctg_code14</f>
        <v>0</v>
      </c>
    </row>
    <row r="918" spans="1:1" x14ac:dyDescent="0.3">
      <c r="A918" s="6">
        <f>rv_trade_ctg_code15</f>
        <v>0</v>
      </c>
    </row>
    <row r="919" spans="1:1" x14ac:dyDescent="0.3">
      <c r="A919" s="6">
        <f>rv_trade_ctg_code16</f>
        <v>0</v>
      </c>
    </row>
    <row r="920" spans="1:1" x14ac:dyDescent="0.3">
      <c r="A920" s="6">
        <f>rv_trade_ctg_code17</f>
        <v>0</v>
      </c>
    </row>
    <row r="921" spans="1:1" x14ac:dyDescent="0.3">
      <c r="A921" s="6">
        <f>rv_trade_ctg_code18</f>
        <v>0</v>
      </c>
    </row>
    <row r="922" spans="1:1" x14ac:dyDescent="0.3">
      <c r="A922" s="6">
        <f>rv_trade_ctg_code19</f>
        <v>0</v>
      </c>
    </row>
    <row r="923" spans="1:1" x14ac:dyDescent="0.3">
      <c r="A923" s="6">
        <f>rv_trade_ctg_code2</f>
        <v>0</v>
      </c>
    </row>
    <row r="924" spans="1:1" x14ac:dyDescent="0.3">
      <c r="A924" s="6">
        <f>rv_trade_ctg_code20</f>
        <v>0</v>
      </c>
    </row>
    <row r="925" spans="1:1" x14ac:dyDescent="0.3">
      <c r="A925" s="6">
        <f>rv_trade_ctg_code21</f>
        <v>0</v>
      </c>
    </row>
    <row r="926" spans="1:1" x14ac:dyDescent="0.3">
      <c r="A926" s="6">
        <f>rv_trade_ctg_code22</f>
        <v>0</v>
      </c>
    </row>
    <row r="927" spans="1:1" x14ac:dyDescent="0.3">
      <c r="A927" s="6">
        <f>rv_trade_ctg_code23</f>
        <v>0</v>
      </c>
    </row>
    <row r="928" spans="1:1" x14ac:dyDescent="0.3">
      <c r="A928" s="6">
        <f>rv_trade_ctg_code24</f>
        <v>0</v>
      </c>
    </row>
    <row r="929" spans="1:1" x14ac:dyDescent="0.3">
      <c r="A929" s="6">
        <f>rv_trade_ctg_code25</f>
        <v>0</v>
      </c>
    </row>
    <row r="930" spans="1:1" x14ac:dyDescent="0.3">
      <c r="A930" s="6">
        <f>rv_trade_ctg_code26</f>
        <v>0</v>
      </c>
    </row>
    <row r="931" spans="1:1" x14ac:dyDescent="0.3">
      <c r="A931" s="6">
        <f>rv_trade_ctg_code27</f>
        <v>0</v>
      </c>
    </row>
    <row r="932" spans="1:1" x14ac:dyDescent="0.3">
      <c r="A932" s="6">
        <f>rv_trade_ctg_code28</f>
        <v>0</v>
      </c>
    </row>
    <row r="933" spans="1:1" x14ac:dyDescent="0.3">
      <c r="A933" s="6">
        <f>rv_trade_ctg_code29</f>
        <v>0</v>
      </c>
    </row>
    <row r="934" spans="1:1" x14ac:dyDescent="0.3">
      <c r="A934" s="6">
        <f>rv_trade_ctg_code3</f>
        <v>0</v>
      </c>
    </row>
    <row r="935" spans="1:1" x14ac:dyDescent="0.3">
      <c r="A935" s="6">
        <f>rv_trade_ctg_code30</f>
        <v>0</v>
      </c>
    </row>
    <row r="936" spans="1:1" x14ac:dyDescent="0.3">
      <c r="A936" s="6">
        <f>rv_trade_ctg_code31</f>
        <v>0</v>
      </c>
    </row>
    <row r="937" spans="1:1" x14ac:dyDescent="0.3">
      <c r="A937" s="6">
        <f>rv_trade_ctg_code32</f>
        <v>0</v>
      </c>
    </row>
    <row r="938" spans="1:1" x14ac:dyDescent="0.3">
      <c r="A938" s="6">
        <f>rv_trade_ctg_code33</f>
        <v>0</v>
      </c>
    </row>
    <row r="939" spans="1:1" x14ac:dyDescent="0.3">
      <c r="A939" s="6">
        <f>rv_trade_ctg_code34</f>
        <v>0</v>
      </c>
    </row>
    <row r="940" spans="1:1" x14ac:dyDescent="0.3">
      <c r="A940" s="6">
        <f>rv_trade_ctg_code35</f>
        <v>0</v>
      </c>
    </row>
    <row r="941" spans="1:1" x14ac:dyDescent="0.3">
      <c r="A941" s="6">
        <f>rv_trade_ctg_code36</f>
        <v>0</v>
      </c>
    </row>
    <row r="942" spans="1:1" x14ac:dyDescent="0.3">
      <c r="A942" s="6">
        <f>rv_trade_ctg_code37</f>
        <v>0</v>
      </c>
    </row>
    <row r="943" spans="1:1" x14ac:dyDescent="0.3">
      <c r="A943" s="6">
        <f>rv_trade_ctg_code38</f>
        <v>0</v>
      </c>
    </row>
    <row r="944" spans="1:1" x14ac:dyDescent="0.3">
      <c r="A944" s="6">
        <f>rv_trade_ctg_code39</f>
        <v>0</v>
      </c>
    </row>
    <row r="945" spans="1:1" x14ac:dyDescent="0.3">
      <c r="A945" s="6">
        <f>rv_trade_ctg_code4</f>
        <v>0</v>
      </c>
    </row>
    <row r="946" spans="1:1" x14ac:dyDescent="0.3">
      <c r="A946" s="6">
        <f>rv_trade_ctg_code40</f>
        <v>0</v>
      </c>
    </row>
    <row r="947" spans="1:1" x14ac:dyDescent="0.3">
      <c r="A947" s="6">
        <f>rv_trade_ctg_code41</f>
        <v>0</v>
      </c>
    </row>
    <row r="948" spans="1:1" x14ac:dyDescent="0.3">
      <c r="A948" s="6">
        <f>rv_trade_ctg_code42</f>
        <v>0</v>
      </c>
    </row>
    <row r="949" spans="1:1" x14ac:dyDescent="0.3">
      <c r="A949" s="6">
        <f>rv_trade_ctg_code43</f>
        <v>0</v>
      </c>
    </row>
    <row r="950" spans="1:1" x14ac:dyDescent="0.3">
      <c r="A950" s="6">
        <f>rv_trade_ctg_code44</f>
        <v>0</v>
      </c>
    </row>
    <row r="951" spans="1:1" x14ac:dyDescent="0.3">
      <c r="A951" s="6">
        <f>rv_trade_ctg_code45</f>
        <v>0</v>
      </c>
    </row>
    <row r="952" spans="1:1" x14ac:dyDescent="0.3">
      <c r="A952" s="6">
        <f>rv_trade_ctg_code46</f>
        <v>0</v>
      </c>
    </row>
    <row r="953" spans="1:1" x14ac:dyDescent="0.3">
      <c r="A953" s="6">
        <f>rv_trade_ctg_code47</f>
        <v>0</v>
      </c>
    </row>
    <row r="954" spans="1:1" x14ac:dyDescent="0.3">
      <c r="A954" s="6">
        <f>rv_trade_ctg_code48</f>
        <v>0</v>
      </c>
    </row>
    <row r="955" spans="1:1" x14ac:dyDescent="0.3">
      <c r="A955" s="6">
        <f>rv_trade_ctg_code49</f>
        <v>0</v>
      </c>
    </row>
    <row r="956" spans="1:1" x14ac:dyDescent="0.3">
      <c r="A956" s="6">
        <f>rv_trade_ctg_code5</f>
        <v>0</v>
      </c>
    </row>
    <row r="957" spans="1:1" x14ac:dyDescent="0.3">
      <c r="A957" s="6">
        <f>rv_trade_ctg_code50</f>
        <v>0</v>
      </c>
    </row>
    <row r="958" spans="1:1" x14ac:dyDescent="0.3">
      <c r="A958" s="6">
        <f>rv_trade_ctg_code6</f>
        <v>0</v>
      </c>
    </row>
    <row r="959" spans="1:1" x14ac:dyDescent="0.3">
      <c r="A959" s="6">
        <f>rv_trade_ctg_code7</f>
        <v>0</v>
      </c>
    </row>
    <row r="960" spans="1:1" x14ac:dyDescent="0.3">
      <c r="A960" s="6">
        <f>rv_trade_ctg_code8</f>
        <v>0</v>
      </c>
    </row>
    <row r="961" spans="1:1" x14ac:dyDescent="0.3">
      <c r="A961" s="6">
        <f>rv_trade_ctg_code9</f>
        <v>0</v>
      </c>
    </row>
    <row r="962" spans="1:1" x14ac:dyDescent="0.3">
      <c r="A962" s="6">
        <f>rv_trade_ctg_desc1</f>
        <v>0</v>
      </c>
    </row>
    <row r="963" spans="1:1" x14ac:dyDescent="0.3">
      <c r="A963" s="6">
        <f>rv_trade_ctg_desc10</f>
        <v>0</v>
      </c>
    </row>
    <row r="964" spans="1:1" x14ac:dyDescent="0.3">
      <c r="A964" s="6">
        <f>rv_trade_ctg_desc11</f>
        <v>0</v>
      </c>
    </row>
    <row r="965" spans="1:1" x14ac:dyDescent="0.3">
      <c r="A965" s="6">
        <f>rv_trade_ctg_desc12</f>
        <v>0</v>
      </c>
    </row>
    <row r="966" spans="1:1" x14ac:dyDescent="0.3">
      <c r="A966" s="6">
        <f>rv_trade_ctg_desc13</f>
        <v>0</v>
      </c>
    </row>
    <row r="967" spans="1:1" x14ac:dyDescent="0.3">
      <c r="A967" s="6">
        <f>rv_trade_ctg_desc14</f>
        <v>0</v>
      </c>
    </row>
    <row r="968" spans="1:1" x14ac:dyDescent="0.3">
      <c r="A968" s="6">
        <f>rv_trade_ctg_desc15</f>
        <v>0</v>
      </c>
    </row>
    <row r="969" spans="1:1" x14ac:dyDescent="0.3">
      <c r="A969" s="6">
        <f>rv_trade_ctg_desc16</f>
        <v>0</v>
      </c>
    </row>
    <row r="970" spans="1:1" x14ac:dyDescent="0.3">
      <c r="A970" s="6">
        <f>rv_trade_ctg_desc17</f>
        <v>0</v>
      </c>
    </row>
    <row r="971" spans="1:1" x14ac:dyDescent="0.3">
      <c r="A971" s="6">
        <f>rv_trade_ctg_desc18</f>
        <v>0</v>
      </c>
    </row>
    <row r="972" spans="1:1" x14ac:dyDescent="0.3">
      <c r="A972" s="6">
        <f>rv_trade_ctg_desc19</f>
        <v>0</v>
      </c>
    </row>
    <row r="973" spans="1:1" x14ac:dyDescent="0.3">
      <c r="A973" s="6">
        <f>rv_trade_ctg_desc2</f>
        <v>0</v>
      </c>
    </row>
    <row r="974" spans="1:1" x14ac:dyDescent="0.3">
      <c r="A974" s="6">
        <f>rv_trade_ctg_desc20</f>
        <v>0</v>
      </c>
    </row>
    <row r="975" spans="1:1" x14ac:dyDescent="0.3">
      <c r="A975" s="6">
        <f>rv_trade_ctg_desc21</f>
        <v>0</v>
      </c>
    </row>
    <row r="976" spans="1:1" x14ac:dyDescent="0.3">
      <c r="A976" s="6">
        <f>rv_trade_ctg_desc22</f>
        <v>0</v>
      </c>
    </row>
    <row r="977" spans="1:1" x14ac:dyDescent="0.3">
      <c r="A977" s="6">
        <f>rv_trade_ctg_desc23</f>
        <v>0</v>
      </c>
    </row>
    <row r="978" spans="1:1" x14ac:dyDescent="0.3">
      <c r="A978" s="6">
        <f>rv_trade_ctg_desc24</f>
        <v>0</v>
      </c>
    </row>
    <row r="979" spans="1:1" x14ac:dyDescent="0.3">
      <c r="A979" s="6">
        <f>rv_trade_ctg_desc25</f>
        <v>0</v>
      </c>
    </row>
    <row r="980" spans="1:1" x14ac:dyDescent="0.3">
      <c r="A980" s="6">
        <f>rv_trade_ctg_desc26</f>
        <v>0</v>
      </c>
    </row>
    <row r="981" spans="1:1" x14ac:dyDescent="0.3">
      <c r="A981" s="6">
        <f>rv_trade_ctg_desc27</f>
        <v>0</v>
      </c>
    </row>
    <row r="982" spans="1:1" x14ac:dyDescent="0.3">
      <c r="A982" s="6">
        <f>rv_trade_ctg_desc28</f>
        <v>0</v>
      </c>
    </row>
    <row r="983" spans="1:1" x14ac:dyDescent="0.3">
      <c r="A983" s="6">
        <f>rv_trade_ctg_desc29</f>
        <v>0</v>
      </c>
    </row>
    <row r="984" spans="1:1" x14ac:dyDescent="0.3">
      <c r="A984" s="6">
        <f>rv_trade_ctg_desc3</f>
        <v>0</v>
      </c>
    </row>
    <row r="985" spans="1:1" x14ac:dyDescent="0.3">
      <c r="A985" s="6">
        <f>rv_trade_ctg_desc30</f>
        <v>0</v>
      </c>
    </row>
    <row r="986" spans="1:1" x14ac:dyDescent="0.3">
      <c r="A986" s="6">
        <f>rv_trade_ctg_desc31</f>
        <v>0</v>
      </c>
    </row>
    <row r="987" spans="1:1" x14ac:dyDescent="0.3">
      <c r="A987" s="6">
        <f>rv_trade_ctg_desc32</f>
        <v>0</v>
      </c>
    </row>
    <row r="988" spans="1:1" x14ac:dyDescent="0.3">
      <c r="A988" s="6">
        <f>rv_trade_ctg_desc33</f>
        <v>0</v>
      </c>
    </row>
    <row r="989" spans="1:1" x14ac:dyDescent="0.3">
      <c r="A989" s="6">
        <f>rv_trade_ctg_desc34</f>
        <v>0</v>
      </c>
    </row>
    <row r="990" spans="1:1" x14ac:dyDescent="0.3">
      <c r="A990" s="6">
        <f>rv_trade_ctg_desc35</f>
        <v>0</v>
      </c>
    </row>
    <row r="991" spans="1:1" x14ac:dyDescent="0.3">
      <c r="A991" s="6">
        <f>rv_trade_ctg_desc36</f>
        <v>0</v>
      </c>
    </row>
    <row r="992" spans="1:1" x14ac:dyDescent="0.3">
      <c r="A992" s="6">
        <f>rv_trade_ctg_desc37</f>
        <v>0</v>
      </c>
    </row>
    <row r="993" spans="1:1" x14ac:dyDescent="0.3">
      <c r="A993" s="6">
        <f>rv_trade_ctg_desc38</f>
        <v>0</v>
      </c>
    </row>
    <row r="994" spans="1:1" x14ac:dyDescent="0.3">
      <c r="A994" s="6">
        <f>rv_trade_ctg_desc39</f>
        <v>0</v>
      </c>
    </row>
    <row r="995" spans="1:1" x14ac:dyDescent="0.3">
      <c r="A995" s="6">
        <f>rv_trade_ctg_desc4</f>
        <v>0</v>
      </c>
    </row>
    <row r="996" spans="1:1" x14ac:dyDescent="0.3">
      <c r="A996" s="6">
        <f>rv_trade_ctg_desc40</f>
        <v>0</v>
      </c>
    </row>
    <row r="997" spans="1:1" x14ac:dyDescent="0.3">
      <c r="A997" s="6">
        <f>rv_trade_ctg_desc41</f>
        <v>0</v>
      </c>
    </row>
    <row r="998" spans="1:1" x14ac:dyDescent="0.3">
      <c r="A998" s="6">
        <f>rv_trade_ctg_desc42</f>
        <v>0</v>
      </c>
    </row>
    <row r="999" spans="1:1" x14ac:dyDescent="0.3">
      <c r="A999" s="6">
        <f>rv_trade_ctg_desc43</f>
        <v>0</v>
      </c>
    </row>
    <row r="1000" spans="1:1" x14ac:dyDescent="0.3">
      <c r="A1000" s="6">
        <f>rv_trade_ctg_desc44</f>
        <v>0</v>
      </c>
    </row>
    <row r="1001" spans="1:1" x14ac:dyDescent="0.3">
      <c r="A1001" s="6">
        <f>rv_trade_ctg_desc45</f>
        <v>0</v>
      </c>
    </row>
    <row r="1002" spans="1:1" x14ac:dyDescent="0.3">
      <c r="A1002" s="6">
        <f>rv_trade_ctg_desc46</f>
        <v>0</v>
      </c>
    </row>
    <row r="1003" spans="1:1" x14ac:dyDescent="0.3">
      <c r="A1003" s="6">
        <f>rv_trade_ctg_desc47</f>
        <v>0</v>
      </c>
    </row>
    <row r="1004" spans="1:1" x14ac:dyDescent="0.3">
      <c r="A1004" s="6">
        <f>rv_trade_ctg_desc48</f>
        <v>0</v>
      </c>
    </row>
    <row r="1005" spans="1:1" x14ac:dyDescent="0.3">
      <c r="A1005" s="6">
        <f>rv_trade_ctg_desc49</f>
        <v>0</v>
      </c>
    </row>
    <row r="1006" spans="1:1" x14ac:dyDescent="0.3">
      <c r="A1006" s="6">
        <f>rv_trade_ctg_desc5</f>
        <v>0</v>
      </c>
    </row>
    <row r="1007" spans="1:1" x14ac:dyDescent="0.3">
      <c r="A1007" s="6">
        <f>rv_trade_ctg_desc50</f>
        <v>0</v>
      </c>
    </row>
    <row r="1008" spans="1:1" x14ac:dyDescent="0.3">
      <c r="A1008" s="6">
        <f>rv_trade_ctg_desc6</f>
        <v>0</v>
      </c>
    </row>
    <row r="1009" spans="1:1" x14ac:dyDescent="0.3">
      <c r="A1009" s="6">
        <f>rv_trade_ctg_desc7</f>
        <v>0</v>
      </c>
    </row>
    <row r="1010" spans="1:1" x14ac:dyDescent="0.3">
      <c r="A1010" s="6">
        <f>rv_trade_ctg_desc8</f>
        <v>0</v>
      </c>
    </row>
    <row r="1011" spans="1:1" x14ac:dyDescent="0.3">
      <c r="A1011" s="6">
        <f>rv_trade_ctg_desc9</f>
        <v>0</v>
      </c>
    </row>
    <row r="1012" spans="1:1" x14ac:dyDescent="0.3">
      <c r="A1012" s="6">
        <f>sgst_perc</f>
        <v>0.09</v>
      </c>
    </row>
    <row r="1013" spans="1:1" x14ac:dyDescent="0.3">
      <c r="A1013" s="6">
        <f ca="1">sgst_value</f>
        <v>0</v>
      </c>
    </row>
    <row r="1014" spans="1:1" x14ac:dyDescent="0.3">
      <c r="A1014" s="6">
        <f>sl_no_tmpl</f>
        <v>0</v>
      </c>
    </row>
    <row r="1015" spans="1:1" x14ac:dyDescent="0.3">
      <c r="A1015" s="6" t="str">
        <f>sme_flag</f>
        <v>SME</v>
      </c>
    </row>
    <row r="1016" spans="1:1" x14ac:dyDescent="0.3">
      <c r="A1016" s="6" t="e">
        <f>sme_master</f>
        <v>#VALUE!</v>
      </c>
    </row>
    <row r="1017" spans="1:1" x14ac:dyDescent="0.3">
      <c r="A1017" s="6">
        <f ca="1">smod_total_prem_1</f>
        <v>0</v>
      </c>
    </row>
    <row r="1018" spans="1:1" x14ac:dyDescent="0.3">
      <c r="A1018" s="6">
        <f ca="1">smod_total_prem_10</f>
        <v>0</v>
      </c>
    </row>
    <row r="1019" spans="1:1" x14ac:dyDescent="0.3">
      <c r="A1019" s="6">
        <f ca="1">smod_total_prem_11</f>
        <v>0</v>
      </c>
    </row>
    <row r="1020" spans="1:1" x14ac:dyDescent="0.3">
      <c r="A1020" s="6">
        <f ca="1">smod_total_prem_12</f>
        <v>0</v>
      </c>
    </row>
    <row r="1021" spans="1:1" x14ac:dyDescent="0.3">
      <c r="A1021" s="6">
        <f ca="1">smod_total_prem_13</f>
        <v>0</v>
      </c>
    </row>
    <row r="1022" spans="1:1" x14ac:dyDescent="0.3">
      <c r="A1022" s="6">
        <f ca="1">smod_total_prem_14</f>
        <v>0</v>
      </c>
    </row>
    <row r="1023" spans="1:1" x14ac:dyDescent="0.3">
      <c r="A1023" s="6">
        <f ca="1">smod_total_prem_15</f>
        <v>0</v>
      </c>
    </row>
    <row r="1024" spans="1:1" x14ac:dyDescent="0.3">
      <c r="A1024" s="6">
        <f ca="1">smod_total_prem_2</f>
        <v>0</v>
      </c>
    </row>
    <row r="1025" spans="1:1" x14ac:dyDescent="0.3">
      <c r="A1025" s="6">
        <f ca="1">smod_total_prem_3</f>
        <v>0</v>
      </c>
    </row>
    <row r="1026" spans="1:1" x14ac:dyDescent="0.3">
      <c r="A1026" s="6">
        <f ca="1">smod_total_prem_4</f>
        <v>0</v>
      </c>
    </row>
    <row r="1027" spans="1:1" x14ac:dyDescent="0.3">
      <c r="A1027" s="6">
        <f ca="1">smod_total_prem_5</f>
        <v>0</v>
      </c>
    </row>
    <row r="1028" spans="1:1" x14ac:dyDescent="0.3">
      <c r="A1028" s="6">
        <f ca="1">smod_total_prem_6</f>
        <v>0</v>
      </c>
    </row>
    <row r="1029" spans="1:1" x14ac:dyDescent="0.3">
      <c r="A1029" s="6">
        <f ca="1">smod_total_prem_7</f>
        <v>0</v>
      </c>
    </row>
    <row r="1030" spans="1:1" x14ac:dyDescent="0.3">
      <c r="A1030" s="6">
        <f ca="1">smod_total_prem_8</f>
        <v>0</v>
      </c>
    </row>
    <row r="1031" spans="1:1" x14ac:dyDescent="0.3">
      <c r="A1031" s="6">
        <f ca="1">smod_total_prem_9</f>
        <v>0</v>
      </c>
    </row>
    <row r="1032" spans="1:1" x14ac:dyDescent="0.3">
      <c r="A1032" s="6">
        <f ca="1">stamp_duty</f>
        <v>0</v>
      </c>
    </row>
    <row r="1033" spans="1:1" x14ac:dyDescent="0.3">
      <c r="A1033" s="6" t="str">
        <f>status_reason</f>
        <v>UIN is not available</v>
      </c>
    </row>
    <row r="1034" spans="1:1" x14ac:dyDescent="0.3">
      <c r="A1034" s="6">
        <f ca="1">statutory_prem_1</f>
        <v>0</v>
      </c>
    </row>
    <row r="1035" spans="1:1" x14ac:dyDescent="0.3">
      <c r="A1035" s="6">
        <f ca="1">statutory_prem_10</f>
        <v>0</v>
      </c>
    </row>
    <row r="1036" spans="1:1" x14ac:dyDescent="0.3">
      <c r="A1036" s="6">
        <f ca="1">statutory_prem_11</f>
        <v>0</v>
      </c>
    </row>
    <row r="1037" spans="1:1" x14ac:dyDescent="0.3">
      <c r="A1037" s="6">
        <f ca="1">statutory_prem_12</f>
        <v>0</v>
      </c>
    </row>
    <row r="1038" spans="1:1" x14ac:dyDescent="0.3">
      <c r="A1038" s="6">
        <f ca="1">statutory_prem_13</f>
        <v>0</v>
      </c>
    </row>
    <row r="1039" spans="1:1" x14ac:dyDescent="0.3">
      <c r="A1039" s="6">
        <f ca="1">statutory_prem_14</f>
        <v>0</v>
      </c>
    </row>
    <row r="1040" spans="1:1" x14ac:dyDescent="0.3">
      <c r="A1040" s="6">
        <f ca="1">statutory_prem_15</f>
        <v>0</v>
      </c>
    </row>
    <row r="1041" spans="1:1" x14ac:dyDescent="0.3">
      <c r="A1041" s="6">
        <f ca="1">statutory_prem_2</f>
        <v>0</v>
      </c>
    </row>
    <row r="1042" spans="1:1" x14ac:dyDescent="0.3">
      <c r="A1042" s="6">
        <f ca="1">statutory_prem_3</f>
        <v>0</v>
      </c>
    </row>
    <row r="1043" spans="1:1" x14ac:dyDescent="0.3">
      <c r="A1043" s="6">
        <f ca="1">statutory_prem_4</f>
        <v>0</v>
      </c>
    </row>
    <row r="1044" spans="1:1" x14ac:dyDescent="0.3">
      <c r="A1044" s="6">
        <f ca="1">statutory_prem_5</f>
        <v>0</v>
      </c>
    </row>
    <row r="1045" spans="1:1" x14ac:dyDescent="0.3">
      <c r="A1045" s="6">
        <f ca="1">statutory_prem_6</f>
        <v>0</v>
      </c>
    </row>
    <row r="1046" spans="1:1" x14ac:dyDescent="0.3">
      <c r="A1046" s="6">
        <f ca="1">statutory_prem_7</f>
        <v>0</v>
      </c>
    </row>
    <row r="1047" spans="1:1" x14ac:dyDescent="0.3">
      <c r="A1047" s="6">
        <f ca="1">statutory_prem_8</f>
        <v>0</v>
      </c>
    </row>
    <row r="1048" spans="1:1" x14ac:dyDescent="0.3">
      <c r="A1048" s="6">
        <f ca="1">statutory_prem_9</f>
        <v>0</v>
      </c>
    </row>
    <row r="1049" spans="1:1" x14ac:dyDescent="0.3">
      <c r="A1049" s="6">
        <f ca="1">statutory_premium</f>
        <v>0</v>
      </c>
    </row>
    <row r="1050" spans="1:1" x14ac:dyDescent="0.3">
      <c r="A1050" s="6">
        <f>statutory_premium_uw</f>
        <v>0</v>
      </c>
    </row>
    <row r="1051" spans="1:1" x14ac:dyDescent="0.3">
      <c r="A1051" s="6">
        <f>tariff_rate</f>
        <v>0</v>
      </c>
    </row>
    <row r="1052" spans="1:1" x14ac:dyDescent="0.3">
      <c r="A1052" s="6">
        <f>tariff_rate_1</f>
        <v>0</v>
      </c>
    </row>
    <row r="1053" spans="1:1" x14ac:dyDescent="0.3">
      <c r="A1053" s="6">
        <f>tariff_rate_10</f>
        <v>0</v>
      </c>
    </row>
    <row r="1054" spans="1:1" x14ac:dyDescent="0.3">
      <c r="A1054" s="6">
        <f>tariff_rate_11</f>
        <v>0</v>
      </c>
    </row>
    <row r="1055" spans="1:1" x14ac:dyDescent="0.3">
      <c r="A1055" s="6">
        <f>tariff_rate_12</f>
        <v>0</v>
      </c>
    </row>
    <row r="1056" spans="1:1" x14ac:dyDescent="0.3">
      <c r="A1056" s="6">
        <f>tariff_rate_13</f>
        <v>0</v>
      </c>
    </row>
    <row r="1057" spans="1:1" x14ac:dyDescent="0.3">
      <c r="A1057" s="6">
        <f>tariff_rate_14</f>
        <v>0</v>
      </c>
    </row>
    <row r="1058" spans="1:1" x14ac:dyDescent="0.3">
      <c r="A1058" s="6">
        <f>tariff_rate_15</f>
        <v>0</v>
      </c>
    </row>
    <row r="1059" spans="1:1" x14ac:dyDescent="0.3">
      <c r="A1059" s="6">
        <f>tariff_rate_16</f>
        <v>0</v>
      </c>
    </row>
    <row r="1060" spans="1:1" x14ac:dyDescent="0.3">
      <c r="A1060" s="6">
        <f>tariff_rate_17</f>
        <v>0</v>
      </c>
    </row>
    <row r="1061" spans="1:1" x14ac:dyDescent="0.3">
      <c r="A1061" s="6">
        <f>tariff_rate_18</f>
        <v>0</v>
      </c>
    </row>
    <row r="1062" spans="1:1" x14ac:dyDescent="0.3">
      <c r="A1062" s="6">
        <f>tariff_rate_19</f>
        <v>0</v>
      </c>
    </row>
    <row r="1063" spans="1:1" x14ac:dyDescent="0.3">
      <c r="A1063" s="6">
        <f>tariff_rate_2</f>
        <v>0</v>
      </c>
    </row>
    <row r="1064" spans="1:1" x14ac:dyDescent="0.3">
      <c r="A1064" s="6">
        <f>tariff_rate_20</f>
        <v>0</v>
      </c>
    </row>
    <row r="1065" spans="1:1" x14ac:dyDescent="0.3">
      <c r="A1065" s="6">
        <f>tariff_rate_21</f>
        <v>0</v>
      </c>
    </row>
    <row r="1066" spans="1:1" x14ac:dyDescent="0.3">
      <c r="A1066" s="6">
        <f>tariff_rate_22</f>
        <v>0</v>
      </c>
    </row>
    <row r="1067" spans="1:1" x14ac:dyDescent="0.3">
      <c r="A1067" s="6">
        <f>tariff_rate_23</f>
        <v>0</v>
      </c>
    </row>
    <row r="1068" spans="1:1" x14ac:dyDescent="0.3">
      <c r="A1068" s="6">
        <f>tariff_rate_24</f>
        <v>0</v>
      </c>
    </row>
    <row r="1069" spans="1:1" x14ac:dyDescent="0.3">
      <c r="A1069" s="6">
        <f>tariff_rate_25</f>
        <v>0</v>
      </c>
    </row>
    <row r="1070" spans="1:1" x14ac:dyDescent="0.3">
      <c r="A1070" s="6">
        <f>tariff_rate_26</f>
        <v>0</v>
      </c>
    </row>
    <row r="1071" spans="1:1" x14ac:dyDescent="0.3">
      <c r="A1071" s="6">
        <f>tariff_rate_27</f>
        <v>0</v>
      </c>
    </row>
    <row r="1072" spans="1:1" x14ac:dyDescent="0.3">
      <c r="A1072" s="6">
        <f>tariff_rate_28</f>
        <v>0</v>
      </c>
    </row>
    <row r="1073" spans="1:1" x14ac:dyDescent="0.3">
      <c r="A1073" s="6">
        <f>tariff_rate_29</f>
        <v>0</v>
      </c>
    </row>
    <row r="1074" spans="1:1" x14ac:dyDescent="0.3">
      <c r="A1074" s="6">
        <f>tariff_rate_3</f>
        <v>0</v>
      </c>
    </row>
    <row r="1075" spans="1:1" x14ac:dyDescent="0.3">
      <c r="A1075" s="6">
        <f>tariff_rate_30</f>
        <v>0</v>
      </c>
    </row>
    <row r="1076" spans="1:1" x14ac:dyDescent="0.3">
      <c r="A1076" s="6">
        <f>tariff_rate_31</f>
        <v>0</v>
      </c>
    </row>
    <row r="1077" spans="1:1" x14ac:dyDescent="0.3">
      <c r="A1077" s="6">
        <f>tariff_rate_32</f>
        <v>0</v>
      </c>
    </row>
    <row r="1078" spans="1:1" x14ac:dyDescent="0.3">
      <c r="A1078" s="6">
        <f>tariff_rate_33</f>
        <v>0</v>
      </c>
    </row>
    <row r="1079" spans="1:1" x14ac:dyDescent="0.3">
      <c r="A1079" s="6">
        <f>tariff_rate_34</f>
        <v>0</v>
      </c>
    </row>
    <row r="1080" spans="1:1" x14ac:dyDescent="0.3">
      <c r="A1080" s="6">
        <f>tariff_rate_35</f>
        <v>0</v>
      </c>
    </row>
    <row r="1081" spans="1:1" x14ac:dyDescent="0.3">
      <c r="A1081" s="6">
        <f>tariff_rate_36</f>
        <v>0</v>
      </c>
    </row>
    <row r="1082" spans="1:1" x14ac:dyDescent="0.3">
      <c r="A1082" s="6">
        <f>tariff_rate_37</f>
        <v>0</v>
      </c>
    </row>
    <row r="1083" spans="1:1" x14ac:dyDescent="0.3">
      <c r="A1083" s="6">
        <f>tariff_rate_38</f>
        <v>0</v>
      </c>
    </row>
    <row r="1084" spans="1:1" x14ac:dyDescent="0.3">
      <c r="A1084" s="6">
        <f>tariff_rate_39</f>
        <v>0</v>
      </c>
    </row>
    <row r="1085" spans="1:1" x14ac:dyDescent="0.3">
      <c r="A1085" s="6">
        <f>tariff_rate_4</f>
        <v>0</v>
      </c>
    </row>
    <row r="1086" spans="1:1" x14ac:dyDescent="0.3">
      <c r="A1086" s="6">
        <f>tariff_rate_40</f>
        <v>0</v>
      </c>
    </row>
    <row r="1087" spans="1:1" x14ac:dyDescent="0.3">
      <c r="A1087" s="6">
        <f>tariff_rate_41</f>
        <v>0</v>
      </c>
    </row>
    <row r="1088" spans="1:1" x14ac:dyDescent="0.3">
      <c r="A1088" s="6">
        <f>tariff_rate_42</f>
        <v>0</v>
      </c>
    </row>
    <row r="1089" spans="1:1" x14ac:dyDescent="0.3">
      <c r="A1089" s="6">
        <f>tariff_rate_43</f>
        <v>0</v>
      </c>
    </row>
    <row r="1090" spans="1:1" x14ac:dyDescent="0.3">
      <c r="A1090" s="6">
        <f>tariff_rate_44</f>
        <v>0</v>
      </c>
    </row>
    <row r="1091" spans="1:1" x14ac:dyDescent="0.3">
      <c r="A1091" s="6">
        <f>tariff_rate_45</f>
        <v>0</v>
      </c>
    </row>
    <row r="1092" spans="1:1" x14ac:dyDescent="0.3">
      <c r="A1092" s="6">
        <f>tariff_rate_46</f>
        <v>0</v>
      </c>
    </row>
    <row r="1093" spans="1:1" x14ac:dyDescent="0.3">
      <c r="A1093" s="6">
        <f>tariff_rate_47</f>
        <v>0</v>
      </c>
    </row>
    <row r="1094" spans="1:1" x14ac:dyDescent="0.3">
      <c r="A1094" s="6">
        <f>tariff_rate_48</f>
        <v>0</v>
      </c>
    </row>
    <row r="1095" spans="1:1" x14ac:dyDescent="0.3">
      <c r="A1095" s="6">
        <f>tariff_rate_49</f>
        <v>0</v>
      </c>
    </row>
    <row r="1096" spans="1:1" x14ac:dyDescent="0.3">
      <c r="A1096" s="6">
        <f>tariff_rate_5</f>
        <v>0</v>
      </c>
    </row>
    <row r="1097" spans="1:1" x14ac:dyDescent="0.3">
      <c r="A1097" s="6">
        <f>tariff_rate_50</f>
        <v>0</v>
      </c>
    </row>
    <row r="1098" spans="1:1" x14ac:dyDescent="0.3">
      <c r="A1098" s="6">
        <f>tariff_rate_6</f>
        <v>0</v>
      </c>
    </row>
    <row r="1099" spans="1:1" x14ac:dyDescent="0.3">
      <c r="A1099" s="6">
        <f>tariff_rate_7</f>
        <v>0</v>
      </c>
    </row>
    <row r="1100" spans="1:1" x14ac:dyDescent="0.3">
      <c r="A1100" s="6">
        <f>tariff_rate_8</f>
        <v>0</v>
      </c>
    </row>
    <row r="1101" spans="1:1" x14ac:dyDescent="0.3">
      <c r="A1101" s="6">
        <f>tariff_rate_9</f>
        <v>0</v>
      </c>
    </row>
    <row r="1102" spans="1:1" x14ac:dyDescent="0.3">
      <c r="A1102" s="6" t="str">
        <f>tc_code_1</f>
        <v>-</v>
      </c>
    </row>
    <row r="1103" spans="1:1" x14ac:dyDescent="0.3">
      <c r="A1103" s="6" t="str">
        <f>tc_code_10</f>
        <v/>
      </c>
    </row>
    <row r="1104" spans="1:1" x14ac:dyDescent="0.3">
      <c r="A1104" s="6" t="str">
        <f>tc_code_11</f>
        <v/>
      </c>
    </row>
    <row r="1105" spans="1:1" x14ac:dyDescent="0.3">
      <c r="A1105" s="6" t="str">
        <f>tc_code_12</f>
        <v/>
      </c>
    </row>
    <row r="1106" spans="1:1" x14ac:dyDescent="0.3">
      <c r="A1106" s="6" t="str">
        <f>tc_code_13</f>
        <v/>
      </c>
    </row>
    <row r="1107" spans="1:1" x14ac:dyDescent="0.3">
      <c r="A1107" s="6" t="str">
        <f>tc_code_14</f>
        <v/>
      </c>
    </row>
    <row r="1108" spans="1:1" x14ac:dyDescent="0.3">
      <c r="A1108" s="6" t="str">
        <f>tc_code_15</f>
        <v/>
      </c>
    </row>
    <row r="1109" spans="1:1" x14ac:dyDescent="0.3">
      <c r="A1109" s="6" t="str">
        <f>tc_code_2</f>
        <v/>
      </c>
    </row>
    <row r="1110" spans="1:1" x14ac:dyDescent="0.3">
      <c r="A1110" s="6" t="str">
        <f>tc_code_3</f>
        <v/>
      </c>
    </row>
    <row r="1111" spans="1:1" x14ac:dyDescent="0.3">
      <c r="A1111" s="6" t="str">
        <f>tc_code_4</f>
        <v/>
      </c>
    </row>
    <row r="1112" spans="1:1" x14ac:dyDescent="0.3">
      <c r="A1112" s="6" t="str">
        <f>tc_code_5</f>
        <v/>
      </c>
    </row>
    <row r="1113" spans="1:1" x14ac:dyDescent="0.3">
      <c r="A1113" s="6" t="str">
        <f>tc_code_6</f>
        <v/>
      </c>
    </row>
    <row r="1114" spans="1:1" x14ac:dyDescent="0.3">
      <c r="A1114" s="6" t="str">
        <f>tc_code_7</f>
        <v/>
      </c>
    </row>
    <row r="1115" spans="1:1" x14ac:dyDescent="0.3">
      <c r="A1115" s="6" t="str">
        <f>tc_code_8</f>
        <v/>
      </c>
    </row>
    <row r="1116" spans="1:1" x14ac:dyDescent="0.3">
      <c r="A1116" s="6" t="str">
        <f>tc_code_9</f>
        <v/>
      </c>
    </row>
    <row r="1117" spans="1:1" x14ac:dyDescent="0.3">
      <c r="A1117" s="6" t="e">
        <f>tc_master</f>
        <v>#VALUE!</v>
      </c>
    </row>
    <row r="1118" spans="1:1" x14ac:dyDescent="0.3">
      <c r="A1118" s="6" t="str">
        <f>tc_name_1</f>
        <v>-</v>
      </c>
    </row>
    <row r="1119" spans="1:1" x14ac:dyDescent="0.3">
      <c r="A1119" s="6" t="str">
        <f>tc_name_10</f>
        <v/>
      </c>
    </row>
    <row r="1120" spans="1:1" x14ac:dyDescent="0.3">
      <c r="A1120" s="6" t="str">
        <f>tc_name_11</f>
        <v/>
      </c>
    </row>
    <row r="1121" spans="1:1" x14ac:dyDescent="0.3">
      <c r="A1121" s="6" t="str">
        <f>tc_name_12</f>
        <v/>
      </c>
    </row>
    <row r="1122" spans="1:1" x14ac:dyDescent="0.3">
      <c r="A1122" s="6" t="str">
        <f>tc_name_13</f>
        <v/>
      </c>
    </row>
    <row r="1123" spans="1:1" x14ac:dyDescent="0.3">
      <c r="A1123" s="6" t="str">
        <f>tc_name_14</f>
        <v/>
      </c>
    </row>
    <row r="1124" spans="1:1" x14ac:dyDescent="0.3">
      <c r="A1124" s="6" t="str">
        <f>tc_name_15</f>
        <v/>
      </c>
    </row>
    <row r="1125" spans="1:1" x14ac:dyDescent="0.3">
      <c r="A1125" s="6" t="str">
        <f>tc_name_2</f>
        <v/>
      </c>
    </row>
    <row r="1126" spans="1:1" x14ac:dyDescent="0.3">
      <c r="A1126" s="6" t="str">
        <f>tc_name_3</f>
        <v/>
      </c>
    </row>
    <row r="1127" spans="1:1" x14ac:dyDescent="0.3">
      <c r="A1127" s="6" t="str">
        <f>tc_name_4</f>
        <v/>
      </c>
    </row>
    <row r="1128" spans="1:1" x14ac:dyDescent="0.3">
      <c r="A1128" s="6" t="str">
        <f>tc_name_5</f>
        <v/>
      </c>
    </row>
    <row r="1129" spans="1:1" x14ac:dyDescent="0.3">
      <c r="A1129" s="6" t="str">
        <f>tc_name_6</f>
        <v/>
      </c>
    </row>
    <row r="1130" spans="1:1" x14ac:dyDescent="0.3">
      <c r="A1130" s="6" t="str">
        <f>tc_name_7</f>
        <v/>
      </c>
    </row>
    <row r="1131" spans="1:1" x14ac:dyDescent="0.3">
      <c r="A1131" s="6" t="str">
        <f>tc_name_8</f>
        <v/>
      </c>
    </row>
    <row r="1132" spans="1:1" x14ac:dyDescent="0.3">
      <c r="A1132" s="6" t="str">
        <f>tc_name_9</f>
        <v/>
      </c>
    </row>
    <row r="1133" spans="1:1" x14ac:dyDescent="0.3">
      <c r="A1133" s="6">
        <f ca="1">tc_premium_1</f>
        <v>0</v>
      </c>
    </row>
    <row r="1134" spans="1:1" x14ac:dyDescent="0.3">
      <c r="A1134" s="6" t="str">
        <f>tc_premium_10</f>
        <v/>
      </c>
    </row>
    <row r="1135" spans="1:1" x14ac:dyDescent="0.3">
      <c r="A1135" s="6" t="str">
        <f>tc_premium_11</f>
        <v/>
      </c>
    </row>
    <row r="1136" spans="1:1" x14ac:dyDescent="0.3">
      <c r="A1136" s="6" t="str">
        <f>tc_premium_12</f>
        <v/>
      </c>
    </row>
    <row r="1137" spans="1:1" x14ac:dyDescent="0.3">
      <c r="A1137" s="6" t="str">
        <f>tc_premium_13</f>
        <v/>
      </c>
    </row>
    <row r="1138" spans="1:1" x14ac:dyDescent="0.3">
      <c r="A1138" s="6" t="str">
        <f>tc_premium_14</f>
        <v/>
      </c>
    </row>
    <row r="1139" spans="1:1" x14ac:dyDescent="0.3">
      <c r="A1139" s="6" t="str">
        <f>tc_premium_15</f>
        <v/>
      </c>
    </row>
    <row r="1140" spans="1:1" x14ac:dyDescent="0.3">
      <c r="A1140" s="6" t="str">
        <f>tc_premium_2</f>
        <v/>
      </c>
    </row>
    <row r="1141" spans="1:1" x14ac:dyDescent="0.3">
      <c r="A1141" s="6" t="str">
        <f>tc_premium_3</f>
        <v/>
      </c>
    </row>
    <row r="1142" spans="1:1" x14ac:dyDescent="0.3">
      <c r="A1142" s="6" t="str">
        <f>tc_premium_4</f>
        <v/>
      </c>
    </row>
    <row r="1143" spans="1:1" x14ac:dyDescent="0.3">
      <c r="A1143" s="6" t="str">
        <f>tc_premium_5</f>
        <v/>
      </c>
    </row>
    <row r="1144" spans="1:1" x14ac:dyDescent="0.3">
      <c r="A1144" s="6" t="str">
        <f>tc_premium_6</f>
        <v/>
      </c>
    </row>
    <row r="1145" spans="1:1" x14ac:dyDescent="0.3">
      <c r="A1145" s="6" t="str">
        <f>tc_premium_7</f>
        <v/>
      </c>
    </row>
    <row r="1146" spans="1:1" x14ac:dyDescent="0.3">
      <c r="A1146" s="6" t="str">
        <f>tc_premium_8</f>
        <v/>
      </c>
    </row>
    <row r="1147" spans="1:1" x14ac:dyDescent="0.3">
      <c r="A1147" s="6" t="str">
        <f>tc_premium_9</f>
        <v/>
      </c>
    </row>
    <row r="1148" spans="1:1" x14ac:dyDescent="0.3">
      <c r="A1148" s="6" t="e">
        <f>terrain_master</f>
        <v>#VALUE!</v>
      </c>
    </row>
    <row r="1149" spans="1:1" x14ac:dyDescent="0.3">
      <c r="A1149" s="6" t="str">
        <f>terrorism</f>
        <v>no</v>
      </c>
    </row>
    <row r="1150" spans="1:1" x14ac:dyDescent="0.3">
      <c r="A1150" s="6" t="str">
        <f>terrorism_appl</f>
        <v>no</v>
      </c>
    </row>
    <row r="1151" spans="1:1" x14ac:dyDescent="0.3">
      <c r="A1151" s="6" t="str">
        <f ca="1">test_1</f>
        <v>Loading</v>
      </c>
    </row>
    <row r="1152" spans="1:1" x14ac:dyDescent="0.3">
      <c r="A1152" s="6">
        <f>test_10</f>
        <v>0</v>
      </c>
    </row>
    <row r="1153" spans="1:1" x14ac:dyDescent="0.3">
      <c r="A1153" s="6">
        <f ca="1">test_11</f>
        <v>0</v>
      </c>
    </row>
    <row r="1154" spans="1:1" x14ac:dyDescent="0.3">
      <c r="A1154" s="6">
        <f>test_12</f>
        <v>0</v>
      </c>
    </row>
    <row r="1155" spans="1:1" x14ac:dyDescent="0.3">
      <c r="A1155" s="6">
        <f>test_13</f>
        <v>0</v>
      </c>
    </row>
    <row r="1156" spans="1:1" x14ac:dyDescent="0.3">
      <c r="A1156" s="6">
        <f>test_14</f>
        <v>0</v>
      </c>
    </row>
    <row r="1157" spans="1:1" x14ac:dyDescent="0.3">
      <c r="A1157" s="6">
        <f>test_15</f>
        <v>0</v>
      </c>
    </row>
    <row r="1158" spans="1:1" x14ac:dyDescent="0.3">
      <c r="A1158" s="6">
        <f ca="1">test_16</f>
        <v>0</v>
      </c>
    </row>
    <row r="1159" spans="1:1" x14ac:dyDescent="0.3">
      <c r="A1159" s="6">
        <f ca="1">test_17</f>
        <v>0</v>
      </c>
    </row>
    <row r="1160" spans="1:1" x14ac:dyDescent="0.3">
      <c r="A1160" s="6">
        <f ca="1">test_18</f>
        <v>0</v>
      </c>
    </row>
    <row r="1161" spans="1:1" x14ac:dyDescent="0.3">
      <c r="A1161" s="6" t="str">
        <f ca="1">test_2</f>
        <v/>
      </c>
    </row>
    <row r="1162" spans="1:1" x14ac:dyDescent="0.3">
      <c r="A1162" s="6">
        <f ca="1">test_3</f>
        <v>0</v>
      </c>
    </row>
    <row r="1163" spans="1:1" x14ac:dyDescent="0.3">
      <c r="A1163" s="6">
        <f ca="1">test_4</f>
        <v>0</v>
      </c>
    </row>
    <row r="1164" spans="1:1" x14ac:dyDescent="0.3">
      <c r="A1164" s="6">
        <f ca="1">test_5</f>
        <v>0</v>
      </c>
    </row>
    <row r="1165" spans="1:1" x14ac:dyDescent="0.3">
      <c r="A1165" s="6" t="str">
        <f ca="1">test_6</f>
        <v>Loading</v>
      </c>
    </row>
    <row r="1166" spans="1:1" x14ac:dyDescent="0.3">
      <c r="A1166" s="6">
        <f>test_7</f>
        <v>0</v>
      </c>
    </row>
    <row r="1167" spans="1:1" x14ac:dyDescent="0.3">
      <c r="A1167" s="6">
        <f>test_8</f>
        <v>0</v>
      </c>
    </row>
    <row r="1168" spans="1:1" x14ac:dyDescent="0.3">
      <c r="A1168" s="6">
        <f>test_9</f>
        <v>0</v>
      </c>
    </row>
    <row r="1169" spans="1:1" x14ac:dyDescent="0.3">
      <c r="A1169" s="6" t="e">
        <f>tmpl_claim_details</f>
        <v>#VALUE!</v>
      </c>
    </row>
    <row r="1170" spans="1:1" x14ac:dyDescent="0.3">
      <c r="A1170" s="6" t="e">
        <f>tmpl_trade_category_details</f>
        <v>#VALUE!</v>
      </c>
    </row>
    <row r="1171" spans="1:1" x14ac:dyDescent="0.3">
      <c r="A1171" s="6">
        <f ca="1">total_disc</f>
        <v>0</v>
      </c>
    </row>
    <row r="1172" spans="1:1" x14ac:dyDescent="0.3">
      <c r="A1172" s="6">
        <f>total_disc_uw</f>
        <v>0</v>
      </c>
    </row>
    <row r="1173" spans="1:1" x14ac:dyDescent="0.3">
      <c r="A1173" s="6">
        <f ca="1">total_loading</f>
        <v>0</v>
      </c>
    </row>
    <row r="1174" spans="1:1" x14ac:dyDescent="0.3">
      <c r="A1174" s="6">
        <f>total_loading_uw</f>
        <v>0</v>
      </c>
    </row>
    <row r="1175" spans="1:1" x14ac:dyDescent="0.3">
      <c r="A1175" s="6">
        <f>total_parameter_disc</f>
        <v>0</v>
      </c>
    </row>
    <row r="1176" spans="1:1" x14ac:dyDescent="0.3">
      <c r="A1176" s="6">
        <f>total_parameter_loading</f>
        <v>0</v>
      </c>
    </row>
    <row r="1177" spans="1:1" x14ac:dyDescent="0.3">
      <c r="A1177" s="6">
        <f ca="1">total_premium</f>
        <v>0</v>
      </c>
    </row>
    <row r="1178" spans="1:1" x14ac:dyDescent="0.3">
      <c r="A1178" s="6">
        <f ca="1">total_premium_1</f>
        <v>0</v>
      </c>
    </row>
    <row r="1179" spans="1:1" x14ac:dyDescent="0.3">
      <c r="A1179" s="6">
        <f ca="1">total_premium_10</f>
        <v>0</v>
      </c>
    </row>
    <row r="1180" spans="1:1" x14ac:dyDescent="0.3">
      <c r="A1180" s="6">
        <f ca="1">total_premium_11</f>
        <v>0</v>
      </c>
    </row>
    <row r="1181" spans="1:1" x14ac:dyDescent="0.3">
      <c r="A1181" s="6">
        <f ca="1">total_premium_12</f>
        <v>0</v>
      </c>
    </row>
    <row r="1182" spans="1:1" x14ac:dyDescent="0.3">
      <c r="A1182" s="6">
        <f ca="1">total_premium_13</f>
        <v>0</v>
      </c>
    </row>
    <row r="1183" spans="1:1" x14ac:dyDescent="0.3">
      <c r="A1183" s="6">
        <f ca="1">total_premium_14</f>
        <v>0</v>
      </c>
    </row>
    <row r="1184" spans="1:1" x14ac:dyDescent="0.3">
      <c r="A1184" s="6">
        <f ca="1">total_premium_15</f>
        <v>0</v>
      </c>
    </row>
    <row r="1185" spans="1:1" x14ac:dyDescent="0.3">
      <c r="A1185" s="6">
        <f ca="1">total_premium_16</f>
        <v>0</v>
      </c>
    </row>
    <row r="1186" spans="1:1" x14ac:dyDescent="0.3">
      <c r="A1186" s="6">
        <f ca="1">total_premium_17</f>
        <v>0</v>
      </c>
    </row>
    <row r="1187" spans="1:1" x14ac:dyDescent="0.3">
      <c r="A1187" s="6">
        <f ca="1">total_premium_18</f>
        <v>0</v>
      </c>
    </row>
    <row r="1188" spans="1:1" x14ac:dyDescent="0.3">
      <c r="A1188" s="6">
        <f ca="1">total_premium_19</f>
        <v>0</v>
      </c>
    </row>
    <row r="1189" spans="1:1" x14ac:dyDescent="0.3">
      <c r="A1189" s="6">
        <f ca="1">total_premium_2</f>
        <v>0</v>
      </c>
    </row>
    <row r="1190" spans="1:1" x14ac:dyDescent="0.3">
      <c r="A1190" s="6">
        <f ca="1">total_premium_20</f>
        <v>0</v>
      </c>
    </row>
    <row r="1191" spans="1:1" x14ac:dyDescent="0.3">
      <c r="A1191" s="6">
        <f ca="1">total_premium_21</f>
        <v>0</v>
      </c>
    </row>
    <row r="1192" spans="1:1" x14ac:dyDescent="0.3">
      <c r="A1192" s="6">
        <f ca="1">total_premium_22</f>
        <v>0</v>
      </c>
    </row>
    <row r="1193" spans="1:1" x14ac:dyDescent="0.3">
      <c r="A1193" s="6">
        <f ca="1">total_premium_23</f>
        <v>0</v>
      </c>
    </row>
    <row r="1194" spans="1:1" x14ac:dyDescent="0.3">
      <c r="A1194" s="6">
        <f ca="1">total_premium_24</f>
        <v>0</v>
      </c>
    </row>
    <row r="1195" spans="1:1" x14ac:dyDescent="0.3">
      <c r="A1195" s="6">
        <f ca="1">total_premium_25</f>
        <v>0</v>
      </c>
    </row>
    <row r="1196" spans="1:1" x14ac:dyDescent="0.3">
      <c r="A1196" s="6">
        <f ca="1">total_premium_26</f>
        <v>0</v>
      </c>
    </row>
    <row r="1197" spans="1:1" x14ac:dyDescent="0.3">
      <c r="A1197" s="6">
        <f ca="1">total_premium_27</f>
        <v>0</v>
      </c>
    </row>
    <row r="1198" spans="1:1" x14ac:dyDescent="0.3">
      <c r="A1198" s="6">
        <f ca="1">total_premium_28</f>
        <v>0</v>
      </c>
    </row>
    <row r="1199" spans="1:1" x14ac:dyDescent="0.3">
      <c r="A1199" s="6">
        <f ca="1">total_premium_29</f>
        <v>0</v>
      </c>
    </row>
    <row r="1200" spans="1:1" x14ac:dyDescent="0.3">
      <c r="A1200" s="6">
        <f ca="1">total_premium_3</f>
        <v>0</v>
      </c>
    </row>
    <row r="1201" spans="1:1" x14ac:dyDescent="0.3">
      <c r="A1201" s="6">
        <f ca="1">total_premium_30</f>
        <v>0</v>
      </c>
    </row>
    <row r="1202" spans="1:1" x14ac:dyDescent="0.3">
      <c r="A1202" s="6">
        <f ca="1">total_premium_31</f>
        <v>0</v>
      </c>
    </row>
    <row r="1203" spans="1:1" x14ac:dyDescent="0.3">
      <c r="A1203" s="6">
        <f ca="1">total_premium_32</f>
        <v>0</v>
      </c>
    </row>
    <row r="1204" spans="1:1" x14ac:dyDescent="0.3">
      <c r="A1204" s="6">
        <f ca="1">total_premium_33</f>
        <v>0</v>
      </c>
    </row>
    <row r="1205" spans="1:1" x14ac:dyDescent="0.3">
      <c r="A1205" s="6">
        <f ca="1">total_premium_34</f>
        <v>0</v>
      </c>
    </row>
    <row r="1206" spans="1:1" x14ac:dyDescent="0.3">
      <c r="A1206" s="6">
        <f ca="1">total_premium_35</f>
        <v>0</v>
      </c>
    </row>
    <row r="1207" spans="1:1" x14ac:dyDescent="0.3">
      <c r="A1207" s="6">
        <f ca="1">total_premium_36</f>
        <v>0</v>
      </c>
    </row>
    <row r="1208" spans="1:1" x14ac:dyDescent="0.3">
      <c r="A1208" s="6">
        <f ca="1">total_premium_37</f>
        <v>0</v>
      </c>
    </row>
    <row r="1209" spans="1:1" x14ac:dyDescent="0.3">
      <c r="A1209" s="6">
        <f ca="1">total_premium_38</f>
        <v>0</v>
      </c>
    </row>
    <row r="1210" spans="1:1" x14ac:dyDescent="0.3">
      <c r="A1210" s="6">
        <f ca="1">total_premium_39</f>
        <v>0</v>
      </c>
    </row>
    <row r="1211" spans="1:1" x14ac:dyDescent="0.3">
      <c r="A1211" s="6">
        <f ca="1">total_premium_4</f>
        <v>0</v>
      </c>
    </row>
    <row r="1212" spans="1:1" x14ac:dyDescent="0.3">
      <c r="A1212" s="6">
        <f ca="1">total_premium_40</f>
        <v>0</v>
      </c>
    </row>
    <row r="1213" spans="1:1" x14ac:dyDescent="0.3">
      <c r="A1213" s="6">
        <f ca="1">total_premium_41</f>
        <v>0</v>
      </c>
    </row>
    <row r="1214" spans="1:1" x14ac:dyDescent="0.3">
      <c r="A1214" s="6">
        <f ca="1">total_premium_42</f>
        <v>0</v>
      </c>
    </row>
    <row r="1215" spans="1:1" x14ac:dyDescent="0.3">
      <c r="A1215" s="6">
        <f ca="1">total_premium_43</f>
        <v>0</v>
      </c>
    </row>
    <row r="1216" spans="1:1" x14ac:dyDescent="0.3">
      <c r="A1216" s="6">
        <f ca="1">total_premium_44</f>
        <v>0</v>
      </c>
    </row>
    <row r="1217" spans="1:1" x14ac:dyDescent="0.3">
      <c r="A1217" s="6">
        <f ca="1">total_premium_45</f>
        <v>0</v>
      </c>
    </row>
    <row r="1218" spans="1:1" x14ac:dyDescent="0.3">
      <c r="A1218" s="6">
        <f ca="1">total_premium_46</f>
        <v>0</v>
      </c>
    </row>
    <row r="1219" spans="1:1" x14ac:dyDescent="0.3">
      <c r="A1219" s="6">
        <f ca="1">total_premium_47</f>
        <v>0</v>
      </c>
    </row>
    <row r="1220" spans="1:1" x14ac:dyDescent="0.3">
      <c r="A1220" s="6">
        <f ca="1">total_premium_48</f>
        <v>0</v>
      </c>
    </row>
    <row r="1221" spans="1:1" x14ac:dyDescent="0.3">
      <c r="A1221" s="6">
        <f ca="1">total_premium_49</f>
        <v>0</v>
      </c>
    </row>
    <row r="1222" spans="1:1" x14ac:dyDescent="0.3">
      <c r="A1222" s="6">
        <f ca="1">total_premium_5</f>
        <v>0</v>
      </c>
    </row>
    <row r="1223" spans="1:1" x14ac:dyDescent="0.3">
      <c r="A1223" s="6">
        <f ca="1">total_premium_50</f>
        <v>0</v>
      </c>
    </row>
    <row r="1224" spans="1:1" x14ac:dyDescent="0.3">
      <c r="A1224" s="6">
        <f ca="1">total_premium_6</f>
        <v>0</v>
      </c>
    </row>
    <row r="1225" spans="1:1" x14ac:dyDescent="0.3">
      <c r="A1225" s="6">
        <f ca="1">total_premium_7</f>
        <v>0</v>
      </c>
    </row>
    <row r="1226" spans="1:1" x14ac:dyDescent="0.3">
      <c r="A1226" s="6">
        <f ca="1">total_premium_8</f>
        <v>0</v>
      </c>
    </row>
    <row r="1227" spans="1:1" x14ac:dyDescent="0.3">
      <c r="A1227" s="6">
        <f ca="1">total_premium_9</f>
        <v>0</v>
      </c>
    </row>
    <row r="1228" spans="1:1" x14ac:dyDescent="0.3">
      <c r="A1228" s="6">
        <f>total_wages_1</f>
        <v>0</v>
      </c>
    </row>
    <row r="1229" spans="1:1" x14ac:dyDescent="0.3">
      <c r="A1229" s="6">
        <f>total_wages_10</f>
        <v>0</v>
      </c>
    </row>
    <row r="1230" spans="1:1" x14ac:dyDescent="0.3">
      <c r="A1230" s="6">
        <f>total_wages_11</f>
        <v>0</v>
      </c>
    </row>
    <row r="1231" spans="1:1" x14ac:dyDescent="0.3">
      <c r="A1231" s="6">
        <f>total_wages_12</f>
        <v>0</v>
      </c>
    </row>
    <row r="1232" spans="1:1" x14ac:dyDescent="0.3">
      <c r="A1232" s="6">
        <f>total_wages_13</f>
        <v>0</v>
      </c>
    </row>
    <row r="1233" spans="1:1" x14ac:dyDescent="0.3">
      <c r="A1233" s="6">
        <f>total_wages_14</f>
        <v>0</v>
      </c>
    </row>
    <row r="1234" spans="1:1" x14ac:dyDescent="0.3">
      <c r="A1234" s="6">
        <f>total_wages_15</f>
        <v>0</v>
      </c>
    </row>
    <row r="1235" spans="1:1" x14ac:dyDescent="0.3">
      <c r="A1235" s="6">
        <f>total_wages_16</f>
        <v>0</v>
      </c>
    </row>
    <row r="1236" spans="1:1" x14ac:dyDescent="0.3">
      <c r="A1236" s="6">
        <f>total_wages_17</f>
        <v>0</v>
      </c>
    </row>
    <row r="1237" spans="1:1" x14ac:dyDescent="0.3">
      <c r="A1237" s="6">
        <f>total_wages_18</f>
        <v>0</v>
      </c>
    </row>
    <row r="1238" spans="1:1" x14ac:dyDescent="0.3">
      <c r="A1238" s="6">
        <f>total_wages_19</f>
        <v>0</v>
      </c>
    </row>
    <row r="1239" spans="1:1" x14ac:dyDescent="0.3">
      <c r="A1239" s="6">
        <f>total_wages_2</f>
        <v>0</v>
      </c>
    </row>
    <row r="1240" spans="1:1" x14ac:dyDescent="0.3">
      <c r="A1240" s="6">
        <f>total_wages_20</f>
        <v>0</v>
      </c>
    </row>
    <row r="1241" spans="1:1" x14ac:dyDescent="0.3">
      <c r="A1241" s="6">
        <f>total_wages_21</f>
        <v>0</v>
      </c>
    </row>
    <row r="1242" spans="1:1" x14ac:dyDescent="0.3">
      <c r="A1242" s="6">
        <f>total_wages_22</f>
        <v>0</v>
      </c>
    </row>
    <row r="1243" spans="1:1" x14ac:dyDescent="0.3">
      <c r="A1243" s="6">
        <f>total_wages_23</f>
        <v>0</v>
      </c>
    </row>
    <row r="1244" spans="1:1" x14ac:dyDescent="0.3">
      <c r="A1244" s="6">
        <f>total_wages_24</f>
        <v>0</v>
      </c>
    </row>
    <row r="1245" spans="1:1" x14ac:dyDescent="0.3">
      <c r="A1245" s="6">
        <f>total_wages_25</f>
        <v>0</v>
      </c>
    </row>
    <row r="1246" spans="1:1" x14ac:dyDescent="0.3">
      <c r="A1246" s="6">
        <f>total_wages_26</f>
        <v>0</v>
      </c>
    </row>
    <row r="1247" spans="1:1" x14ac:dyDescent="0.3">
      <c r="A1247" s="6">
        <f>total_wages_27</f>
        <v>0</v>
      </c>
    </row>
    <row r="1248" spans="1:1" x14ac:dyDescent="0.3">
      <c r="A1248" s="6">
        <f>total_wages_28</f>
        <v>0</v>
      </c>
    </row>
    <row r="1249" spans="1:1" x14ac:dyDescent="0.3">
      <c r="A1249" s="6">
        <f>total_wages_29</f>
        <v>0</v>
      </c>
    </row>
    <row r="1250" spans="1:1" x14ac:dyDescent="0.3">
      <c r="A1250" s="6">
        <f>total_wages_3</f>
        <v>0</v>
      </c>
    </row>
    <row r="1251" spans="1:1" x14ac:dyDescent="0.3">
      <c r="A1251" s="6">
        <f>total_wages_30</f>
        <v>0</v>
      </c>
    </row>
    <row r="1252" spans="1:1" x14ac:dyDescent="0.3">
      <c r="A1252" s="6">
        <f>total_wages_31</f>
        <v>0</v>
      </c>
    </row>
    <row r="1253" spans="1:1" x14ac:dyDescent="0.3">
      <c r="A1253" s="6">
        <f>total_wages_32</f>
        <v>0</v>
      </c>
    </row>
    <row r="1254" spans="1:1" x14ac:dyDescent="0.3">
      <c r="A1254" s="6">
        <f>total_wages_33</f>
        <v>0</v>
      </c>
    </row>
    <row r="1255" spans="1:1" x14ac:dyDescent="0.3">
      <c r="A1255" s="6">
        <f>total_wages_34</f>
        <v>0</v>
      </c>
    </row>
    <row r="1256" spans="1:1" x14ac:dyDescent="0.3">
      <c r="A1256" s="6">
        <f>total_wages_35</f>
        <v>0</v>
      </c>
    </row>
    <row r="1257" spans="1:1" x14ac:dyDescent="0.3">
      <c r="A1257" s="6">
        <f>total_wages_36</f>
        <v>0</v>
      </c>
    </row>
    <row r="1258" spans="1:1" x14ac:dyDescent="0.3">
      <c r="A1258" s="6">
        <f>total_wages_37</f>
        <v>0</v>
      </c>
    </row>
    <row r="1259" spans="1:1" x14ac:dyDescent="0.3">
      <c r="A1259" s="6">
        <f>total_wages_38</f>
        <v>0</v>
      </c>
    </row>
    <row r="1260" spans="1:1" x14ac:dyDescent="0.3">
      <c r="A1260" s="6">
        <f>total_wages_39</f>
        <v>0</v>
      </c>
    </row>
    <row r="1261" spans="1:1" x14ac:dyDescent="0.3">
      <c r="A1261" s="6">
        <f>total_wages_4</f>
        <v>0</v>
      </c>
    </row>
    <row r="1262" spans="1:1" x14ac:dyDescent="0.3">
      <c r="A1262" s="6">
        <f>total_wages_40</f>
        <v>0</v>
      </c>
    </row>
    <row r="1263" spans="1:1" x14ac:dyDescent="0.3">
      <c r="A1263" s="6">
        <f>total_wages_41</f>
        <v>0</v>
      </c>
    </row>
    <row r="1264" spans="1:1" x14ac:dyDescent="0.3">
      <c r="A1264" s="6">
        <f>total_wages_42</f>
        <v>0</v>
      </c>
    </row>
    <row r="1265" spans="1:1" x14ac:dyDescent="0.3">
      <c r="A1265" s="6">
        <f>total_wages_43</f>
        <v>0</v>
      </c>
    </row>
    <row r="1266" spans="1:1" x14ac:dyDescent="0.3">
      <c r="A1266" s="6">
        <f>total_wages_44</f>
        <v>0</v>
      </c>
    </row>
    <row r="1267" spans="1:1" x14ac:dyDescent="0.3">
      <c r="A1267" s="6">
        <f>total_wages_45</f>
        <v>0</v>
      </c>
    </row>
    <row r="1268" spans="1:1" x14ac:dyDescent="0.3">
      <c r="A1268" s="6">
        <f>total_wages_46</f>
        <v>0</v>
      </c>
    </row>
    <row r="1269" spans="1:1" x14ac:dyDescent="0.3">
      <c r="A1269" s="6">
        <f>total_wages_47</f>
        <v>0</v>
      </c>
    </row>
    <row r="1270" spans="1:1" x14ac:dyDescent="0.3">
      <c r="A1270" s="6">
        <f>total_wages_48</f>
        <v>0</v>
      </c>
    </row>
    <row r="1271" spans="1:1" x14ac:dyDescent="0.3">
      <c r="A1271" s="6">
        <f>total_wages_49</f>
        <v>0</v>
      </c>
    </row>
    <row r="1272" spans="1:1" x14ac:dyDescent="0.3">
      <c r="A1272" s="6">
        <f>total_wages_5</f>
        <v>0</v>
      </c>
    </row>
    <row r="1273" spans="1:1" x14ac:dyDescent="0.3">
      <c r="A1273" s="6">
        <f>total_wages_50</f>
        <v>0</v>
      </c>
    </row>
    <row r="1274" spans="1:1" x14ac:dyDescent="0.3">
      <c r="A1274" s="6">
        <f>total_wages_6</f>
        <v>0</v>
      </c>
    </row>
    <row r="1275" spans="1:1" x14ac:dyDescent="0.3">
      <c r="A1275" s="6">
        <f>total_wages_7</f>
        <v>0</v>
      </c>
    </row>
    <row r="1276" spans="1:1" x14ac:dyDescent="0.3">
      <c r="A1276" s="6">
        <f>total_wages_8</f>
        <v>0</v>
      </c>
    </row>
    <row r="1277" spans="1:1" x14ac:dyDescent="0.3">
      <c r="A1277" s="6">
        <f>total_wages_9</f>
        <v>0</v>
      </c>
    </row>
    <row r="1278" spans="1:1" x14ac:dyDescent="0.3">
      <c r="A1278" s="6">
        <f ca="1">total_worker_rate</f>
        <v>0</v>
      </c>
    </row>
    <row r="1279" spans="1:1" x14ac:dyDescent="0.3">
      <c r="A1279" s="6">
        <f>total_workers</f>
        <v>0</v>
      </c>
    </row>
    <row r="1280" spans="1:1" x14ac:dyDescent="0.3">
      <c r="A1280" s="6" t="e">
        <f>trade_categ_list_master</f>
        <v>#VALUE!</v>
      </c>
    </row>
    <row r="1281" spans="1:1" x14ac:dyDescent="0.3">
      <c r="A1281" s="6" t="str">
        <f>trade_category_code_1</f>
        <v/>
      </c>
    </row>
    <row r="1282" spans="1:1" x14ac:dyDescent="0.3">
      <c r="A1282" s="6" t="str">
        <f>trade_category_code_10</f>
        <v/>
      </c>
    </row>
    <row r="1283" spans="1:1" x14ac:dyDescent="0.3">
      <c r="A1283" s="6" t="str">
        <f>trade_category_code_11</f>
        <v/>
      </c>
    </row>
    <row r="1284" spans="1:1" x14ac:dyDescent="0.3">
      <c r="A1284" s="6" t="str">
        <f>trade_category_code_12</f>
        <v/>
      </c>
    </row>
    <row r="1285" spans="1:1" x14ac:dyDescent="0.3">
      <c r="A1285" s="6" t="str">
        <f>trade_category_code_13</f>
        <v/>
      </c>
    </row>
    <row r="1286" spans="1:1" x14ac:dyDescent="0.3">
      <c r="A1286" s="6" t="str">
        <f>trade_category_code_14</f>
        <v/>
      </c>
    </row>
    <row r="1287" spans="1:1" x14ac:dyDescent="0.3">
      <c r="A1287" s="6" t="str">
        <f>trade_category_code_15</f>
        <v/>
      </c>
    </row>
    <row r="1288" spans="1:1" x14ac:dyDescent="0.3">
      <c r="A1288" s="6" t="str">
        <f>trade_category_code_16</f>
        <v/>
      </c>
    </row>
    <row r="1289" spans="1:1" x14ac:dyDescent="0.3">
      <c r="A1289" s="6" t="str">
        <f>trade_category_code_17</f>
        <v/>
      </c>
    </row>
    <row r="1290" spans="1:1" x14ac:dyDescent="0.3">
      <c r="A1290" s="6" t="str">
        <f>trade_category_code_18</f>
        <v/>
      </c>
    </row>
    <row r="1291" spans="1:1" x14ac:dyDescent="0.3">
      <c r="A1291" s="6" t="str">
        <f>trade_category_code_19</f>
        <v/>
      </c>
    </row>
    <row r="1292" spans="1:1" x14ac:dyDescent="0.3">
      <c r="A1292" s="6" t="str">
        <f>trade_category_code_2</f>
        <v/>
      </c>
    </row>
    <row r="1293" spans="1:1" x14ac:dyDescent="0.3">
      <c r="A1293" s="6" t="str">
        <f>trade_category_code_20</f>
        <v/>
      </c>
    </row>
    <row r="1294" spans="1:1" x14ac:dyDescent="0.3">
      <c r="A1294" s="6" t="str">
        <f>trade_category_code_21</f>
        <v/>
      </c>
    </row>
    <row r="1295" spans="1:1" x14ac:dyDescent="0.3">
      <c r="A1295" s="6" t="str">
        <f>trade_category_code_22</f>
        <v/>
      </c>
    </row>
    <row r="1296" spans="1:1" x14ac:dyDescent="0.3">
      <c r="A1296" s="6" t="str">
        <f>trade_category_code_23</f>
        <v/>
      </c>
    </row>
    <row r="1297" spans="1:1" x14ac:dyDescent="0.3">
      <c r="A1297" s="6" t="str">
        <f>trade_category_code_24</f>
        <v/>
      </c>
    </row>
    <row r="1298" spans="1:1" x14ac:dyDescent="0.3">
      <c r="A1298" s="6" t="str">
        <f>trade_category_code_25</f>
        <v/>
      </c>
    </row>
    <row r="1299" spans="1:1" x14ac:dyDescent="0.3">
      <c r="A1299" s="6" t="str">
        <f>trade_category_code_26</f>
        <v/>
      </c>
    </row>
    <row r="1300" spans="1:1" x14ac:dyDescent="0.3">
      <c r="A1300" s="6" t="str">
        <f>trade_category_code_27</f>
        <v/>
      </c>
    </row>
    <row r="1301" spans="1:1" x14ac:dyDescent="0.3">
      <c r="A1301" s="6" t="str">
        <f>trade_category_code_28</f>
        <v/>
      </c>
    </row>
    <row r="1302" spans="1:1" x14ac:dyDescent="0.3">
      <c r="A1302" s="6" t="str">
        <f>trade_category_code_29</f>
        <v/>
      </c>
    </row>
    <row r="1303" spans="1:1" x14ac:dyDescent="0.3">
      <c r="A1303" s="6" t="str">
        <f>trade_category_code_3</f>
        <v/>
      </c>
    </row>
    <row r="1304" spans="1:1" x14ac:dyDescent="0.3">
      <c r="A1304" s="6" t="str">
        <f>trade_category_code_30</f>
        <v/>
      </c>
    </row>
    <row r="1305" spans="1:1" x14ac:dyDescent="0.3">
      <c r="A1305" s="6" t="str">
        <f>trade_category_code_31</f>
        <v/>
      </c>
    </row>
    <row r="1306" spans="1:1" x14ac:dyDescent="0.3">
      <c r="A1306" s="6" t="str">
        <f>trade_category_code_32</f>
        <v/>
      </c>
    </row>
    <row r="1307" spans="1:1" x14ac:dyDescent="0.3">
      <c r="A1307" s="6" t="str">
        <f>trade_category_code_33</f>
        <v/>
      </c>
    </row>
    <row r="1308" spans="1:1" x14ac:dyDescent="0.3">
      <c r="A1308" s="6" t="str">
        <f>trade_category_code_34</f>
        <v/>
      </c>
    </row>
    <row r="1309" spans="1:1" x14ac:dyDescent="0.3">
      <c r="A1309" s="6" t="str">
        <f>trade_category_code_35</f>
        <v/>
      </c>
    </row>
    <row r="1310" spans="1:1" x14ac:dyDescent="0.3">
      <c r="A1310" s="6" t="str">
        <f>trade_category_code_36</f>
        <v/>
      </c>
    </row>
    <row r="1311" spans="1:1" x14ac:dyDescent="0.3">
      <c r="A1311" s="6" t="str">
        <f>trade_category_code_37</f>
        <v/>
      </c>
    </row>
    <row r="1312" spans="1:1" x14ac:dyDescent="0.3">
      <c r="A1312" s="6" t="str">
        <f>trade_category_code_38</f>
        <v/>
      </c>
    </row>
    <row r="1313" spans="1:1" x14ac:dyDescent="0.3">
      <c r="A1313" s="6" t="str">
        <f>trade_category_code_39</f>
        <v/>
      </c>
    </row>
    <row r="1314" spans="1:1" x14ac:dyDescent="0.3">
      <c r="A1314" s="6" t="str">
        <f>trade_category_code_4</f>
        <v/>
      </c>
    </row>
    <row r="1315" spans="1:1" x14ac:dyDescent="0.3">
      <c r="A1315" s="6" t="str">
        <f>trade_category_code_40</f>
        <v/>
      </c>
    </row>
    <row r="1316" spans="1:1" x14ac:dyDescent="0.3">
      <c r="A1316" s="6" t="str">
        <f>trade_category_code_41</f>
        <v/>
      </c>
    </row>
    <row r="1317" spans="1:1" x14ac:dyDescent="0.3">
      <c r="A1317" s="6" t="str">
        <f>trade_category_code_42</f>
        <v/>
      </c>
    </row>
    <row r="1318" spans="1:1" x14ac:dyDescent="0.3">
      <c r="A1318" s="6" t="str">
        <f>trade_category_code_43</f>
        <v/>
      </c>
    </row>
    <row r="1319" spans="1:1" x14ac:dyDescent="0.3">
      <c r="A1319" s="6" t="str">
        <f>trade_category_code_44</f>
        <v/>
      </c>
    </row>
    <row r="1320" spans="1:1" x14ac:dyDescent="0.3">
      <c r="A1320" s="6" t="str">
        <f>trade_category_code_45</f>
        <v/>
      </c>
    </row>
    <row r="1321" spans="1:1" x14ac:dyDescent="0.3">
      <c r="A1321" s="6" t="str">
        <f>trade_category_code_46</f>
        <v/>
      </c>
    </row>
    <row r="1322" spans="1:1" x14ac:dyDescent="0.3">
      <c r="A1322" s="6" t="str">
        <f>trade_category_code_47</f>
        <v/>
      </c>
    </row>
    <row r="1323" spans="1:1" x14ac:dyDescent="0.3">
      <c r="A1323" s="6" t="str">
        <f>trade_category_code_48</f>
        <v/>
      </c>
    </row>
    <row r="1324" spans="1:1" x14ac:dyDescent="0.3">
      <c r="A1324" s="6" t="str">
        <f>trade_category_code_49</f>
        <v/>
      </c>
    </row>
    <row r="1325" spans="1:1" x14ac:dyDescent="0.3">
      <c r="A1325" s="6" t="str">
        <f>trade_category_code_5</f>
        <v/>
      </c>
    </row>
    <row r="1326" spans="1:1" x14ac:dyDescent="0.3">
      <c r="A1326" s="6" t="str">
        <f>trade_category_code_50</f>
        <v/>
      </c>
    </row>
    <row r="1327" spans="1:1" x14ac:dyDescent="0.3">
      <c r="A1327" s="6" t="str">
        <f>trade_category_code_6</f>
        <v/>
      </c>
    </row>
    <row r="1328" spans="1:1" x14ac:dyDescent="0.3">
      <c r="A1328" s="6" t="str">
        <f>trade_category_code_7</f>
        <v/>
      </c>
    </row>
    <row r="1329" spans="1:1" x14ac:dyDescent="0.3">
      <c r="A1329" s="6" t="str">
        <f>trade_category_code_8</f>
        <v/>
      </c>
    </row>
    <row r="1330" spans="1:1" x14ac:dyDescent="0.3">
      <c r="A1330" s="6" t="str">
        <f>trade_category_code_9</f>
        <v/>
      </c>
    </row>
    <row r="1331" spans="1:1" x14ac:dyDescent="0.3">
      <c r="A1331" s="6" t="str">
        <f>trade_category_grouping_tmpl</f>
        <v/>
      </c>
    </row>
    <row r="1332" spans="1:1" x14ac:dyDescent="0.3">
      <c r="A1332" s="6" t="str">
        <f>trade_category_tmpl</f>
        <v>Brick and Tile Makers -Where any machinery is used; excl. clay or blaes getting below 6 metres</v>
      </c>
    </row>
    <row r="1333" spans="1:1" x14ac:dyDescent="0.3">
      <c r="A1333" s="6">
        <f>trade_catg_1</f>
        <v>0</v>
      </c>
    </row>
    <row r="1334" spans="1:1" x14ac:dyDescent="0.3">
      <c r="A1334" s="6">
        <f>trade_catg_10</f>
        <v>0</v>
      </c>
    </row>
    <row r="1335" spans="1:1" x14ac:dyDescent="0.3">
      <c r="A1335" s="6">
        <f>trade_catg_2</f>
        <v>0</v>
      </c>
    </row>
    <row r="1336" spans="1:1" x14ac:dyDescent="0.3">
      <c r="A1336" s="6">
        <f>trade_catg_3</f>
        <v>0</v>
      </c>
    </row>
    <row r="1337" spans="1:1" x14ac:dyDescent="0.3">
      <c r="A1337" s="6">
        <f>trade_catg_4</f>
        <v>0</v>
      </c>
    </row>
    <row r="1338" spans="1:1" x14ac:dyDescent="0.3">
      <c r="A1338" s="6">
        <f>trade_catg_5</f>
        <v>0</v>
      </c>
    </row>
    <row r="1339" spans="1:1" x14ac:dyDescent="0.3">
      <c r="A1339" s="6">
        <f>trade_catg_6</f>
        <v>0</v>
      </c>
    </row>
    <row r="1340" spans="1:1" x14ac:dyDescent="0.3">
      <c r="A1340" s="6">
        <f>trade_catg_7</f>
        <v>0</v>
      </c>
    </row>
    <row r="1341" spans="1:1" x14ac:dyDescent="0.3">
      <c r="A1341" s="6">
        <f>trade_catg_8</f>
        <v>0</v>
      </c>
    </row>
    <row r="1342" spans="1:1" x14ac:dyDescent="0.3">
      <c r="A1342" s="6">
        <f>trade_catg_9</f>
        <v>0</v>
      </c>
    </row>
    <row r="1343" spans="1:1" x14ac:dyDescent="0.3">
      <c r="A1343" s="6">
        <f>trade_catg_code_1</f>
        <v>0</v>
      </c>
    </row>
    <row r="1344" spans="1:1" x14ac:dyDescent="0.3">
      <c r="A1344" s="6">
        <f>trade_catg_code_10</f>
        <v>0</v>
      </c>
    </row>
    <row r="1345" spans="1:1" x14ac:dyDescent="0.3">
      <c r="A1345" s="6">
        <f>trade_catg_code_2</f>
        <v>0</v>
      </c>
    </row>
    <row r="1346" spans="1:1" x14ac:dyDescent="0.3">
      <c r="A1346" s="6">
        <f>trade_catg_code_3</f>
        <v>0</v>
      </c>
    </row>
    <row r="1347" spans="1:1" x14ac:dyDescent="0.3">
      <c r="A1347" s="6">
        <f>trade_catg_code_4</f>
        <v>0</v>
      </c>
    </row>
    <row r="1348" spans="1:1" x14ac:dyDescent="0.3">
      <c r="A1348" s="6">
        <f>trade_catg_code_5</f>
        <v>0</v>
      </c>
    </row>
    <row r="1349" spans="1:1" x14ac:dyDescent="0.3">
      <c r="A1349" s="6">
        <f>trade_catg_code_6</f>
        <v>0</v>
      </c>
    </row>
    <row r="1350" spans="1:1" x14ac:dyDescent="0.3">
      <c r="A1350" s="6">
        <f>trade_catg_code_7</f>
        <v>0</v>
      </c>
    </row>
    <row r="1351" spans="1:1" x14ac:dyDescent="0.3">
      <c r="A1351" s="6">
        <f>trade_catg_code_8</f>
        <v>0</v>
      </c>
    </row>
    <row r="1352" spans="1:1" x14ac:dyDescent="0.3">
      <c r="A1352" s="6">
        <f>trade_catg_code_9</f>
        <v>0</v>
      </c>
    </row>
    <row r="1353" spans="1:1" x14ac:dyDescent="0.3">
      <c r="A1353" s="6">
        <f>trade_catg_pup_1</f>
        <v>0</v>
      </c>
    </row>
    <row r="1354" spans="1:1" x14ac:dyDescent="0.3">
      <c r="A1354" s="6">
        <f>trade_catg_pup_10</f>
        <v>0</v>
      </c>
    </row>
    <row r="1355" spans="1:1" x14ac:dyDescent="0.3">
      <c r="A1355" s="6">
        <f>trade_catg_pup_2</f>
        <v>0</v>
      </c>
    </row>
    <row r="1356" spans="1:1" x14ac:dyDescent="0.3">
      <c r="A1356" s="6">
        <f>trade_catg_pup_3</f>
        <v>0</v>
      </c>
    </row>
    <row r="1357" spans="1:1" x14ac:dyDescent="0.3">
      <c r="A1357" s="6">
        <f>trade_catg_pup_4</f>
        <v>0</v>
      </c>
    </row>
    <row r="1358" spans="1:1" x14ac:dyDescent="0.3">
      <c r="A1358" s="6">
        <f>trade_catg_pup_5</f>
        <v>0</v>
      </c>
    </row>
    <row r="1359" spans="1:1" x14ac:dyDescent="0.3">
      <c r="A1359" s="6">
        <f>trade_catg_pup_6</f>
        <v>0</v>
      </c>
    </row>
    <row r="1360" spans="1:1" x14ac:dyDescent="0.3">
      <c r="A1360" s="6">
        <f>trade_catg_pup_7</f>
        <v>0</v>
      </c>
    </row>
    <row r="1361" spans="1:1" x14ac:dyDescent="0.3">
      <c r="A1361" s="6">
        <f>trade_catg_pup_8</f>
        <v>0</v>
      </c>
    </row>
    <row r="1362" spans="1:1" x14ac:dyDescent="0.3">
      <c r="A1362" s="6">
        <f>trade_catg_pup_9</f>
        <v>0</v>
      </c>
    </row>
    <row r="1363" spans="1:1" x14ac:dyDescent="0.3">
      <c r="A1363" s="6" t="e">
        <f>trade_list_master</f>
        <v>#VALUE!</v>
      </c>
    </row>
    <row r="1364" spans="1:1" x14ac:dyDescent="0.3">
      <c r="A1364" s="6" t="e">
        <f>user_type_master</f>
        <v>#VALUE!</v>
      </c>
    </row>
    <row r="1365" spans="1:1" x14ac:dyDescent="0.3">
      <c r="A1365" s="6">
        <f>uw_cont_1</f>
        <v>0</v>
      </c>
    </row>
    <row r="1366" spans="1:1" x14ac:dyDescent="0.3">
      <c r="A1366" s="6">
        <f>uw_cont_2</f>
        <v>0</v>
      </c>
    </row>
    <row r="1367" spans="1:1" x14ac:dyDescent="0.3">
      <c r="A1367" s="6">
        <f>uw_cont_3</f>
        <v>0</v>
      </c>
    </row>
    <row r="1368" spans="1:1" x14ac:dyDescent="0.3">
      <c r="A1368" s="6" t="str">
        <f>uw_error_msg</f>
        <v/>
      </c>
    </row>
    <row r="1369" spans="1:1" x14ac:dyDescent="0.3">
      <c r="A1369" s="6">
        <f ca="1">uw_final_cont_1</f>
        <v>0</v>
      </c>
    </row>
    <row r="1370" spans="1:1" x14ac:dyDescent="0.3">
      <c r="A1370" s="6">
        <f ca="1">uw_final_cont_2</f>
        <v>0</v>
      </c>
    </row>
    <row r="1371" spans="1:1" x14ac:dyDescent="0.3">
      <c r="A1371" s="6">
        <f ca="1">uw_final_cont_3</f>
        <v>0</v>
      </c>
    </row>
    <row r="1372" spans="1:1" x14ac:dyDescent="0.3">
      <c r="A1372" s="6">
        <f>uw_location_percentages</f>
        <v>0</v>
      </c>
    </row>
    <row r="1373" spans="1:1" x14ac:dyDescent="0.3">
      <c r="A1373" s="6">
        <f>uw_location_percentages_number</f>
        <v>0</v>
      </c>
    </row>
    <row r="1374" spans="1:1" x14ac:dyDescent="0.3">
      <c r="A1374" s="6">
        <f>uw_max_discount</f>
        <v>0</v>
      </c>
    </row>
    <row r="1375" spans="1:1" x14ac:dyDescent="0.3">
      <c r="A1375" s="6">
        <f>uw_max_load</f>
        <v>0</v>
      </c>
    </row>
    <row r="1376" spans="1:1" x14ac:dyDescent="0.3">
      <c r="A1376" s="6">
        <f>uw_max_load_check</f>
        <v>0</v>
      </c>
    </row>
    <row r="1377" spans="1:1" x14ac:dyDescent="0.3">
      <c r="A1377" s="6">
        <f>uw_max_loading</f>
        <v>0</v>
      </c>
    </row>
    <row r="1378" spans="1:1" x14ac:dyDescent="0.3">
      <c r="A1378" s="6">
        <f>uw_min_dis</f>
        <v>0</v>
      </c>
    </row>
    <row r="1379" spans="1:1" x14ac:dyDescent="0.3">
      <c r="A1379" s="6">
        <f>uw_min_dis_check</f>
        <v>0</v>
      </c>
    </row>
    <row r="1380" spans="1:1" x14ac:dyDescent="0.3">
      <c r="A1380" s="6">
        <f>uw_remarks</f>
        <v>0</v>
      </c>
    </row>
    <row r="1381" spans="1:1" x14ac:dyDescent="0.3">
      <c r="A1381" s="6" t="str">
        <f>uw_remarks_wording</f>
        <v>Please enter L/D parameters (In case of Approval)</v>
      </c>
    </row>
    <row r="1382" spans="1:1" x14ac:dyDescent="0.3">
      <c r="A1382" s="6">
        <f>wc_dis_adj</f>
        <v>0</v>
      </c>
    </row>
    <row r="1383" spans="1:1" x14ac:dyDescent="0.3">
      <c r="A1383" s="6">
        <f ca="1">wc_dis_ec_prem</f>
        <v>0</v>
      </c>
    </row>
    <row r="1384" spans="1:1" x14ac:dyDescent="0.3">
      <c r="A1384" s="6">
        <f>wc_tariff_calc</f>
        <v>0</v>
      </c>
    </row>
    <row r="1385" spans="1:1" x14ac:dyDescent="0.3">
      <c r="A1385" s="6" t="str">
        <f ca="1">wc_tariff_check</f>
        <v>Statutory Premium : 0 &amp; WC Tariff : 0% &amp; Net Premium : 0</v>
      </c>
    </row>
    <row r="1386" spans="1:1" x14ac:dyDescent="0.3">
      <c r="A1386" s="6">
        <f>wc_total_prem</f>
        <v>0</v>
      </c>
    </row>
    <row r="1387" spans="1:1" x14ac:dyDescent="0.3">
      <c r="A1387" s="6">
        <f>work_catg_1</f>
        <v>0</v>
      </c>
    </row>
    <row r="1388" spans="1:1" x14ac:dyDescent="0.3">
      <c r="A1388" s="6">
        <f>work_catg_10</f>
        <v>0</v>
      </c>
    </row>
    <row r="1389" spans="1:1" x14ac:dyDescent="0.3">
      <c r="A1389" s="6">
        <f>work_catg_11</f>
        <v>0</v>
      </c>
    </row>
    <row r="1390" spans="1:1" x14ac:dyDescent="0.3">
      <c r="A1390" s="6">
        <f>work_catg_12</f>
        <v>0</v>
      </c>
    </row>
    <row r="1391" spans="1:1" x14ac:dyDescent="0.3">
      <c r="A1391" s="6">
        <f>work_catg_13</f>
        <v>0</v>
      </c>
    </row>
    <row r="1392" spans="1:1" x14ac:dyDescent="0.3">
      <c r="A1392" s="6">
        <f>work_catg_14</f>
        <v>0</v>
      </c>
    </row>
    <row r="1393" spans="1:1" x14ac:dyDescent="0.3">
      <c r="A1393" s="6">
        <f>work_catg_15</f>
        <v>0</v>
      </c>
    </row>
    <row r="1394" spans="1:1" x14ac:dyDescent="0.3">
      <c r="A1394" s="6">
        <f>work_catg_16</f>
        <v>0</v>
      </c>
    </row>
    <row r="1395" spans="1:1" x14ac:dyDescent="0.3">
      <c r="A1395" s="6">
        <f>work_catg_17</f>
        <v>0</v>
      </c>
    </row>
    <row r="1396" spans="1:1" x14ac:dyDescent="0.3">
      <c r="A1396" s="6">
        <f>work_catg_18</f>
        <v>0</v>
      </c>
    </row>
    <row r="1397" spans="1:1" x14ac:dyDescent="0.3">
      <c r="A1397" s="6">
        <f>work_catg_19</f>
        <v>0</v>
      </c>
    </row>
    <row r="1398" spans="1:1" x14ac:dyDescent="0.3">
      <c r="A1398" s="6">
        <f>work_catg_2</f>
        <v>0</v>
      </c>
    </row>
    <row r="1399" spans="1:1" x14ac:dyDescent="0.3">
      <c r="A1399" s="6">
        <f>work_catg_20</f>
        <v>0</v>
      </c>
    </row>
    <row r="1400" spans="1:1" x14ac:dyDescent="0.3">
      <c r="A1400" s="6">
        <f>work_catg_21</f>
        <v>0</v>
      </c>
    </row>
    <row r="1401" spans="1:1" x14ac:dyDescent="0.3">
      <c r="A1401" s="6">
        <f>work_catg_22</f>
        <v>0</v>
      </c>
    </row>
    <row r="1402" spans="1:1" x14ac:dyDescent="0.3">
      <c r="A1402" s="6">
        <f>work_catg_23</f>
        <v>0</v>
      </c>
    </row>
    <row r="1403" spans="1:1" x14ac:dyDescent="0.3">
      <c r="A1403" s="6">
        <f>work_catg_24</f>
        <v>0</v>
      </c>
    </row>
    <row r="1404" spans="1:1" x14ac:dyDescent="0.3">
      <c r="A1404" s="6">
        <f>work_catg_25</f>
        <v>0</v>
      </c>
    </row>
    <row r="1405" spans="1:1" x14ac:dyDescent="0.3">
      <c r="A1405" s="6">
        <f>work_catg_26</f>
        <v>0</v>
      </c>
    </row>
    <row r="1406" spans="1:1" x14ac:dyDescent="0.3">
      <c r="A1406" s="6">
        <f>work_catg_27</f>
        <v>0</v>
      </c>
    </row>
    <row r="1407" spans="1:1" x14ac:dyDescent="0.3">
      <c r="A1407" s="6">
        <f>work_catg_28</f>
        <v>0</v>
      </c>
    </row>
    <row r="1408" spans="1:1" x14ac:dyDescent="0.3">
      <c r="A1408" s="6">
        <f>work_catg_29</f>
        <v>0</v>
      </c>
    </row>
    <row r="1409" spans="1:1" x14ac:dyDescent="0.3">
      <c r="A1409" s="6">
        <f>work_catg_3</f>
        <v>0</v>
      </c>
    </row>
    <row r="1410" spans="1:1" x14ac:dyDescent="0.3">
      <c r="A1410" s="6">
        <f>work_catg_30</f>
        <v>0</v>
      </c>
    </row>
    <row r="1411" spans="1:1" x14ac:dyDescent="0.3">
      <c r="A1411" s="6">
        <f>work_catg_31</f>
        <v>0</v>
      </c>
    </row>
    <row r="1412" spans="1:1" x14ac:dyDescent="0.3">
      <c r="A1412" s="6">
        <f>work_catg_32</f>
        <v>0</v>
      </c>
    </row>
    <row r="1413" spans="1:1" x14ac:dyDescent="0.3">
      <c r="A1413" s="6">
        <f>work_catg_33</f>
        <v>0</v>
      </c>
    </row>
    <row r="1414" spans="1:1" x14ac:dyDescent="0.3">
      <c r="A1414" s="6">
        <f>work_catg_34</f>
        <v>0</v>
      </c>
    </row>
    <row r="1415" spans="1:1" x14ac:dyDescent="0.3">
      <c r="A1415" s="6">
        <f>work_catg_35</f>
        <v>0</v>
      </c>
    </row>
    <row r="1416" spans="1:1" x14ac:dyDescent="0.3">
      <c r="A1416" s="6">
        <f>work_catg_36</f>
        <v>0</v>
      </c>
    </row>
    <row r="1417" spans="1:1" x14ac:dyDescent="0.3">
      <c r="A1417" s="6">
        <f>work_catg_37</f>
        <v>0</v>
      </c>
    </row>
    <row r="1418" spans="1:1" x14ac:dyDescent="0.3">
      <c r="A1418" s="6">
        <f>work_catg_38</f>
        <v>0</v>
      </c>
    </row>
    <row r="1419" spans="1:1" x14ac:dyDescent="0.3">
      <c r="A1419" s="6">
        <f>work_catg_39</f>
        <v>0</v>
      </c>
    </row>
    <row r="1420" spans="1:1" x14ac:dyDescent="0.3">
      <c r="A1420" s="6">
        <f>work_catg_4</f>
        <v>0</v>
      </c>
    </row>
    <row r="1421" spans="1:1" x14ac:dyDescent="0.3">
      <c r="A1421" s="6">
        <f>work_catg_40</f>
        <v>0</v>
      </c>
    </row>
    <row r="1422" spans="1:1" x14ac:dyDescent="0.3">
      <c r="A1422" s="6">
        <f>work_catg_41</f>
        <v>0</v>
      </c>
    </row>
    <row r="1423" spans="1:1" x14ac:dyDescent="0.3">
      <c r="A1423" s="6">
        <f>work_catg_42</f>
        <v>0</v>
      </c>
    </row>
    <row r="1424" spans="1:1" x14ac:dyDescent="0.3">
      <c r="A1424" s="6">
        <f>work_catg_43</f>
        <v>0</v>
      </c>
    </row>
    <row r="1425" spans="1:1" x14ac:dyDescent="0.3">
      <c r="A1425" s="6">
        <f>work_catg_44</f>
        <v>0</v>
      </c>
    </row>
    <row r="1426" spans="1:1" x14ac:dyDescent="0.3">
      <c r="A1426" s="6">
        <f>work_catg_45</f>
        <v>0</v>
      </c>
    </row>
    <row r="1427" spans="1:1" x14ac:dyDescent="0.3">
      <c r="A1427" s="6">
        <f>work_catg_46</f>
        <v>0</v>
      </c>
    </row>
    <row r="1428" spans="1:1" x14ac:dyDescent="0.3">
      <c r="A1428" s="6">
        <f>work_catg_47</f>
        <v>0</v>
      </c>
    </row>
    <row r="1429" spans="1:1" x14ac:dyDescent="0.3">
      <c r="A1429" s="6">
        <f>work_catg_48</f>
        <v>0</v>
      </c>
    </row>
    <row r="1430" spans="1:1" x14ac:dyDescent="0.3">
      <c r="A1430" s="6">
        <f>work_catg_49</f>
        <v>0</v>
      </c>
    </row>
    <row r="1431" spans="1:1" x14ac:dyDescent="0.3">
      <c r="A1431" s="6">
        <f>work_catg_5</f>
        <v>0</v>
      </c>
    </row>
    <row r="1432" spans="1:1" x14ac:dyDescent="0.3">
      <c r="A1432" s="6">
        <f>work_catg_50</f>
        <v>0</v>
      </c>
    </row>
    <row r="1433" spans="1:1" x14ac:dyDescent="0.3">
      <c r="A1433" s="6">
        <f>work_catg_6</f>
        <v>0</v>
      </c>
    </row>
    <row r="1434" spans="1:1" x14ac:dyDescent="0.3">
      <c r="A1434" s="6">
        <f>work_catg_7</f>
        <v>0</v>
      </c>
    </row>
    <row r="1435" spans="1:1" x14ac:dyDescent="0.3">
      <c r="A1435" s="6">
        <f>work_catg_8</f>
        <v>0</v>
      </c>
    </row>
    <row r="1436" spans="1:1" x14ac:dyDescent="0.3">
      <c r="A1436" s="6">
        <f>work_catg_9</f>
        <v>0</v>
      </c>
    </row>
    <row r="1437" spans="1:1" x14ac:dyDescent="0.3">
      <c r="A1437" s="6">
        <f>work_nature</f>
        <v>0</v>
      </c>
    </row>
    <row r="1438" spans="1:1" x14ac:dyDescent="0.3">
      <c r="A1438" s="6" t="str">
        <f>work_trade_catg_1</f>
        <v>-</v>
      </c>
    </row>
    <row r="1439" spans="1:1" x14ac:dyDescent="0.3">
      <c r="A1439" s="6" t="str">
        <f>work_trade_catg_10</f>
        <v>-</v>
      </c>
    </row>
    <row r="1440" spans="1:1" x14ac:dyDescent="0.3">
      <c r="A1440" s="6" t="str">
        <f>work_trade_catg_11</f>
        <v>-</v>
      </c>
    </row>
    <row r="1441" spans="1:1" x14ac:dyDescent="0.3">
      <c r="A1441" s="6" t="str">
        <f>work_trade_catg_12</f>
        <v>-</v>
      </c>
    </row>
    <row r="1442" spans="1:1" x14ac:dyDescent="0.3">
      <c r="A1442" s="6" t="str">
        <f>work_trade_catg_13</f>
        <v>-</v>
      </c>
    </row>
    <row r="1443" spans="1:1" x14ac:dyDescent="0.3">
      <c r="A1443" s="6" t="str">
        <f>work_trade_catg_14</f>
        <v>-</v>
      </c>
    </row>
    <row r="1444" spans="1:1" x14ac:dyDescent="0.3">
      <c r="A1444" s="6" t="str">
        <f>work_trade_catg_15</f>
        <v>-</v>
      </c>
    </row>
    <row r="1445" spans="1:1" x14ac:dyDescent="0.3">
      <c r="A1445" s="6" t="str">
        <f>work_trade_catg_16</f>
        <v>-</v>
      </c>
    </row>
    <row r="1446" spans="1:1" x14ac:dyDescent="0.3">
      <c r="A1446" s="6" t="str">
        <f>work_trade_catg_17</f>
        <v>-</v>
      </c>
    </row>
    <row r="1447" spans="1:1" x14ac:dyDescent="0.3">
      <c r="A1447" s="6" t="str">
        <f>work_trade_catg_18</f>
        <v>-</v>
      </c>
    </row>
    <row r="1448" spans="1:1" x14ac:dyDescent="0.3">
      <c r="A1448" s="6" t="str">
        <f>work_trade_catg_19</f>
        <v>-</v>
      </c>
    </row>
    <row r="1449" spans="1:1" x14ac:dyDescent="0.3">
      <c r="A1449" s="6" t="str">
        <f>work_trade_catg_2</f>
        <v>-</v>
      </c>
    </row>
    <row r="1450" spans="1:1" x14ac:dyDescent="0.3">
      <c r="A1450" s="6" t="str">
        <f>work_trade_catg_20</f>
        <v>-</v>
      </c>
    </row>
    <row r="1451" spans="1:1" x14ac:dyDescent="0.3">
      <c r="A1451" s="6" t="str">
        <f>work_trade_catg_21</f>
        <v>-</v>
      </c>
    </row>
    <row r="1452" spans="1:1" x14ac:dyDescent="0.3">
      <c r="A1452" s="6" t="str">
        <f>work_trade_catg_22</f>
        <v>-</v>
      </c>
    </row>
    <row r="1453" spans="1:1" x14ac:dyDescent="0.3">
      <c r="A1453" s="6" t="str">
        <f>work_trade_catg_23</f>
        <v>-</v>
      </c>
    </row>
    <row r="1454" spans="1:1" x14ac:dyDescent="0.3">
      <c r="A1454" s="6" t="str">
        <f>work_trade_catg_24</f>
        <v>-</v>
      </c>
    </row>
    <row r="1455" spans="1:1" x14ac:dyDescent="0.3">
      <c r="A1455" s="6" t="str">
        <f>work_trade_catg_25</f>
        <v>-</v>
      </c>
    </row>
    <row r="1456" spans="1:1" x14ac:dyDescent="0.3">
      <c r="A1456" s="6" t="str">
        <f>work_trade_catg_26</f>
        <v>-</v>
      </c>
    </row>
    <row r="1457" spans="1:1" x14ac:dyDescent="0.3">
      <c r="A1457" s="6" t="str">
        <f>work_trade_catg_27</f>
        <v>-</v>
      </c>
    </row>
    <row r="1458" spans="1:1" x14ac:dyDescent="0.3">
      <c r="A1458" s="6" t="str">
        <f>work_trade_catg_28</f>
        <v>-</v>
      </c>
    </row>
    <row r="1459" spans="1:1" x14ac:dyDescent="0.3">
      <c r="A1459" s="6" t="str">
        <f>work_trade_catg_29</f>
        <v>-</v>
      </c>
    </row>
    <row r="1460" spans="1:1" x14ac:dyDescent="0.3">
      <c r="A1460" s="6" t="str">
        <f>work_trade_catg_3</f>
        <v>-</v>
      </c>
    </row>
    <row r="1461" spans="1:1" x14ac:dyDescent="0.3">
      <c r="A1461" s="6" t="str">
        <f>work_trade_catg_30</f>
        <v>-</v>
      </c>
    </row>
    <row r="1462" spans="1:1" x14ac:dyDescent="0.3">
      <c r="A1462" s="6" t="str">
        <f>work_trade_catg_31</f>
        <v>-</v>
      </c>
    </row>
    <row r="1463" spans="1:1" x14ac:dyDescent="0.3">
      <c r="A1463" s="6" t="str">
        <f>work_trade_catg_32</f>
        <v>-</v>
      </c>
    </row>
    <row r="1464" spans="1:1" x14ac:dyDescent="0.3">
      <c r="A1464" s="6" t="str">
        <f>work_trade_catg_33</f>
        <v>-</v>
      </c>
    </row>
    <row r="1465" spans="1:1" x14ac:dyDescent="0.3">
      <c r="A1465" s="6" t="str">
        <f>work_trade_catg_34</f>
        <v>-</v>
      </c>
    </row>
    <row r="1466" spans="1:1" x14ac:dyDescent="0.3">
      <c r="A1466" s="6" t="str">
        <f>work_trade_catg_35</f>
        <v>-</v>
      </c>
    </row>
    <row r="1467" spans="1:1" x14ac:dyDescent="0.3">
      <c r="A1467" s="6" t="str">
        <f>work_trade_catg_36</f>
        <v>-</v>
      </c>
    </row>
    <row r="1468" spans="1:1" x14ac:dyDescent="0.3">
      <c r="A1468" s="6" t="str">
        <f>work_trade_catg_37</f>
        <v>-</v>
      </c>
    </row>
    <row r="1469" spans="1:1" x14ac:dyDescent="0.3">
      <c r="A1469" s="6" t="str">
        <f>work_trade_catg_38</f>
        <v>-</v>
      </c>
    </row>
    <row r="1470" spans="1:1" x14ac:dyDescent="0.3">
      <c r="A1470" s="6" t="str">
        <f>work_trade_catg_39</f>
        <v>-</v>
      </c>
    </row>
    <row r="1471" spans="1:1" x14ac:dyDescent="0.3">
      <c r="A1471" s="6" t="str">
        <f>work_trade_catg_4</f>
        <v>-</v>
      </c>
    </row>
    <row r="1472" spans="1:1" x14ac:dyDescent="0.3">
      <c r="A1472" s="6" t="str">
        <f>work_trade_catg_40</f>
        <v>-</v>
      </c>
    </row>
    <row r="1473" spans="1:1" x14ac:dyDescent="0.3">
      <c r="A1473" s="6" t="str">
        <f>work_trade_catg_41</f>
        <v>-</v>
      </c>
    </row>
    <row r="1474" spans="1:1" x14ac:dyDescent="0.3">
      <c r="A1474" s="6" t="str">
        <f>work_trade_catg_42</f>
        <v>-</v>
      </c>
    </row>
    <row r="1475" spans="1:1" x14ac:dyDescent="0.3">
      <c r="A1475" s="6" t="str">
        <f>work_trade_catg_43</f>
        <v>-</v>
      </c>
    </row>
    <row r="1476" spans="1:1" x14ac:dyDescent="0.3">
      <c r="A1476" s="6" t="str">
        <f>work_trade_catg_44</f>
        <v>-</v>
      </c>
    </row>
    <row r="1477" spans="1:1" x14ac:dyDescent="0.3">
      <c r="A1477" s="6" t="str">
        <f>work_trade_catg_45</f>
        <v>-</v>
      </c>
    </row>
    <row r="1478" spans="1:1" x14ac:dyDescent="0.3">
      <c r="A1478" s="6" t="str">
        <f>work_trade_catg_46</f>
        <v>-</v>
      </c>
    </row>
    <row r="1479" spans="1:1" x14ac:dyDescent="0.3">
      <c r="A1479" s="6" t="str">
        <f>work_trade_catg_47</f>
        <v>-</v>
      </c>
    </row>
    <row r="1480" spans="1:1" x14ac:dyDescent="0.3">
      <c r="A1480" s="6" t="str">
        <f>work_trade_catg_48</f>
        <v>-</v>
      </c>
    </row>
    <row r="1481" spans="1:1" x14ac:dyDescent="0.3">
      <c r="A1481" s="6" t="str">
        <f>work_trade_catg_49</f>
        <v>-</v>
      </c>
    </row>
    <row r="1482" spans="1:1" x14ac:dyDescent="0.3">
      <c r="A1482" s="6" t="str">
        <f>work_trade_catg_5</f>
        <v>-</v>
      </c>
    </row>
    <row r="1483" spans="1:1" x14ac:dyDescent="0.3">
      <c r="A1483" s="6" t="str">
        <f>work_trade_catg_50</f>
        <v>-</v>
      </c>
    </row>
    <row r="1484" spans="1:1" x14ac:dyDescent="0.3">
      <c r="A1484" s="6" t="str">
        <f>work_trade_catg_6</f>
        <v>-</v>
      </c>
    </row>
    <row r="1485" spans="1:1" x14ac:dyDescent="0.3">
      <c r="A1485" s="6" t="str">
        <f>work_trade_catg_7</f>
        <v>-</v>
      </c>
    </row>
    <row r="1486" spans="1:1" x14ac:dyDescent="0.3">
      <c r="A1486" s="6" t="str">
        <f>work_trade_catg_8</f>
        <v>-</v>
      </c>
    </row>
    <row r="1487" spans="1:1" x14ac:dyDescent="0.3">
      <c r="A1487" s="6" t="str">
        <f>work_trade_catg_9</f>
        <v>-</v>
      </c>
    </row>
    <row r="1488" spans="1:1" x14ac:dyDescent="0.3">
      <c r="A1488" s="6" t="str">
        <f>work_trade_catg_group_1</f>
        <v/>
      </c>
    </row>
    <row r="1489" spans="1:1" x14ac:dyDescent="0.3">
      <c r="A1489" s="6" t="str">
        <f>work_trade_catg_group_10</f>
        <v/>
      </c>
    </row>
    <row r="1490" spans="1:1" x14ac:dyDescent="0.3">
      <c r="A1490" s="6" t="str">
        <f>work_trade_catg_group_11</f>
        <v/>
      </c>
    </row>
    <row r="1491" spans="1:1" x14ac:dyDescent="0.3">
      <c r="A1491" s="6" t="str">
        <f>work_trade_catg_group_12</f>
        <v/>
      </c>
    </row>
    <row r="1492" spans="1:1" x14ac:dyDescent="0.3">
      <c r="A1492" s="6" t="str">
        <f>work_trade_catg_group_13</f>
        <v/>
      </c>
    </row>
    <row r="1493" spans="1:1" x14ac:dyDescent="0.3">
      <c r="A1493" s="6" t="str">
        <f>work_trade_catg_group_14</f>
        <v/>
      </c>
    </row>
    <row r="1494" spans="1:1" x14ac:dyDescent="0.3">
      <c r="A1494" s="6" t="str">
        <f>work_trade_catg_group_15</f>
        <v/>
      </c>
    </row>
    <row r="1495" spans="1:1" x14ac:dyDescent="0.3">
      <c r="A1495" s="6" t="str">
        <f>work_trade_catg_group_16</f>
        <v/>
      </c>
    </row>
    <row r="1496" spans="1:1" x14ac:dyDescent="0.3">
      <c r="A1496" s="6" t="str">
        <f>work_trade_catg_group_17</f>
        <v/>
      </c>
    </row>
    <row r="1497" spans="1:1" x14ac:dyDescent="0.3">
      <c r="A1497" s="6" t="str">
        <f>work_trade_catg_group_18</f>
        <v/>
      </c>
    </row>
    <row r="1498" spans="1:1" x14ac:dyDescent="0.3">
      <c r="A1498" s="6" t="str">
        <f>work_trade_catg_group_19</f>
        <v/>
      </c>
    </row>
    <row r="1499" spans="1:1" x14ac:dyDescent="0.3">
      <c r="A1499" s="6" t="str">
        <f>work_trade_catg_group_2</f>
        <v/>
      </c>
    </row>
    <row r="1500" spans="1:1" x14ac:dyDescent="0.3">
      <c r="A1500" s="6" t="str">
        <f>work_trade_catg_group_20</f>
        <v/>
      </c>
    </row>
    <row r="1501" spans="1:1" x14ac:dyDescent="0.3">
      <c r="A1501" s="6" t="str">
        <f>work_trade_catg_group_21</f>
        <v/>
      </c>
    </row>
    <row r="1502" spans="1:1" x14ac:dyDescent="0.3">
      <c r="A1502" s="6" t="str">
        <f>work_trade_catg_group_22</f>
        <v/>
      </c>
    </row>
    <row r="1503" spans="1:1" x14ac:dyDescent="0.3">
      <c r="A1503" s="6" t="str">
        <f>work_trade_catg_group_23</f>
        <v/>
      </c>
    </row>
    <row r="1504" spans="1:1" x14ac:dyDescent="0.3">
      <c r="A1504" s="6" t="str">
        <f>work_trade_catg_group_24</f>
        <v/>
      </c>
    </row>
    <row r="1505" spans="1:1" x14ac:dyDescent="0.3">
      <c r="A1505" s="6" t="str">
        <f>work_trade_catg_group_25</f>
        <v/>
      </c>
    </row>
    <row r="1506" spans="1:1" x14ac:dyDescent="0.3">
      <c r="A1506" s="6" t="str">
        <f>work_trade_catg_group_26</f>
        <v/>
      </c>
    </row>
    <row r="1507" spans="1:1" x14ac:dyDescent="0.3">
      <c r="A1507" s="6" t="str">
        <f>work_trade_catg_group_27</f>
        <v/>
      </c>
    </row>
    <row r="1508" spans="1:1" x14ac:dyDescent="0.3">
      <c r="A1508" s="6" t="str">
        <f>work_trade_catg_group_28</f>
        <v/>
      </c>
    </row>
    <row r="1509" spans="1:1" x14ac:dyDescent="0.3">
      <c r="A1509" s="6" t="str">
        <f>work_trade_catg_group_29</f>
        <v/>
      </c>
    </row>
    <row r="1510" spans="1:1" x14ac:dyDescent="0.3">
      <c r="A1510" s="6" t="str">
        <f>work_trade_catg_group_3</f>
        <v/>
      </c>
    </row>
    <row r="1511" spans="1:1" x14ac:dyDescent="0.3">
      <c r="A1511" s="6" t="str">
        <f>work_trade_catg_group_30</f>
        <v/>
      </c>
    </row>
    <row r="1512" spans="1:1" x14ac:dyDescent="0.3">
      <c r="A1512" s="6" t="str">
        <f>work_trade_catg_group_31</f>
        <v/>
      </c>
    </row>
    <row r="1513" spans="1:1" x14ac:dyDescent="0.3">
      <c r="A1513" s="6" t="str">
        <f>work_trade_catg_group_32</f>
        <v/>
      </c>
    </row>
    <row r="1514" spans="1:1" x14ac:dyDescent="0.3">
      <c r="A1514" s="6" t="str">
        <f>work_trade_catg_group_33</f>
        <v/>
      </c>
    </row>
    <row r="1515" spans="1:1" x14ac:dyDescent="0.3">
      <c r="A1515" s="6" t="str">
        <f>work_trade_catg_group_34</f>
        <v/>
      </c>
    </row>
    <row r="1516" spans="1:1" x14ac:dyDescent="0.3">
      <c r="A1516" s="6" t="str">
        <f>work_trade_catg_group_35</f>
        <v/>
      </c>
    </row>
    <row r="1517" spans="1:1" x14ac:dyDescent="0.3">
      <c r="A1517" s="6" t="str">
        <f>work_trade_catg_group_36</f>
        <v/>
      </c>
    </row>
    <row r="1518" spans="1:1" x14ac:dyDescent="0.3">
      <c r="A1518" s="6" t="str">
        <f>work_trade_catg_group_37</f>
        <v/>
      </c>
    </row>
    <row r="1519" spans="1:1" x14ac:dyDescent="0.3">
      <c r="A1519" s="6" t="str">
        <f>work_trade_catg_group_38</f>
        <v/>
      </c>
    </row>
    <row r="1520" spans="1:1" x14ac:dyDescent="0.3">
      <c r="A1520" s="6" t="str">
        <f>work_trade_catg_group_39</f>
        <v/>
      </c>
    </row>
    <row r="1521" spans="1:1" x14ac:dyDescent="0.3">
      <c r="A1521" s="6" t="str">
        <f>work_trade_catg_group_4</f>
        <v/>
      </c>
    </row>
    <row r="1522" spans="1:1" x14ac:dyDescent="0.3">
      <c r="A1522" s="6" t="str">
        <f>work_trade_catg_group_40</f>
        <v/>
      </c>
    </row>
    <row r="1523" spans="1:1" x14ac:dyDescent="0.3">
      <c r="A1523" s="6" t="str">
        <f>work_trade_catg_group_41</f>
        <v/>
      </c>
    </row>
    <row r="1524" spans="1:1" x14ac:dyDescent="0.3">
      <c r="A1524" s="6" t="str">
        <f>work_trade_catg_group_42</f>
        <v/>
      </c>
    </row>
    <row r="1525" spans="1:1" x14ac:dyDescent="0.3">
      <c r="A1525" s="6" t="str">
        <f>work_trade_catg_group_43</f>
        <v/>
      </c>
    </row>
    <row r="1526" spans="1:1" x14ac:dyDescent="0.3">
      <c r="A1526" s="6" t="str">
        <f>work_trade_catg_group_44</f>
        <v/>
      </c>
    </row>
    <row r="1527" spans="1:1" x14ac:dyDescent="0.3">
      <c r="A1527" s="6" t="str">
        <f>work_trade_catg_group_45</f>
        <v/>
      </c>
    </row>
    <row r="1528" spans="1:1" x14ac:dyDescent="0.3">
      <c r="A1528" s="6" t="str">
        <f>work_trade_catg_group_46</f>
        <v/>
      </c>
    </row>
    <row r="1529" spans="1:1" x14ac:dyDescent="0.3">
      <c r="A1529" s="6" t="str">
        <f>work_trade_catg_group_47</f>
        <v/>
      </c>
    </row>
    <row r="1530" spans="1:1" x14ac:dyDescent="0.3">
      <c r="A1530" s="6" t="str">
        <f>work_trade_catg_group_48</f>
        <v/>
      </c>
    </row>
    <row r="1531" spans="1:1" x14ac:dyDescent="0.3">
      <c r="A1531" s="6" t="str">
        <f>work_trade_catg_group_49</f>
        <v/>
      </c>
    </row>
    <row r="1532" spans="1:1" x14ac:dyDescent="0.3">
      <c r="A1532" s="6" t="str">
        <f>work_trade_catg_group_5</f>
        <v/>
      </c>
    </row>
    <row r="1533" spans="1:1" x14ac:dyDescent="0.3">
      <c r="A1533" s="6" t="str">
        <f>work_trade_catg_group_50</f>
        <v/>
      </c>
    </row>
    <row r="1534" spans="1:1" x14ac:dyDescent="0.3">
      <c r="A1534" s="6" t="str">
        <f>work_trade_catg_group_6</f>
        <v/>
      </c>
    </row>
    <row r="1535" spans="1:1" x14ac:dyDescent="0.3">
      <c r="A1535" s="6" t="str">
        <f>work_trade_catg_group_7</f>
        <v/>
      </c>
    </row>
    <row r="1536" spans="1:1" x14ac:dyDescent="0.3">
      <c r="A1536" s="6" t="str">
        <f>work_trade_catg_group_8</f>
        <v/>
      </c>
    </row>
    <row r="1537" spans="1:1" x14ac:dyDescent="0.3">
      <c r="A1537" s="6" t="str">
        <f>work_trade_catg_group_9</f>
        <v/>
      </c>
    </row>
    <row r="1538" spans="1:1" x14ac:dyDescent="0.3">
      <c r="A1538" s="6">
        <f>worker_category_tmpl</f>
        <v>0</v>
      </c>
    </row>
    <row r="1539" spans="1:1" x14ac:dyDescent="0.3">
      <c r="A1539" s="6" t="e">
        <f>worker_count_master</f>
        <v>#VALUE!</v>
      </c>
    </row>
    <row r="1540" spans="1:1" x14ac:dyDescent="0.3">
      <c r="A1540" s="6">
        <f>worker_count_tmpl</f>
        <v>0</v>
      </c>
    </row>
    <row r="1541" spans="1:1" x14ac:dyDescent="0.3">
      <c r="A1541" s="6">
        <f>worker_detail_count</f>
        <v>1</v>
      </c>
    </row>
    <row r="1542" spans="1:1" x14ac:dyDescent="0.3">
      <c r="A1542" s="6">
        <f>worker_monthly_wages</f>
        <v>0</v>
      </c>
    </row>
    <row r="1543" spans="1:1" x14ac:dyDescent="0.3">
      <c r="A1543" s="6">
        <f>worker_monthly_wages_tmpl</f>
        <v>0</v>
      </c>
    </row>
    <row r="1544" spans="1:1" x14ac:dyDescent="0.3">
      <c r="A1544" s="6">
        <f ca="1">worker_rate_1</f>
        <v>0</v>
      </c>
    </row>
    <row r="1545" spans="1:1" x14ac:dyDescent="0.3">
      <c r="A1545" s="6">
        <f ca="1">worker_rate_10</f>
        <v>0</v>
      </c>
    </row>
    <row r="1546" spans="1:1" x14ac:dyDescent="0.3">
      <c r="A1546" s="6">
        <f ca="1">worker_rate_11</f>
        <v>0</v>
      </c>
    </row>
    <row r="1547" spans="1:1" x14ac:dyDescent="0.3">
      <c r="A1547" s="6">
        <f ca="1">worker_rate_12</f>
        <v>0</v>
      </c>
    </row>
    <row r="1548" spans="1:1" x14ac:dyDescent="0.3">
      <c r="A1548" s="6">
        <f ca="1">worker_rate_13</f>
        <v>0</v>
      </c>
    </row>
    <row r="1549" spans="1:1" x14ac:dyDescent="0.3">
      <c r="A1549" s="6">
        <f ca="1">worker_rate_14</f>
        <v>0</v>
      </c>
    </row>
    <row r="1550" spans="1:1" x14ac:dyDescent="0.3">
      <c r="A1550" s="6">
        <f ca="1">worker_rate_15</f>
        <v>0</v>
      </c>
    </row>
    <row r="1551" spans="1:1" x14ac:dyDescent="0.3">
      <c r="A1551" s="6">
        <f ca="1">worker_rate_16</f>
        <v>0</v>
      </c>
    </row>
    <row r="1552" spans="1:1" x14ac:dyDescent="0.3">
      <c r="A1552" s="6">
        <f ca="1">worker_rate_17</f>
        <v>0</v>
      </c>
    </row>
    <row r="1553" spans="1:1" x14ac:dyDescent="0.3">
      <c r="A1553" s="6">
        <f ca="1">worker_rate_18</f>
        <v>0</v>
      </c>
    </row>
    <row r="1554" spans="1:1" x14ac:dyDescent="0.3">
      <c r="A1554" s="6">
        <f ca="1">worker_rate_19</f>
        <v>0</v>
      </c>
    </row>
    <row r="1555" spans="1:1" x14ac:dyDescent="0.3">
      <c r="A1555" s="6">
        <f ca="1">worker_rate_2</f>
        <v>0</v>
      </c>
    </row>
    <row r="1556" spans="1:1" x14ac:dyDescent="0.3">
      <c r="A1556" s="6">
        <f ca="1">worker_rate_20</f>
        <v>0</v>
      </c>
    </row>
    <row r="1557" spans="1:1" x14ac:dyDescent="0.3">
      <c r="A1557" s="6">
        <f ca="1">worker_rate_21</f>
        <v>0</v>
      </c>
    </row>
    <row r="1558" spans="1:1" x14ac:dyDescent="0.3">
      <c r="A1558" s="6">
        <f ca="1">worker_rate_22</f>
        <v>0</v>
      </c>
    </row>
    <row r="1559" spans="1:1" x14ac:dyDescent="0.3">
      <c r="A1559" s="6">
        <f ca="1">worker_rate_23</f>
        <v>0</v>
      </c>
    </row>
    <row r="1560" spans="1:1" x14ac:dyDescent="0.3">
      <c r="A1560" s="6">
        <f ca="1">worker_rate_24</f>
        <v>0</v>
      </c>
    </row>
    <row r="1561" spans="1:1" x14ac:dyDescent="0.3">
      <c r="A1561" s="6">
        <f ca="1">worker_rate_25</f>
        <v>0</v>
      </c>
    </row>
    <row r="1562" spans="1:1" x14ac:dyDescent="0.3">
      <c r="A1562" s="6">
        <f ca="1">worker_rate_26</f>
        <v>0</v>
      </c>
    </row>
    <row r="1563" spans="1:1" x14ac:dyDescent="0.3">
      <c r="A1563" s="6">
        <f ca="1">worker_rate_27</f>
        <v>0</v>
      </c>
    </row>
    <row r="1564" spans="1:1" x14ac:dyDescent="0.3">
      <c r="A1564" s="6">
        <f ca="1">worker_rate_28</f>
        <v>0</v>
      </c>
    </row>
    <row r="1565" spans="1:1" x14ac:dyDescent="0.3">
      <c r="A1565" s="6">
        <f ca="1">worker_rate_29</f>
        <v>0</v>
      </c>
    </row>
    <row r="1566" spans="1:1" x14ac:dyDescent="0.3">
      <c r="A1566" s="6">
        <f ca="1">worker_rate_3</f>
        <v>0</v>
      </c>
    </row>
    <row r="1567" spans="1:1" x14ac:dyDescent="0.3">
      <c r="A1567" s="6">
        <f ca="1">worker_rate_30</f>
        <v>0</v>
      </c>
    </row>
    <row r="1568" spans="1:1" x14ac:dyDescent="0.3">
      <c r="A1568" s="6">
        <f ca="1">worker_rate_31</f>
        <v>0</v>
      </c>
    </row>
    <row r="1569" spans="1:1" x14ac:dyDescent="0.3">
      <c r="A1569" s="6">
        <f ca="1">worker_rate_32</f>
        <v>0</v>
      </c>
    </row>
    <row r="1570" spans="1:1" x14ac:dyDescent="0.3">
      <c r="A1570" s="6">
        <f ca="1">worker_rate_33</f>
        <v>0</v>
      </c>
    </row>
    <row r="1571" spans="1:1" x14ac:dyDescent="0.3">
      <c r="A1571" s="6">
        <f ca="1">worker_rate_34</f>
        <v>0</v>
      </c>
    </row>
    <row r="1572" spans="1:1" x14ac:dyDescent="0.3">
      <c r="A1572" s="6">
        <f ca="1">worker_rate_35</f>
        <v>0</v>
      </c>
    </row>
    <row r="1573" spans="1:1" x14ac:dyDescent="0.3">
      <c r="A1573" s="6">
        <f ca="1">worker_rate_36</f>
        <v>0</v>
      </c>
    </row>
    <row r="1574" spans="1:1" x14ac:dyDescent="0.3">
      <c r="A1574" s="6">
        <f ca="1">worker_rate_37</f>
        <v>0</v>
      </c>
    </row>
    <row r="1575" spans="1:1" x14ac:dyDescent="0.3">
      <c r="A1575" s="6">
        <f ca="1">worker_rate_38</f>
        <v>0</v>
      </c>
    </row>
    <row r="1576" spans="1:1" x14ac:dyDescent="0.3">
      <c r="A1576" s="6">
        <f ca="1">worker_rate_39</f>
        <v>0</v>
      </c>
    </row>
    <row r="1577" spans="1:1" x14ac:dyDescent="0.3">
      <c r="A1577" s="6">
        <f ca="1">worker_rate_4</f>
        <v>0</v>
      </c>
    </row>
    <row r="1578" spans="1:1" x14ac:dyDescent="0.3">
      <c r="A1578" s="6">
        <f ca="1">worker_rate_40</f>
        <v>0</v>
      </c>
    </row>
    <row r="1579" spans="1:1" x14ac:dyDescent="0.3">
      <c r="A1579" s="6">
        <f ca="1">worker_rate_41</f>
        <v>0</v>
      </c>
    </row>
    <row r="1580" spans="1:1" x14ac:dyDescent="0.3">
      <c r="A1580" s="6">
        <f ca="1">worker_rate_42</f>
        <v>0</v>
      </c>
    </row>
    <row r="1581" spans="1:1" x14ac:dyDescent="0.3">
      <c r="A1581" s="6">
        <f ca="1">worker_rate_43</f>
        <v>0</v>
      </c>
    </row>
    <row r="1582" spans="1:1" x14ac:dyDescent="0.3">
      <c r="A1582" s="6">
        <f ca="1">worker_rate_44</f>
        <v>0</v>
      </c>
    </row>
    <row r="1583" spans="1:1" x14ac:dyDescent="0.3">
      <c r="A1583" s="6">
        <f ca="1">worker_rate_45</f>
        <v>0</v>
      </c>
    </row>
    <row r="1584" spans="1:1" x14ac:dyDescent="0.3">
      <c r="A1584" s="6">
        <f ca="1">worker_rate_46</f>
        <v>0</v>
      </c>
    </row>
    <row r="1585" spans="1:1" x14ac:dyDescent="0.3">
      <c r="A1585" s="6">
        <f ca="1">worker_rate_47</f>
        <v>0</v>
      </c>
    </row>
    <row r="1586" spans="1:1" x14ac:dyDescent="0.3">
      <c r="A1586" s="6">
        <f ca="1">worker_rate_48</f>
        <v>0</v>
      </c>
    </row>
    <row r="1587" spans="1:1" x14ac:dyDescent="0.3">
      <c r="A1587" s="6">
        <f ca="1">worker_rate_49</f>
        <v>0</v>
      </c>
    </row>
    <row r="1588" spans="1:1" x14ac:dyDescent="0.3">
      <c r="A1588" s="6">
        <f ca="1">worker_rate_5</f>
        <v>0</v>
      </c>
    </row>
    <row r="1589" spans="1:1" x14ac:dyDescent="0.3">
      <c r="A1589" s="6">
        <f ca="1">worker_rate_50</f>
        <v>0</v>
      </c>
    </row>
    <row r="1590" spans="1:1" x14ac:dyDescent="0.3">
      <c r="A1590" s="6">
        <f ca="1">worker_rate_6</f>
        <v>0</v>
      </c>
    </row>
    <row r="1591" spans="1:1" x14ac:dyDescent="0.3">
      <c r="A1591" s="6">
        <f ca="1">worker_rate_7</f>
        <v>0</v>
      </c>
    </row>
    <row r="1592" spans="1:1" x14ac:dyDescent="0.3">
      <c r="A1592" s="6">
        <f ca="1">worker_rate_8</f>
        <v>0</v>
      </c>
    </row>
    <row r="1593" spans="1:1" x14ac:dyDescent="0.3">
      <c r="A1593" s="6">
        <f ca="1">worker_rate_9</f>
        <v>0</v>
      </c>
    </row>
    <row r="1594" spans="1:1" x14ac:dyDescent="0.3">
      <c r="A1594" s="6">
        <f>worker_sl_no_tmpl</f>
        <v>0</v>
      </c>
    </row>
    <row r="1595" spans="1:1" x14ac:dyDescent="0.3">
      <c r="A1595" s="6">
        <f ca="1">worker_total_premium</f>
        <v>0</v>
      </c>
    </row>
    <row r="1596" spans="1:1" x14ac:dyDescent="0.3">
      <c r="A1596" s="6">
        <f>worker_total_premium_tmpl</f>
        <v>0</v>
      </c>
    </row>
    <row r="1597" spans="1:1" x14ac:dyDescent="0.3">
      <c r="A1597" s="6">
        <f>worker_total_wages</f>
        <v>0</v>
      </c>
    </row>
    <row r="1598" spans="1:1" x14ac:dyDescent="0.3">
      <c r="A1598" s="6">
        <f>worker_total_wages_tmpl</f>
        <v>0</v>
      </c>
    </row>
    <row r="1599" spans="1:1" x14ac:dyDescent="0.3">
      <c r="A1599" s="6">
        <f>worker_trade_category_tmpl</f>
        <v>0</v>
      </c>
    </row>
    <row r="1600" spans="1:1" x14ac:dyDescent="0.3">
      <c r="A1600" s="6" t="e">
        <f>workforce_master</f>
        <v>#VALUE!</v>
      </c>
    </row>
    <row r="1601" spans="1:1" x14ac:dyDescent="0.3">
      <c r="A1601" s="6">
        <f>year_tmpl</f>
        <v>0</v>
      </c>
    </row>
    <row r="1602" spans="1:1" x14ac:dyDescent="0.3">
      <c r="A1602" s="6" t="e">
        <f>yes_no_master</f>
        <v>#VALUE!</v>
      </c>
    </row>
    <row r="1603" spans="1:1" x14ac:dyDescent="0.3">
      <c r="A1603" s="6" t="str">
        <f>yes_no_medex_master</f>
        <v>no_master</v>
      </c>
    </row>
    <row r="1604" spans="1:1" x14ac:dyDescent="0.3">
      <c r="A1604" s="6" t="e">
        <f>yes_no_param_load</f>
        <v>#VALUE!</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E9B69-3BD4-4158-98E3-1DF37888DEB7}">
  <sheetPr codeName="Sheet11"/>
  <dimension ref="B3:H15"/>
  <sheetViews>
    <sheetView workbookViewId="0">
      <selection activeCell="G25" sqref="G25"/>
    </sheetView>
  </sheetViews>
  <sheetFormatPr defaultRowHeight="14.4" x14ac:dyDescent="0.3"/>
  <cols>
    <col min="3" max="3" width="10.88671875" customWidth="1"/>
    <col min="4" max="4" width="20.6640625" customWidth="1"/>
    <col min="5" max="5" width="85.33203125" bestFit="1" customWidth="1"/>
    <col min="6" max="6" width="22.44140625" bestFit="1" customWidth="1"/>
    <col min="7" max="7" width="10.33203125" customWidth="1"/>
    <col min="8" max="8" width="12.77734375" customWidth="1"/>
  </cols>
  <sheetData>
    <row r="3" spans="2:8" x14ac:dyDescent="0.3">
      <c r="B3" s="82" t="s">
        <v>12295</v>
      </c>
      <c r="C3" s="82" t="s">
        <v>12296</v>
      </c>
      <c r="D3" s="82" t="s">
        <v>12297</v>
      </c>
      <c r="E3" s="82" t="s">
        <v>12298</v>
      </c>
      <c r="F3" s="82" t="s">
        <v>12299</v>
      </c>
      <c r="G3" s="82" t="s">
        <v>12300</v>
      </c>
      <c r="H3" s="82" t="s">
        <v>12301</v>
      </c>
    </row>
    <row r="4" spans="2:8" x14ac:dyDescent="0.3">
      <c r="B4" s="47" t="s">
        <v>13301</v>
      </c>
      <c r="C4" s="81">
        <v>45273</v>
      </c>
      <c r="D4" s="47" t="s">
        <v>13302</v>
      </c>
      <c r="E4" s="47" t="s">
        <v>13303</v>
      </c>
      <c r="F4" s="47" t="s">
        <v>13304</v>
      </c>
      <c r="G4" s="47" t="s">
        <v>13305</v>
      </c>
      <c r="H4" s="47" t="s">
        <v>13306</v>
      </c>
    </row>
    <row r="5" spans="2:8" x14ac:dyDescent="0.3">
      <c r="B5" s="47" t="s">
        <v>13308</v>
      </c>
      <c r="C5" s="81">
        <v>45278</v>
      </c>
      <c r="D5" s="47" t="s">
        <v>13302</v>
      </c>
      <c r="E5" s="47" t="s">
        <v>13309</v>
      </c>
      <c r="F5" s="47" t="s">
        <v>13304</v>
      </c>
      <c r="G5" s="47" t="s">
        <v>13305</v>
      </c>
      <c r="H5" s="47" t="s">
        <v>13306</v>
      </c>
    </row>
    <row r="6" spans="2:8" x14ac:dyDescent="0.3">
      <c r="B6" s="47" t="s">
        <v>13314</v>
      </c>
      <c r="C6" s="81">
        <v>45282</v>
      </c>
      <c r="D6" s="47" t="s">
        <v>13315</v>
      </c>
      <c r="E6" s="47" t="s">
        <v>13316</v>
      </c>
      <c r="F6" s="47" t="s">
        <v>13317</v>
      </c>
      <c r="G6" s="47" t="s">
        <v>13305</v>
      </c>
      <c r="H6" s="47" t="s">
        <v>13306</v>
      </c>
    </row>
    <row r="7" spans="2:8" x14ac:dyDescent="0.3">
      <c r="B7" s="47" t="s">
        <v>13318</v>
      </c>
      <c r="C7" s="81">
        <v>45295</v>
      </c>
      <c r="D7" s="47" t="s">
        <v>13319</v>
      </c>
      <c r="E7" s="47" t="s">
        <v>13320</v>
      </c>
      <c r="F7" s="47" t="s">
        <v>13304</v>
      </c>
      <c r="G7" s="47" t="s">
        <v>13305</v>
      </c>
      <c r="H7" s="47" t="s">
        <v>13306</v>
      </c>
    </row>
    <row r="8" spans="2:8" x14ac:dyDescent="0.3">
      <c r="B8" s="47" t="s">
        <v>13323</v>
      </c>
      <c r="C8" s="81">
        <v>45341</v>
      </c>
      <c r="D8" s="47" t="s">
        <v>13319</v>
      </c>
      <c r="E8" s="47" t="s">
        <v>13324</v>
      </c>
      <c r="F8" s="47"/>
      <c r="G8" s="47" t="s">
        <v>13325</v>
      </c>
      <c r="H8" s="47" t="s">
        <v>13306</v>
      </c>
    </row>
    <row r="9" spans="2:8" x14ac:dyDescent="0.3">
      <c r="B9" s="47" t="s">
        <v>13323</v>
      </c>
      <c r="C9" s="81">
        <v>45341</v>
      </c>
      <c r="D9" s="47" t="s">
        <v>13327</v>
      </c>
      <c r="E9" s="47" t="s">
        <v>13328</v>
      </c>
      <c r="F9" s="47"/>
      <c r="G9" s="47" t="s">
        <v>13325</v>
      </c>
      <c r="H9" s="47" t="s">
        <v>13306</v>
      </c>
    </row>
    <row r="10" spans="2:8" x14ac:dyDescent="0.3">
      <c r="B10" s="47" t="s">
        <v>13332</v>
      </c>
      <c r="C10" s="81">
        <v>45342</v>
      </c>
      <c r="D10" s="47" t="s">
        <v>13319</v>
      </c>
      <c r="E10" s="47" t="s">
        <v>13333</v>
      </c>
      <c r="F10" s="47"/>
      <c r="G10" s="47" t="s">
        <v>13325</v>
      </c>
      <c r="H10" s="47" t="s">
        <v>13306</v>
      </c>
    </row>
    <row r="11" spans="2:8" x14ac:dyDescent="0.3">
      <c r="B11" s="47"/>
      <c r="C11" s="81"/>
      <c r="D11" s="47"/>
      <c r="E11" s="47"/>
      <c r="F11" s="47"/>
      <c r="G11" s="47"/>
      <c r="H11" s="47"/>
    </row>
    <row r="12" spans="2:8" x14ac:dyDescent="0.3">
      <c r="B12" s="47"/>
      <c r="C12" s="81"/>
      <c r="D12" s="47"/>
      <c r="E12" s="47"/>
      <c r="F12" s="47"/>
      <c r="G12" s="47"/>
      <c r="H12" s="47"/>
    </row>
    <row r="13" spans="2:8" x14ac:dyDescent="0.3">
      <c r="B13" s="47"/>
      <c r="C13" s="81"/>
      <c r="D13" s="47"/>
      <c r="E13" s="47"/>
      <c r="F13" s="47"/>
      <c r="G13" s="47"/>
      <c r="H13" s="47"/>
    </row>
    <row r="14" spans="2:8" x14ac:dyDescent="0.3">
      <c r="B14" s="47"/>
      <c r="C14" s="81"/>
      <c r="D14" s="47"/>
      <c r="E14" s="47"/>
      <c r="F14" s="47"/>
      <c r="G14" s="47"/>
      <c r="H14" s="47"/>
    </row>
    <row r="15" spans="2:8" x14ac:dyDescent="0.3">
      <c r="B15" s="47"/>
      <c r="C15" s="81"/>
      <c r="D15" s="47"/>
      <c r="E15" s="47"/>
      <c r="F15" s="47"/>
      <c r="G15" s="47"/>
      <c r="H15" s="4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1604</vt:i4>
      </vt:variant>
    </vt:vector>
  </HeadingPairs>
  <TitlesOfParts>
    <vt:vector size="1621" baseType="lpstr">
      <vt:lpstr>Quote</vt:lpstr>
      <vt:lpstr>WC Tariff</vt:lpstr>
      <vt:lpstr>Worker Premium Calc</vt:lpstr>
      <vt:lpstr>Trade Category Identification</vt:lpstr>
      <vt:lpstr>Trade Category Idnt Master</vt:lpstr>
      <vt:lpstr>Renewal_Loading</vt:lpstr>
      <vt:lpstr>NSTP Reason</vt:lpstr>
      <vt:lpstr>Renewal Policy Status</vt:lpstr>
      <vt:lpstr>Trade Category Referral Masters</vt:lpstr>
      <vt:lpstr>Master</vt:lpstr>
      <vt:lpstr>OD Loading%</vt:lpstr>
      <vt:lpstr>Medex Loading%</vt:lpstr>
      <vt:lpstr>Trade Category</vt:lpstr>
      <vt:lpstr>City State Location</vt:lpstr>
      <vt:lpstr>TMPL</vt:lpstr>
      <vt:lpstr>Input</vt:lpstr>
      <vt:lpstr>Version</vt:lpstr>
      <vt:lpstr>add_comm_pro</vt:lpstr>
      <vt:lpstr>agent_corp_logic</vt:lpstr>
      <vt:lpstr>ahm_count</vt:lpstr>
      <vt:lpstr>ahm_loc</vt:lpstr>
      <vt:lpstr>ahm_loc1</vt:lpstr>
      <vt:lpstr>annual_calc</vt:lpstr>
      <vt:lpstr>annual_exp_policy_premium</vt:lpstr>
      <vt:lpstr>app_product_name</vt:lpstr>
      <vt:lpstr>arr_claim_details</vt:lpstr>
      <vt:lpstr>arr_trade_category_details</vt:lpstr>
      <vt:lpstr>bgl_count</vt:lpstr>
      <vt:lpstr>bgl_loc</vt:lpstr>
      <vt:lpstr>bgl_loc1</vt:lpstr>
      <vt:lpstr>business_type</vt:lpstr>
      <vt:lpstr>calc_channel_mapper_name</vt:lpstr>
      <vt:lpstr>calim_loading</vt:lpstr>
      <vt:lpstr>calim_loading_uw</vt:lpstr>
      <vt:lpstr>cgst_perc</vt:lpstr>
      <vt:lpstr>cgst_value</vt:lpstr>
      <vt:lpstr>channel</vt:lpstr>
      <vt:lpstr>channel_mapper</vt:lpstr>
      <vt:lpstr>channel_mapper_name</vt:lpstr>
      <vt:lpstr>channel_payment</vt:lpstr>
      <vt:lpstr>check_perc</vt:lpstr>
      <vt:lpstr>chn_count</vt:lpstr>
      <vt:lpstr>chn_loc</vt:lpstr>
      <vt:lpstr>chn_loc1</vt:lpstr>
      <vt:lpstr>cl_zone</vt:lpstr>
      <vt:lpstr>cl_zone_1</vt:lpstr>
      <vt:lpstr>cl_zone_2</vt:lpstr>
      <vt:lpstr>cl_zone_2_uw</vt:lpstr>
      <vt:lpstr>cl_zone_3</vt:lpstr>
      <vt:lpstr>cl_zone_3_uw</vt:lpstr>
      <vt:lpstr>cl_zone_uw</vt:lpstr>
      <vt:lpstr>cl_zone1_tmpl</vt:lpstr>
      <vt:lpstr>cl_zone2_tmpl</vt:lpstr>
      <vt:lpstr>cl_zone3_tmpl</vt:lpstr>
      <vt:lpstr>claim_amount_1</vt:lpstr>
      <vt:lpstr>claim_amount_2</vt:lpstr>
      <vt:lpstr>claim_amount_3</vt:lpstr>
      <vt:lpstr>claim_amount_tmpl</vt:lpstr>
      <vt:lpstr>claim_count_1</vt:lpstr>
      <vt:lpstr>claim_count_2</vt:lpstr>
      <vt:lpstr>claim_count_3</vt:lpstr>
      <vt:lpstr>claim_count_tmpl</vt:lpstr>
      <vt:lpstr>claim_loading</vt:lpstr>
      <vt:lpstr>claim_premium_1</vt:lpstr>
      <vt:lpstr>claim_premium_2</vt:lpstr>
      <vt:lpstr>claim_premium_3</vt:lpstr>
      <vt:lpstr>claim_premium_tmpl</vt:lpstr>
      <vt:lpstr>claim_ratio</vt:lpstr>
      <vt:lpstr>claim_ratio_uw</vt:lpstr>
      <vt:lpstr>claim_refferal</vt:lpstr>
      <vt:lpstr>claim_year_1</vt:lpstr>
      <vt:lpstr>claim_year_2</vt:lpstr>
      <vt:lpstr>claim_year_3</vt:lpstr>
      <vt:lpstr>claim_years</vt:lpstr>
      <vt:lpstr>clause_1</vt:lpstr>
      <vt:lpstr>clause_1_appl</vt:lpstr>
      <vt:lpstr>clause_10</vt:lpstr>
      <vt:lpstr>clause_10_appl</vt:lpstr>
      <vt:lpstr>clause_11</vt:lpstr>
      <vt:lpstr>clause_11_appl</vt:lpstr>
      <vt:lpstr>clause_12</vt:lpstr>
      <vt:lpstr>clause_12_appl</vt:lpstr>
      <vt:lpstr>clause_13</vt:lpstr>
      <vt:lpstr>clause_13_appl</vt:lpstr>
      <vt:lpstr>clause_14</vt:lpstr>
      <vt:lpstr>clause_14_appl</vt:lpstr>
      <vt:lpstr>clause_15</vt:lpstr>
      <vt:lpstr>clause_15_appl</vt:lpstr>
      <vt:lpstr>clause_16</vt:lpstr>
      <vt:lpstr>clause_16_appl</vt:lpstr>
      <vt:lpstr>clause_17</vt:lpstr>
      <vt:lpstr>clause_17_appl</vt:lpstr>
      <vt:lpstr>clause_18</vt:lpstr>
      <vt:lpstr>clause_18_appl</vt:lpstr>
      <vt:lpstr>clause_19</vt:lpstr>
      <vt:lpstr>clause_19_appl</vt:lpstr>
      <vt:lpstr>clause_2</vt:lpstr>
      <vt:lpstr>clause_2_appl</vt:lpstr>
      <vt:lpstr>clause_3</vt:lpstr>
      <vt:lpstr>clause_3_appl</vt:lpstr>
      <vt:lpstr>clause_4</vt:lpstr>
      <vt:lpstr>clause_4_appl</vt:lpstr>
      <vt:lpstr>clause_5</vt:lpstr>
      <vt:lpstr>clause_5_appl</vt:lpstr>
      <vt:lpstr>clause_5_master</vt:lpstr>
      <vt:lpstr>clause_5a</vt:lpstr>
      <vt:lpstr>clause_5a_appl</vt:lpstr>
      <vt:lpstr>clause_5b</vt:lpstr>
      <vt:lpstr>clause_5b_appl</vt:lpstr>
      <vt:lpstr>clause_6</vt:lpstr>
      <vt:lpstr>clause_6_appl</vt:lpstr>
      <vt:lpstr>clause_7</vt:lpstr>
      <vt:lpstr>clause_7_appl</vt:lpstr>
      <vt:lpstr>clause_8</vt:lpstr>
      <vt:lpstr>clause_8_appl</vt:lpstr>
      <vt:lpstr>clause_9</vt:lpstr>
      <vt:lpstr>clause_9_appl</vt:lpstr>
      <vt:lpstr>clause_code_1</vt:lpstr>
      <vt:lpstr>clause_code_10</vt:lpstr>
      <vt:lpstr>clause_code_11</vt:lpstr>
      <vt:lpstr>clause_code_12</vt:lpstr>
      <vt:lpstr>clause_code_13</vt:lpstr>
      <vt:lpstr>clause_code_14</vt:lpstr>
      <vt:lpstr>clause_code_15</vt:lpstr>
      <vt:lpstr>clause_code_2</vt:lpstr>
      <vt:lpstr>clause_code_3</vt:lpstr>
      <vt:lpstr>clause_code_4</vt:lpstr>
      <vt:lpstr>clause_code_5</vt:lpstr>
      <vt:lpstr>clause_code_5a</vt:lpstr>
      <vt:lpstr>clause_code_5b</vt:lpstr>
      <vt:lpstr>clause_code_6</vt:lpstr>
      <vt:lpstr>clause_code_7</vt:lpstr>
      <vt:lpstr>clause_code_8</vt:lpstr>
      <vt:lpstr>clause_code_9</vt:lpstr>
      <vt:lpstr>clause_dis_1</vt:lpstr>
      <vt:lpstr>clause_dis_10</vt:lpstr>
      <vt:lpstr>clause_dis_11</vt:lpstr>
      <vt:lpstr>clause_dis_12</vt:lpstr>
      <vt:lpstr>clause_dis_13</vt:lpstr>
      <vt:lpstr>clause_dis_14</vt:lpstr>
      <vt:lpstr>clause_dis_15</vt:lpstr>
      <vt:lpstr>clause_dis_16</vt:lpstr>
      <vt:lpstr>clause_dis_17</vt:lpstr>
      <vt:lpstr>clause_dis_18</vt:lpstr>
      <vt:lpstr>clause_dis_19</vt:lpstr>
      <vt:lpstr>clause_dis_2</vt:lpstr>
      <vt:lpstr>clause_dis_3</vt:lpstr>
      <vt:lpstr>clause_dis_4</vt:lpstr>
      <vt:lpstr>clause_dis_5</vt:lpstr>
      <vt:lpstr>clause_dis_5a</vt:lpstr>
      <vt:lpstr>clause_dis_5b</vt:lpstr>
      <vt:lpstr>clause_dis_6</vt:lpstr>
      <vt:lpstr>clause_dis_7</vt:lpstr>
      <vt:lpstr>clause_dis_8</vt:lpstr>
      <vt:lpstr>clause_dis_9</vt:lpstr>
      <vt:lpstr>client_contact_no</vt:lpstr>
      <vt:lpstr>client_email_id</vt:lpstr>
      <vt:lpstr>com_city_check</vt:lpstr>
      <vt:lpstr>com_pin_check</vt:lpstr>
      <vt:lpstr>com_state_check</vt:lpstr>
      <vt:lpstr>comm_state_code</vt:lpstr>
      <vt:lpstr>cont_1</vt:lpstr>
      <vt:lpstr>cont_1_uw</vt:lpstr>
      <vt:lpstr>cont_2</vt:lpstr>
      <vt:lpstr>cont_2_uw</vt:lpstr>
      <vt:lpstr>cont_3</vt:lpstr>
      <vt:lpstr>cont_3_uw</vt:lpstr>
      <vt:lpstr>cont_per_1</vt:lpstr>
      <vt:lpstr>cont_per_2</vt:lpstr>
      <vt:lpstr>cont_per_3</vt:lpstr>
      <vt:lpstr>cont1_tmpl</vt:lpstr>
      <vt:lpstr>cont2_tmpl</vt:lpstr>
      <vt:lpstr>cont3_tmpl</vt:lpstr>
      <vt:lpstr>contractors_coverd</vt:lpstr>
      <vt:lpstr>decimal_check</vt:lpstr>
      <vt:lpstr>del_count</vt:lpstr>
      <vt:lpstr>del_loc</vt:lpstr>
      <vt:lpstr>del_loc1</vt:lpstr>
      <vt:lpstr>diff_premium</vt:lpstr>
      <vt:lpstr>ec_discount</vt:lpstr>
      <vt:lpstr>ec_discount_per</vt:lpstr>
      <vt:lpstr>exp_policy_premium</vt:lpstr>
      <vt:lpstr>experience_master</vt:lpstr>
      <vt:lpstr>extent_master</vt:lpstr>
      <vt:lpstr>final_cl_zone</vt:lpstr>
      <vt:lpstr>final_cl_zone1</vt:lpstr>
      <vt:lpstr>final_load_disc</vt:lpstr>
      <vt:lpstr>final_load_disc_per</vt:lpstr>
      <vt:lpstr>final_load_disc_uw</vt:lpstr>
      <vt:lpstr>final_premium</vt:lpstr>
      <vt:lpstr>gc_product_code</vt:lpstr>
      <vt:lpstr>general_risk_features</vt:lpstr>
      <vt:lpstr>general_risk_features_loading</vt:lpstr>
      <vt:lpstr>general_risk_features_uw</vt:lpstr>
      <vt:lpstr>general_risk_protection</vt:lpstr>
      <vt:lpstr>general_risk_protection_disc</vt:lpstr>
      <vt:lpstr>general_risk_protection_per</vt:lpstr>
      <vt:lpstr>general_risk_protection_uw</vt:lpstr>
      <vt:lpstr>group_size_master</vt:lpstr>
      <vt:lpstr>grp_claim_details</vt:lpstr>
      <vt:lpstr>grp_client_information</vt:lpstr>
      <vt:lpstr>grp_contribution_details</vt:lpstr>
      <vt:lpstr>grp_custom_clauses</vt:lpstr>
      <vt:lpstr>grp_default_clauses</vt:lpstr>
      <vt:lpstr>grp_discount_parameter_options</vt:lpstr>
      <vt:lpstr>grp_display_no_of_lines</vt:lpstr>
      <vt:lpstr>grp_loading_and_discount</vt:lpstr>
      <vt:lpstr>grp_loading_parameter_options</vt:lpstr>
      <vt:lpstr>grp_loc_count</vt:lpstr>
      <vt:lpstr>grp_medex</vt:lpstr>
      <vt:lpstr>grp_occupational_disease</vt:lpstr>
      <vt:lpstr>grp_product_details</vt:lpstr>
      <vt:lpstr>grp_risk_detail</vt:lpstr>
      <vt:lpstr>grp_risk_location_1</vt:lpstr>
      <vt:lpstr>grp_risk_location_2</vt:lpstr>
      <vt:lpstr>grp_risk_location_3</vt:lpstr>
      <vt:lpstr>grp_risk_location_4</vt:lpstr>
      <vt:lpstr>grp_risk_location_5</vt:lpstr>
      <vt:lpstr>grp_risk_protection_features</vt:lpstr>
      <vt:lpstr>grp_trade_category</vt:lpstr>
      <vt:lpstr>grp_underwriter_remarks</vt:lpstr>
      <vt:lpstr>grp_uw_outputs</vt:lpstr>
      <vt:lpstr>grp_uw_referral</vt:lpstr>
      <vt:lpstr>grp_wc_tariff_premium</vt:lpstr>
      <vt:lpstr>grp_work_details</vt:lpstr>
      <vt:lpstr>grp_worker_details_1</vt:lpstr>
      <vt:lpstr>grp_worker_details_10</vt:lpstr>
      <vt:lpstr>grp_worker_details_11</vt:lpstr>
      <vt:lpstr>grp_worker_details_12</vt:lpstr>
      <vt:lpstr>grp_worker_details_13</vt:lpstr>
      <vt:lpstr>grp_worker_details_14</vt:lpstr>
      <vt:lpstr>grp_worker_details_15</vt:lpstr>
      <vt:lpstr>grp_worker_details_16</vt:lpstr>
      <vt:lpstr>grp_worker_details_17</vt:lpstr>
      <vt:lpstr>grp_worker_details_18</vt:lpstr>
      <vt:lpstr>grp_worker_details_19</vt:lpstr>
      <vt:lpstr>grp_worker_details_2</vt:lpstr>
      <vt:lpstr>grp_worker_details_20</vt:lpstr>
      <vt:lpstr>grp_worker_details_21</vt:lpstr>
      <vt:lpstr>grp_worker_details_22</vt:lpstr>
      <vt:lpstr>grp_worker_details_23</vt:lpstr>
      <vt:lpstr>grp_worker_details_24</vt:lpstr>
      <vt:lpstr>grp_worker_details_25</vt:lpstr>
      <vt:lpstr>grp_worker_details_26</vt:lpstr>
      <vt:lpstr>grp_worker_details_27</vt:lpstr>
      <vt:lpstr>grp_worker_details_28</vt:lpstr>
      <vt:lpstr>grp_worker_details_29</vt:lpstr>
      <vt:lpstr>grp_worker_details_3</vt:lpstr>
      <vt:lpstr>grp_worker_details_30</vt:lpstr>
      <vt:lpstr>grp_worker_details_31</vt:lpstr>
      <vt:lpstr>grp_worker_details_32</vt:lpstr>
      <vt:lpstr>grp_worker_details_33</vt:lpstr>
      <vt:lpstr>grp_worker_details_34</vt:lpstr>
      <vt:lpstr>grp_worker_details_35</vt:lpstr>
      <vt:lpstr>grp_worker_details_36</vt:lpstr>
      <vt:lpstr>grp_worker_details_37</vt:lpstr>
      <vt:lpstr>grp_worker_details_38</vt:lpstr>
      <vt:lpstr>grp_worker_details_39</vt:lpstr>
      <vt:lpstr>grp_worker_details_4</vt:lpstr>
      <vt:lpstr>grp_worker_details_40</vt:lpstr>
      <vt:lpstr>grp_worker_details_41</vt:lpstr>
      <vt:lpstr>grp_worker_details_42</vt:lpstr>
      <vt:lpstr>grp_worker_details_43</vt:lpstr>
      <vt:lpstr>grp_worker_details_44</vt:lpstr>
      <vt:lpstr>grp_worker_details_45</vt:lpstr>
      <vt:lpstr>grp_worker_details_46</vt:lpstr>
      <vt:lpstr>grp_worker_details_47</vt:lpstr>
      <vt:lpstr>grp_worker_details_48</vt:lpstr>
      <vt:lpstr>grp_worker_details_49</vt:lpstr>
      <vt:lpstr>grp_worker_details_5</vt:lpstr>
      <vt:lpstr>grp_worker_details_50</vt:lpstr>
      <vt:lpstr>grp_worker_details_6</vt:lpstr>
      <vt:lpstr>grp_worker_details_7</vt:lpstr>
      <vt:lpstr>grp_worker_details_8</vt:lpstr>
      <vt:lpstr>grp_worker_details_9</vt:lpstr>
      <vt:lpstr>gst</vt:lpstr>
      <vt:lpstr>hyd_count</vt:lpstr>
      <vt:lpstr>hyd_loc</vt:lpstr>
      <vt:lpstr>hyd_loc1</vt:lpstr>
      <vt:lpstr>igst_perc</vt:lpstr>
      <vt:lpstr>igst_value</vt:lpstr>
      <vt:lpstr>insured_name</vt:lpstr>
      <vt:lpstr>internal_uw_app</vt:lpstr>
      <vt:lpstr>kol_count</vt:lpstr>
      <vt:lpstr>kol_loc</vt:lpstr>
      <vt:lpstr>kol_loc1</vt:lpstr>
      <vt:lpstr>length_increase_tmpl</vt:lpstr>
      <vt:lpstr>load_disc_check</vt:lpstr>
      <vt:lpstr>load_disc_perc</vt:lpstr>
      <vt:lpstr>load_exp_policy_premium</vt:lpstr>
      <vt:lpstr>loading</vt:lpstr>
      <vt:lpstr>loading_discount</vt:lpstr>
      <vt:lpstr>loading_discount_uw</vt:lpstr>
      <vt:lpstr>loc_1_address_line1</vt:lpstr>
      <vt:lpstr>loc_1_address_line2</vt:lpstr>
      <vt:lpstr>loc_1_address_line3</vt:lpstr>
      <vt:lpstr>loc_1_city</vt:lpstr>
      <vt:lpstr>loc_1_city_state</vt:lpstr>
      <vt:lpstr>loc_1_pincode</vt:lpstr>
      <vt:lpstr>loc_1_state</vt:lpstr>
      <vt:lpstr>loc_2_address_line1</vt:lpstr>
      <vt:lpstr>loc_2_address_line2</vt:lpstr>
      <vt:lpstr>loc_2_address_line3</vt:lpstr>
      <vt:lpstr>loc_2_city</vt:lpstr>
      <vt:lpstr>loc_2_city_state</vt:lpstr>
      <vt:lpstr>loc_2_pincode</vt:lpstr>
      <vt:lpstr>loc_2_state</vt:lpstr>
      <vt:lpstr>loc_3_address_line1</vt:lpstr>
      <vt:lpstr>loc_3_address_line2</vt:lpstr>
      <vt:lpstr>loc_3_address_line3</vt:lpstr>
      <vt:lpstr>loc_3_city</vt:lpstr>
      <vt:lpstr>loc_3_city_state</vt:lpstr>
      <vt:lpstr>loc_3_pincode</vt:lpstr>
      <vt:lpstr>loc_3_state</vt:lpstr>
      <vt:lpstr>loc_4_address_line1</vt:lpstr>
      <vt:lpstr>loc_4_address_line2</vt:lpstr>
      <vt:lpstr>loc_4_address_line3</vt:lpstr>
      <vt:lpstr>loc_4_city</vt:lpstr>
      <vt:lpstr>loc_4_city_state</vt:lpstr>
      <vt:lpstr>loc_4_pincode</vt:lpstr>
      <vt:lpstr>loc_4_state</vt:lpstr>
      <vt:lpstr>loc_5_address_line1</vt:lpstr>
      <vt:lpstr>loc_5_address_line2</vt:lpstr>
      <vt:lpstr>loc_5_address_line3</vt:lpstr>
      <vt:lpstr>loc_5_city</vt:lpstr>
      <vt:lpstr>loc_5_city_state</vt:lpstr>
      <vt:lpstr>loc_5_pincode</vt:lpstr>
      <vt:lpstr>loc_5_state</vt:lpstr>
      <vt:lpstr>location</vt:lpstr>
      <vt:lpstr>location_1</vt:lpstr>
      <vt:lpstr>location_2</vt:lpstr>
      <vt:lpstr>location_3</vt:lpstr>
      <vt:lpstr>location_code</vt:lpstr>
      <vt:lpstr>location_count</vt:lpstr>
      <vt:lpstr>location_count_master</vt:lpstr>
      <vt:lpstr>location_group_1</vt:lpstr>
      <vt:lpstr>location_group_1_uw</vt:lpstr>
      <vt:lpstr>location_group_2</vt:lpstr>
      <vt:lpstr>location_group_2_uw</vt:lpstr>
      <vt:lpstr>location_group_3</vt:lpstr>
      <vt:lpstr>location_group_3_uw</vt:lpstr>
      <vt:lpstr>location_group1_tmpl</vt:lpstr>
      <vt:lpstr>location_group2_tmpl</vt:lpstr>
      <vt:lpstr>location_group3_tmpl</vt:lpstr>
      <vt:lpstr>location_type</vt:lpstr>
      <vt:lpstr>location_type_master</vt:lpstr>
      <vt:lpstr>location_type_users</vt:lpstr>
      <vt:lpstr>location_type_uw</vt:lpstr>
      <vt:lpstr>location1_tmpl</vt:lpstr>
      <vt:lpstr>location2_tmpl</vt:lpstr>
      <vt:lpstr>location3_tmpl</vt:lpstr>
      <vt:lpstr>locationtype_producer</vt:lpstr>
      <vt:lpstr>locationtype_uw</vt:lpstr>
      <vt:lpstr>loss_history</vt:lpstr>
      <vt:lpstr>lp_option_option_1</vt:lpstr>
      <vt:lpstr>lp_option_option_2</vt:lpstr>
      <vt:lpstr>lp_option_option_3</vt:lpstr>
      <vt:lpstr>lp_option_option_4</vt:lpstr>
      <vt:lpstr>lp_option_option_5</vt:lpstr>
      <vt:lpstr>lp_option_option_6</vt:lpstr>
      <vt:lpstr>lp_option_option_7</vt:lpstr>
      <vt:lpstr>lp_option_option_8</vt:lpstr>
      <vt:lpstr>lp_option_per_1</vt:lpstr>
      <vt:lpstr>lp_option_per_2</vt:lpstr>
      <vt:lpstr>lp_option_per_3</vt:lpstr>
      <vt:lpstr>lp_option_per_4</vt:lpstr>
      <vt:lpstr>lp_option_per_5</vt:lpstr>
      <vt:lpstr>lp_option_per_6</vt:lpstr>
      <vt:lpstr>lp_option_per_7</vt:lpstr>
      <vt:lpstr>lp_option_per_8</vt:lpstr>
      <vt:lpstr>medex_act_flag</vt:lpstr>
      <vt:lpstr>medex_actuals</vt:lpstr>
      <vt:lpstr>medex_agg_flag</vt:lpstr>
      <vt:lpstr>medex_agg_uw_error</vt:lpstr>
      <vt:lpstr>medex_agg_uw_error_msg</vt:lpstr>
      <vt:lpstr>medex_aggregate_limit</vt:lpstr>
      <vt:lpstr>medex_flag</vt:lpstr>
      <vt:lpstr>medex_loading</vt:lpstr>
      <vt:lpstr>medex_loading_uw</vt:lpstr>
      <vt:lpstr>medex_location</vt:lpstr>
      <vt:lpstr>medex_location_uw</vt:lpstr>
      <vt:lpstr>medex_master</vt:lpstr>
      <vt:lpstr>medex_option</vt:lpstr>
      <vt:lpstr>medex_per_person_limit</vt:lpstr>
      <vt:lpstr>medex_pp_flag</vt:lpstr>
      <vt:lpstr>medex_pp_uw_error</vt:lpstr>
      <vt:lpstr>medex_pp_uw_error_msg</vt:lpstr>
      <vt:lpstr>medex_prem_1</vt:lpstr>
      <vt:lpstr>medex_prem_10</vt:lpstr>
      <vt:lpstr>medex_prem_11</vt:lpstr>
      <vt:lpstr>medex_prem_12</vt:lpstr>
      <vt:lpstr>medex_prem_13</vt:lpstr>
      <vt:lpstr>medex_prem_14</vt:lpstr>
      <vt:lpstr>medex_prem_15</vt:lpstr>
      <vt:lpstr>medex_prem_2</vt:lpstr>
      <vt:lpstr>medex_prem_3</vt:lpstr>
      <vt:lpstr>medex_prem_4</vt:lpstr>
      <vt:lpstr>medex_prem_5</vt:lpstr>
      <vt:lpstr>medex_prem_6</vt:lpstr>
      <vt:lpstr>medex_prem_7</vt:lpstr>
      <vt:lpstr>medex_prem_8</vt:lpstr>
      <vt:lpstr>medex_prem_9</vt:lpstr>
      <vt:lpstr>medex_premium</vt:lpstr>
      <vt:lpstr>medex_premium_uw</vt:lpstr>
      <vt:lpstr>monthly_wages_1</vt:lpstr>
      <vt:lpstr>monthly_wages_10</vt:lpstr>
      <vt:lpstr>monthly_wages_11</vt:lpstr>
      <vt:lpstr>monthly_wages_12</vt:lpstr>
      <vt:lpstr>monthly_wages_13</vt:lpstr>
      <vt:lpstr>monthly_wages_14</vt:lpstr>
      <vt:lpstr>monthly_wages_15</vt:lpstr>
      <vt:lpstr>monthly_wages_16</vt:lpstr>
      <vt:lpstr>monthly_wages_17</vt:lpstr>
      <vt:lpstr>monthly_wages_18</vt:lpstr>
      <vt:lpstr>monthly_wages_19</vt:lpstr>
      <vt:lpstr>monthly_wages_2</vt:lpstr>
      <vt:lpstr>monthly_wages_20</vt:lpstr>
      <vt:lpstr>monthly_wages_21</vt:lpstr>
      <vt:lpstr>monthly_wages_22</vt:lpstr>
      <vt:lpstr>monthly_wages_23</vt:lpstr>
      <vt:lpstr>monthly_wages_24</vt:lpstr>
      <vt:lpstr>monthly_wages_25</vt:lpstr>
      <vt:lpstr>monthly_wages_26</vt:lpstr>
      <vt:lpstr>monthly_wages_27</vt:lpstr>
      <vt:lpstr>monthly_wages_28</vt:lpstr>
      <vt:lpstr>monthly_wages_29</vt:lpstr>
      <vt:lpstr>monthly_wages_3</vt:lpstr>
      <vt:lpstr>monthly_wages_30</vt:lpstr>
      <vt:lpstr>monthly_wages_31</vt:lpstr>
      <vt:lpstr>monthly_wages_32</vt:lpstr>
      <vt:lpstr>monthly_wages_33</vt:lpstr>
      <vt:lpstr>monthly_wages_34</vt:lpstr>
      <vt:lpstr>monthly_wages_35</vt:lpstr>
      <vt:lpstr>monthly_wages_36</vt:lpstr>
      <vt:lpstr>monthly_wages_37</vt:lpstr>
      <vt:lpstr>monthly_wages_38</vt:lpstr>
      <vt:lpstr>monthly_wages_39</vt:lpstr>
      <vt:lpstr>monthly_wages_4</vt:lpstr>
      <vt:lpstr>monthly_wages_40</vt:lpstr>
      <vt:lpstr>monthly_wages_41</vt:lpstr>
      <vt:lpstr>monthly_wages_42</vt:lpstr>
      <vt:lpstr>monthly_wages_43</vt:lpstr>
      <vt:lpstr>monthly_wages_44</vt:lpstr>
      <vt:lpstr>monthly_wages_45</vt:lpstr>
      <vt:lpstr>monthly_wages_46</vt:lpstr>
      <vt:lpstr>monthly_wages_47</vt:lpstr>
      <vt:lpstr>monthly_wages_48</vt:lpstr>
      <vt:lpstr>monthly_wages_49</vt:lpstr>
      <vt:lpstr>monthly_wages_5</vt:lpstr>
      <vt:lpstr>monthly_wages_50</vt:lpstr>
      <vt:lpstr>monthly_wages_6</vt:lpstr>
      <vt:lpstr>monthly_wages_7</vt:lpstr>
      <vt:lpstr>monthly_wages_8</vt:lpstr>
      <vt:lpstr>monthly_wages_9</vt:lpstr>
      <vt:lpstr>msme_customer</vt:lpstr>
      <vt:lpstr>msme_no</vt:lpstr>
      <vt:lpstr>msme_validation</vt:lpstr>
      <vt:lpstr>mum_count</vt:lpstr>
      <vt:lpstr>mum_loc</vt:lpstr>
      <vt:lpstr>mum_loc1</vt:lpstr>
      <vt:lpstr>nature_of_loss</vt:lpstr>
      <vt:lpstr>nb_premium</vt:lpstr>
      <vt:lpstr>net_premium</vt:lpstr>
      <vt:lpstr>net_premium_uw</vt:lpstr>
      <vt:lpstr>new_cont1</vt:lpstr>
      <vt:lpstr>new_cont2</vt:lpstr>
      <vt:lpstr>new_cont3</vt:lpstr>
      <vt:lpstr>new_trade_catg_code</vt:lpstr>
      <vt:lpstr>new_trade_catg_desc</vt:lpstr>
      <vt:lpstr>no_master</vt:lpstr>
      <vt:lpstr>no_of_days</vt:lpstr>
      <vt:lpstr>no_of_worker_1</vt:lpstr>
      <vt:lpstr>no_of_worker_10</vt:lpstr>
      <vt:lpstr>no_of_worker_11</vt:lpstr>
      <vt:lpstr>no_of_worker_12</vt:lpstr>
      <vt:lpstr>no_of_worker_13</vt:lpstr>
      <vt:lpstr>no_of_worker_14</vt:lpstr>
      <vt:lpstr>no_of_worker_15</vt:lpstr>
      <vt:lpstr>no_of_worker_16</vt:lpstr>
      <vt:lpstr>no_of_worker_17</vt:lpstr>
      <vt:lpstr>no_of_worker_18</vt:lpstr>
      <vt:lpstr>no_of_worker_19</vt:lpstr>
      <vt:lpstr>no_of_worker_2</vt:lpstr>
      <vt:lpstr>no_of_worker_20</vt:lpstr>
      <vt:lpstr>no_of_worker_21</vt:lpstr>
      <vt:lpstr>no_of_worker_22</vt:lpstr>
      <vt:lpstr>no_of_worker_23</vt:lpstr>
      <vt:lpstr>no_of_worker_24</vt:lpstr>
      <vt:lpstr>no_of_worker_25</vt:lpstr>
      <vt:lpstr>no_of_worker_26</vt:lpstr>
      <vt:lpstr>no_of_worker_27</vt:lpstr>
      <vt:lpstr>no_of_worker_28</vt:lpstr>
      <vt:lpstr>no_of_worker_29</vt:lpstr>
      <vt:lpstr>no_of_worker_3</vt:lpstr>
      <vt:lpstr>no_of_worker_30</vt:lpstr>
      <vt:lpstr>no_of_worker_31</vt:lpstr>
      <vt:lpstr>no_of_worker_32</vt:lpstr>
      <vt:lpstr>no_of_worker_33</vt:lpstr>
      <vt:lpstr>no_of_worker_34</vt:lpstr>
      <vt:lpstr>no_of_worker_35</vt:lpstr>
      <vt:lpstr>no_of_worker_36</vt:lpstr>
      <vt:lpstr>no_of_worker_37</vt:lpstr>
      <vt:lpstr>no_of_worker_38</vt:lpstr>
      <vt:lpstr>no_of_worker_39</vt:lpstr>
      <vt:lpstr>no_of_worker_4</vt:lpstr>
      <vt:lpstr>no_of_worker_40</vt:lpstr>
      <vt:lpstr>no_of_worker_41</vt:lpstr>
      <vt:lpstr>no_of_worker_42</vt:lpstr>
      <vt:lpstr>no_of_worker_43</vt:lpstr>
      <vt:lpstr>no_of_worker_44</vt:lpstr>
      <vt:lpstr>no_of_worker_45</vt:lpstr>
      <vt:lpstr>no_of_worker_46</vt:lpstr>
      <vt:lpstr>no_of_worker_47</vt:lpstr>
      <vt:lpstr>no_of_worker_48</vt:lpstr>
      <vt:lpstr>no_of_worker_49</vt:lpstr>
      <vt:lpstr>no_of_worker_5</vt:lpstr>
      <vt:lpstr>no_of_worker_50</vt:lpstr>
      <vt:lpstr>no_of_worker_6</vt:lpstr>
      <vt:lpstr>no_of_worker_7</vt:lpstr>
      <vt:lpstr>no_of_worker_8</vt:lpstr>
      <vt:lpstr>no_of_worker_9</vt:lpstr>
      <vt:lpstr>no_yes_master</vt:lpstr>
      <vt:lpstr>nsm_min_dis</vt:lpstr>
      <vt:lpstr>nstp_flag</vt:lpstr>
      <vt:lpstr>nstp_reason</vt:lpstr>
      <vt:lpstr>od_act_flag</vt:lpstr>
      <vt:lpstr>od_actuals</vt:lpstr>
      <vt:lpstr>od_actuals_uw</vt:lpstr>
      <vt:lpstr>od_agg_flag</vt:lpstr>
      <vt:lpstr>od_agg_uw_error</vt:lpstr>
      <vt:lpstr>od_agg_uw_error_msg</vt:lpstr>
      <vt:lpstr>od_aggregate_limit</vt:lpstr>
      <vt:lpstr>od_aggregate_limit_uw</vt:lpstr>
      <vt:lpstr>od_flag</vt:lpstr>
      <vt:lpstr>od_loading</vt:lpstr>
      <vt:lpstr>od_loading_per_uw</vt:lpstr>
      <vt:lpstr>od_loading_uw</vt:lpstr>
      <vt:lpstr>od_per_person_limit</vt:lpstr>
      <vt:lpstr>od_per_person_limit_uw</vt:lpstr>
      <vt:lpstr>od_pp_flag</vt:lpstr>
      <vt:lpstr>od_pp_uw_error</vt:lpstr>
      <vt:lpstr>od_pp_uw_error_msg</vt:lpstr>
      <vt:lpstr>od_prem_1</vt:lpstr>
      <vt:lpstr>od_prem_10</vt:lpstr>
      <vt:lpstr>od_prem_11</vt:lpstr>
      <vt:lpstr>od_prem_12</vt:lpstr>
      <vt:lpstr>od_prem_13</vt:lpstr>
      <vt:lpstr>od_prem_14</vt:lpstr>
      <vt:lpstr>od_prem_15</vt:lpstr>
      <vt:lpstr>od_prem_2</vt:lpstr>
      <vt:lpstr>od_prem_3</vt:lpstr>
      <vt:lpstr>od_prem_4</vt:lpstr>
      <vt:lpstr>od_prem_5</vt:lpstr>
      <vt:lpstr>od_prem_6</vt:lpstr>
      <vt:lpstr>od_prem_7</vt:lpstr>
      <vt:lpstr>od_prem_8</vt:lpstr>
      <vt:lpstr>od_prem_9</vt:lpstr>
      <vt:lpstr>od_premium</vt:lpstr>
      <vt:lpstr>od_premium_uw</vt:lpstr>
      <vt:lpstr>old_new_uin</vt:lpstr>
      <vt:lpstr>open_claims</vt:lpstr>
      <vt:lpstr>option_1</vt:lpstr>
      <vt:lpstr>option_10</vt:lpstr>
      <vt:lpstr>option_11</vt:lpstr>
      <vt:lpstr>option_12</vt:lpstr>
      <vt:lpstr>option_13</vt:lpstr>
      <vt:lpstr>option_2</vt:lpstr>
      <vt:lpstr>option_3</vt:lpstr>
      <vt:lpstr>option_4</vt:lpstr>
      <vt:lpstr>option_5</vt:lpstr>
      <vt:lpstr>option_6</vt:lpstr>
      <vt:lpstr>option_7</vt:lpstr>
      <vt:lpstr>option_8</vt:lpstr>
      <vt:lpstr>option_9</vt:lpstr>
      <vt:lpstr>option_per_1</vt:lpstr>
      <vt:lpstr>option_per_10</vt:lpstr>
      <vt:lpstr>option_per_11</vt:lpstr>
      <vt:lpstr>option_per_12</vt:lpstr>
      <vt:lpstr>option_per_13</vt:lpstr>
      <vt:lpstr>option_per_2</vt:lpstr>
      <vt:lpstr>option_per_3</vt:lpstr>
      <vt:lpstr>option_per_4</vt:lpstr>
      <vt:lpstr>option_per_5</vt:lpstr>
      <vt:lpstr>option_per_6</vt:lpstr>
      <vt:lpstr>option_per_7</vt:lpstr>
      <vt:lpstr>option_per_8</vt:lpstr>
      <vt:lpstr>option_per_9</vt:lpstr>
      <vt:lpstr>os_claim_amount</vt:lpstr>
      <vt:lpstr>paid_claim_amount</vt:lpstr>
      <vt:lpstr>paid_claims</vt:lpstr>
      <vt:lpstr>per_day_permium</vt:lpstr>
      <vt:lpstr>policy_status</vt:lpstr>
      <vt:lpstr>policy_term</vt:lpstr>
      <vt:lpstr>policy_term_master</vt:lpstr>
      <vt:lpstr>premium_api</vt:lpstr>
      <vt:lpstr>premium_display_master</vt:lpstr>
      <vt:lpstr>print_trade_category_details</vt:lpstr>
      <vt:lpstr>producer_load_perc_uw</vt:lpstr>
      <vt:lpstr>producer_max_load</vt:lpstr>
      <vt:lpstr>producer_min_dis</vt:lpstr>
      <vt:lpstr>producer_type</vt:lpstr>
      <vt:lpstr>product_code_sequence</vt:lpstr>
      <vt:lpstr>proposer_address_line1</vt:lpstr>
      <vt:lpstr>proposer_address_line2</vt:lpstr>
      <vt:lpstr>proposer_address_line3</vt:lpstr>
      <vt:lpstr>proposer_city</vt:lpstr>
      <vt:lpstr>proposer_city_state</vt:lpstr>
      <vt:lpstr>proposer_pincode</vt:lpstr>
      <vt:lpstr>proposer_state</vt:lpstr>
      <vt:lpstr>proposer_telephone</vt:lpstr>
      <vt:lpstr>pun_count</vt:lpstr>
      <vt:lpstr>pun_loc</vt:lpstr>
      <vt:lpstr>pun_loc1</vt:lpstr>
      <vt:lpstr>pup_dl</vt:lpstr>
      <vt:lpstr>quote_state_code</vt:lpstr>
      <vt:lpstr>rate_loc1_1</vt:lpstr>
      <vt:lpstr>rate_loc1_10</vt:lpstr>
      <vt:lpstr>rate_loc1_11</vt:lpstr>
      <vt:lpstr>rate_loc1_12</vt:lpstr>
      <vt:lpstr>rate_loc1_13</vt:lpstr>
      <vt:lpstr>rate_loc1_14</vt:lpstr>
      <vt:lpstr>rate_loc1_15</vt:lpstr>
      <vt:lpstr>rate_loc1_16</vt:lpstr>
      <vt:lpstr>rate_loc1_17</vt:lpstr>
      <vt:lpstr>rate_loc1_18</vt:lpstr>
      <vt:lpstr>rate_loc1_19</vt:lpstr>
      <vt:lpstr>rate_loc1_2</vt:lpstr>
      <vt:lpstr>rate_loc1_20</vt:lpstr>
      <vt:lpstr>rate_loc1_21</vt:lpstr>
      <vt:lpstr>rate_loc1_22</vt:lpstr>
      <vt:lpstr>rate_loc1_23</vt:lpstr>
      <vt:lpstr>rate_loc1_24</vt:lpstr>
      <vt:lpstr>rate_loc1_25</vt:lpstr>
      <vt:lpstr>rate_loc1_26</vt:lpstr>
      <vt:lpstr>rate_loc1_27</vt:lpstr>
      <vt:lpstr>rate_loc1_28</vt:lpstr>
      <vt:lpstr>rate_loc1_29</vt:lpstr>
      <vt:lpstr>rate_loc1_3</vt:lpstr>
      <vt:lpstr>rate_loc1_30</vt:lpstr>
      <vt:lpstr>rate_loc1_31</vt:lpstr>
      <vt:lpstr>rate_loc1_32</vt:lpstr>
      <vt:lpstr>rate_loc1_33</vt:lpstr>
      <vt:lpstr>rate_loc1_34</vt:lpstr>
      <vt:lpstr>rate_loc1_35</vt:lpstr>
      <vt:lpstr>rate_loc1_36</vt:lpstr>
      <vt:lpstr>rate_loc1_37</vt:lpstr>
      <vt:lpstr>rate_loc1_38</vt:lpstr>
      <vt:lpstr>rate_loc1_39</vt:lpstr>
      <vt:lpstr>rate_loc1_4</vt:lpstr>
      <vt:lpstr>rate_loc1_40</vt:lpstr>
      <vt:lpstr>rate_loc1_41</vt:lpstr>
      <vt:lpstr>rate_loc1_42</vt:lpstr>
      <vt:lpstr>rate_loc1_43</vt:lpstr>
      <vt:lpstr>rate_loc1_44</vt:lpstr>
      <vt:lpstr>rate_loc1_45</vt:lpstr>
      <vt:lpstr>rate_loc1_46</vt:lpstr>
      <vt:lpstr>rate_loc1_47</vt:lpstr>
      <vt:lpstr>rate_loc1_48</vt:lpstr>
      <vt:lpstr>rate_loc1_49</vt:lpstr>
      <vt:lpstr>rate_loc1_5</vt:lpstr>
      <vt:lpstr>rate_loc1_50</vt:lpstr>
      <vt:lpstr>rate_loc1_6</vt:lpstr>
      <vt:lpstr>rate_loc1_7</vt:lpstr>
      <vt:lpstr>rate_loc1_8</vt:lpstr>
      <vt:lpstr>rate_loc1_9</vt:lpstr>
      <vt:lpstr>rate_loc1a_1</vt:lpstr>
      <vt:lpstr>rate_loc1a_10</vt:lpstr>
      <vt:lpstr>rate_loc1a_11</vt:lpstr>
      <vt:lpstr>rate_loc1a_12</vt:lpstr>
      <vt:lpstr>rate_loc1a_13</vt:lpstr>
      <vt:lpstr>rate_loc1a_14</vt:lpstr>
      <vt:lpstr>rate_loc1a_15</vt:lpstr>
      <vt:lpstr>rate_loc1a_16</vt:lpstr>
      <vt:lpstr>rate_loc1a_17</vt:lpstr>
      <vt:lpstr>rate_loc1a_18</vt:lpstr>
      <vt:lpstr>rate_loc1a_19</vt:lpstr>
      <vt:lpstr>rate_loc1a_2</vt:lpstr>
      <vt:lpstr>rate_loc1a_20</vt:lpstr>
      <vt:lpstr>rate_loc1a_21</vt:lpstr>
      <vt:lpstr>rate_loc1a_22</vt:lpstr>
      <vt:lpstr>rate_loc1a_23</vt:lpstr>
      <vt:lpstr>rate_loc1a_24</vt:lpstr>
      <vt:lpstr>rate_loc1a_25</vt:lpstr>
      <vt:lpstr>rate_loc1a_26</vt:lpstr>
      <vt:lpstr>rate_loc1a_27</vt:lpstr>
      <vt:lpstr>rate_loc1a_28</vt:lpstr>
      <vt:lpstr>rate_loc1a_29</vt:lpstr>
      <vt:lpstr>rate_loc1a_3</vt:lpstr>
      <vt:lpstr>rate_loc1a_30</vt:lpstr>
      <vt:lpstr>rate_loc1a_31</vt:lpstr>
      <vt:lpstr>rate_loc1a_32</vt:lpstr>
      <vt:lpstr>rate_loc1a_33</vt:lpstr>
      <vt:lpstr>rate_loc1a_34</vt:lpstr>
      <vt:lpstr>rate_loc1a_35</vt:lpstr>
      <vt:lpstr>rate_loc1a_36</vt:lpstr>
      <vt:lpstr>rate_loc1a_37</vt:lpstr>
      <vt:lpstr>rate_loc1a_38</vt:lpstr>
      <vt:lpstr>rate_loc1a_39</vt:lpstr>
      <vt:lpstr>rate_loc1a_4</vt:lpstr>
      <vt:lpstr>rate_loc1a_40</vt:lpstr>
      <vt:lpstr>rate_loc1a_41</vt:lpstr>
      <vt:lpstr>rate_loc1a_42</vt:lpstr>
      <vt:lpstr>rate_loc1a_43</vt:lpstr>
      <vt:lpstr>rate_loc1a_44</vt:lpstr>
      <vt:lpstr>rate_loc1a_45</vt:lpstr>
      <vt:lpstr>rate_loc1a_46</vt:lpstr>
      <vt:lpstr>rate_loc1a_47</vt:lpstr>
      <vt:lpstr>rate_loc1a_48</vt:lpstr>
      <vt:lpstr>rate_loc1a_49</vt:lpstr>
      <vt:lpstr>rate_loc1a_5</vt:lpstr>
      <vt:lpstr>rate_loc1a_50</vt:lpstr>
      <vt:lpstr>rate_loc1a_6</vt:lpstr>
      <vt:lpstr>rate_loc1a_7</vt:lpstr>
      <vt:lpstr>rate_loc1a_8</vt:lpstr>
      <vt:lpstr>rate_loc1a_9</vt:lpstr>
      <vt:lpstr>rate_loc2_1</vt:lpstr>
      <vt:lpstr>rate_loc2_10</vt:lpstr>
      <vt:lpstr>rate_loc2_11</vt:lpstr>
      <vt:lpstr>rate_loc2_12</vt:lpstr>
      <vt:lpstr>rate_loc2_13</vt:lpstr>
      <vt:lpstr>rate_loc2_14</vt:lpstr>
      <vt:lpstr>rate_loc2_15</vt:lpstr>
      <vt:lpstr>rate_loc2_16</vt:lpstr>
      <vt:lpstr>rate_loc2_17</vt:lpstr>
      <vt:lpstr>rate_loc2_18</vt:lpstr>
      <vt:lpstr>rate_loc2_19</vt:lpstr>
      <vt:lpstr>rate_loc2_2</vt:lpstr>
      <vt:lpstr>rate_loc2_20</vt:lpstr>
      <vt:lpstr>rate_loc2_21</vt:lpstr>
      <vt:lpstr>rate_loc2_22</vt:lpstr>
      <vt:lpstr>rate_loc2_23</vt:lpstr>
      <vt:lpstr>rate_loc2_24</vt:lpstr>
      <vt:lpstr>rate_loc2_25</vt:lpstr>
      <vt:lpstr>rate_loc2_26</vt:lpstr>
      <vt:lpstr>rate_loc2_27</vt:lpstr>
      <vt:lpstr>rate_loc2_28</vt:lpstr>
      <vt:lpstr>rate_loc2_29</vt:lpstr>
      <vt:lpstr>rate_loc2_3</vt:lpstr>
      <vt:lpstr>rate_loc2_30</vt:lpstr>
      <vt:lpstr>rate_loc2_31</vt:lpstr>
      <vt:lpstr>rate_loc2_32</vt:lpstr>
      <vt:lpstr>rate_loc2_33</vt:lpstr>
      <vt:lpstr>rate_loc2_34</vt:lpstr>
      <vt:lpstr>rate_loc2_35</vt:lpstr>
      <vt:lpstr>rate_loc2_36</vt:lpstr>
      <vt:lpstr>rate_loc2_37</vt:lpstr>
      <vt:lpstr>rate_loc2_38</vt:lpstr>
      <vt:lpstr>rate_loc2_39</vt:lpstr>
      <vt:lpstr>rate_loc2_4</vt:lpstr>
      <vt:lpstr>rate_loc2_40</vt:lpstr>
      <vt:lpstr>rate_loc2_41</vt:lpstr>
      <vt:lpstr>rate_loc2_42</vt:lpstr>
      <vt:lpstr>rate_loc2_43</vt:lpstr>
      <vt:lpstr>rate_loc2_44</vt:lpstr>
      <vt:lpstr>rate_loc2_45</vt:lpstr>
      <vt:lpstr>rate_loc2_46</vt:lpstr>
      <vt:lpstr>rate_loc2_47</vt:lpstr>
      <vt:lpstr>rate_loc2_48</vt:lpstr>
      <vt:lpstr>rate_loc2_49</vt:lpstr>
      <vt:lpstr>rate_loc2_5</vt:lpstr>
      <vt:lpstr>rate_loc2_50</vt:lpstr>
      <vt:lpstr>rate_loc2_6</vt:lpstr>
      <vt:lpstr>rate_loc2_7</vt:lpstr>
      <vt:lpstr>rate_loc2_8</vt:lpstr>
      <vt:lpstr>rate_loc2_9</vt:lpstr>
      <vt:lpstr>rate_loc2b_1</vt:lpstr>
      <vt:lpstr>rate_loc2b_10</vt:lpstr>
      <vt:lpstr>rate_loc2b_11</vt:lpstr>
      <vt:lpstr>rate_loc2b_12</vt:lpstr>
      <vt:lpstr>rate_loc2b_13</vt:lpstr>
      <vt:lpstr>rate_loc2b_14</vt:lpstr>
      <vt:lpstr>rate_loc2b_15</vt:lpstr>
      <vt:lpstr>rate_loc2b_16</vt:lpstr>
      <vt:lpstr>rate_loc2b_17</vt:lpstr>
      <vt:lpstr>rate_loc2b_18</vt:lpstr>
      <vt:lpstr>rate_loc2b_19</vt:lpstr>
      <vt:lpstr>rate_loc2b_2</vt:lpstr>
      <vt:lpstr>rate_loc2b_20</vt:lpstr>
      <vt:lpstr>rate_loc2b_21</vt:lpstr>
      <vt:lpstr>rate_loc2b_22</vt:lpstr>
      <vt:lpstr>rate_loc2b_23</vt:lpstr>
      <vt:lpstr>rate_loc2b_24</vt:lpstr>
      <vt:lpstr>rate_loc2b_25</vt:lpstr>
      <vt:lpstr>rate_loc2b_26</vt:lpstr>
      <vt:lpstr>rate_loc2b_27</vt:lpstr>
      <vt:lpstr>rate_loc2b_28</vt:lpstr>
      <vt:lpstr>rate_loc2b_29</vt:lpstr>
      <vt:lpstr>rate_loc2b_3</vt:lpstr>
      <vt:lpstr>rate_loc2b_30</vt:lpstr>
      <vt:lpstr>rate_loc2b_31</vt:lpstr>
      <vt:lpstr>rate_loc2b_32</vt:lpstr>
      <vt:lpstr>rate_loc2b_33</vt:lpstr>
      <vt:lpstr>rate_loc2b_34</vt:lpstr>
      <vt:lpstr>rate_loc2b_35</vt:lpstr>
      <vt:lpstr>rate_loc2b_36</vt:lpstr>
      <vt:lpstr>rate_loc2b_37</vt:lpstr>
      <vt:lpstr>rate_loc2b_38</vt:lpstr>
      <vt:lpstr>rate_loc2b_39</vt:lpstr>
      <vt:lpstr>rate_loc2b_4</vt:lpstr>
      <vt:lpstr>rate_loc2b_40</vt:lpstr>
      <vt:lpstr>rate_loc2b_41</vt:lpstr>
      <vt:lpstr>rate_loc2b_42</vt:lpstr>
      <vt:lpstr>rate_loc2b_43</vt:lpstr>
      <vt:lpstr>rate_loc2b_44</vt:lpstr>
      <vt:lpstr>rate_loc2b_45</vt:lpstr>
      <vt:lpstr>rate_loc2b_46</vt:lpstr>
      <vt:lpstr>rate_loc2b_47</vt:lpstr>
      <vt:lpstr>rate_loc2b_48</vt:lpstr>
      <vt:lpstr>rate_loc2b_49</vt:lpstr>
      <vt:lpstr>rate_loc2b_5</vt:lpstr>
      <vt:lpstr>rate_loc2b_50</vt:lpstr>
      <vt:lpstr>rate_loc2b_6</vt:lpstr>
      <vt:lpstr>rate_loc2b_7</vt:lpstr>
      <vt:lpstr>rate_loc2b_8</vt:lpstr>
      <vt:lpstr>rate_loc2b_9</vt:lpstr>
      <vt:lpstr>rate_loc3_1</vt:lpstr>
      <vt:lpstr>rate_loc3_10</vt:lpstr>
      <vt:lpstr>rate_loc3_11</vt:lpstr>
      <vt:lpstr>rate_loc3_12</vt:lpstr>
      <vt:lpstr>rate_loc3_13</vt:lpstr>
      <vt:lpstr>rate_loc3_14</vt:lpstr>
      <vt:lpstr>rate_loc3_15</vt:lpstr>
      <vt:lpstr>rate_loc3_16</vt:lpstr>
      <vt:lpstr>rate_loc3_17</vt:lpstr>
      <vt:lpstr>rate_loc3_18</vt:lpstr>
      <vt:lpstr>rate_loc3_19</vt:lpstr>
      <vt:lpstr>rate_loc3_2</vt:lpstr>
      <vt:lpstr>rate_loc3_20</vt:lpstr>
      <vt:lpstr>rate_loc3_21</vt:lpstr>
      <vt:lpstr>rate_loc3_22</vt:lpstr>
      <vt:lpstr>rate_loc3_23</vt:lpstr>
      <vt:lpstr>rate_loc3_24</vt:lpstr>
      <vt:lpstr>rate_loc3_25</vt:lpstr>
      <vt:lpstr>rate_loc3_26</vt:lpstr>
      <vt:lpstr>rate_loc3_27</vt:lpstr>
      <vt:lpstr>rate_loc3_28</vt:lpstr>
      <vt:lpstr>rate_loc3_29</vt:lpstr>
      <vt:lpstr>rate_loc3_3</vt:lpstr>
      <vt:lpstr>rate_loc3_30</vt:lpstr>
      <vt:lpstr>rate_loc3_31</vt:lpstr>
      <vt:lpstr>rate_loc3_32</vt:lpstr>
      <vt:lpstr>rate_loc3_33</vt:lpstr>
      <vt:lpstr>rate_loc3_34</vt:lpstr>
      <vt:lpstr>rate_loc3_35</vt:lpstr>
      <vt:lpstr>rate_loc3_36</vt:lpstr>
      <vt:lpstr>rate_loc3_37</vt:lpstr>
      <vt:lpstr>rate_loc3_38</vt:lpstr>
      <vt:lpstr>rate_loc3_39</vt:lpstr>
      <vt:lpstr>rate_loc3_4</vt:lpstr>
      <vt:lpstr>rate_loc3_40</vt:lpstr>
      <vt:lpstr>rate_loc3_41</vt:lpstr>
      <vt:lpstr>rate_loc3_42</vt:lpstr>
      <vt:lpstr>rate_loc3_43</vt:lpstr>
      <vt:lpstr>rate_loc3_44</vt:lpstr>
      <vt:lpstr>rate_loc3_45</vt:lpstr>
      <vt:lpstr>rate_loc3_46</vt:lpstr>
      <vt:lpstr>rate_loc3_47</vt:lpstr>
      <vt:lpstr>rate_loc3_48</vt:lpstr>
      <vt:lpstr>rate_loc3_49</vt:lpstr>
      <vt:lpstr>rate_loc3_5</vt:lpstr>
      <vt:lpstr>rate_loc3_50</vt:lpstr>
      <vt:lpstr>rate_loc3_6</vt:lpstr>
      <vt:lpstr>rate_loc3_7</vt:lpstr>
      <vt:lpstr>rate_loc3_8</vt:lpstr>
      <vt:lpstr>rate_loc3_9</vt:lpstr>
      <vt:lpstr>rate_loc3c_1</vt:lpstr>
      <vt:lpstr>rate_loc3c_10</vt:lpstr>
      <vt:lpstr>rate_loc3c_11</vt:lpstr>
      <vt:lpstr>rate_loc3c_12</vt:lpstr>
      <vt:lpstr>rate_loc3c_13</vt:lpstr>
      <vt:lpstr>rate_loc3c_14</vt:lpstr>
      <vt:lpstr>rate_loc3c_15</vt:lpstr>
      <vt:lpstr>rate_loc3c_16</vt:lpstr>
      <vt:lpstr>rate_loc3c_17</vt:lpstr>
      <vt:lpstr>rate_loc3c_18</vt:lpstr>
      <vt:lpstr>rate_loc3c_19</vt:lpstr>
      <vt:lpstr>rate_loc3c_2</vt:lpstr>
      <vt:lpstr>rate_loc3c_20</vt:lpstr>
      <vt:lpstr>rate_loc3c_21</vt:lpstr>
      <vt:lpstr>rate_loc3c_22</vt:lpstr>
      <vt:lpstr>rate_loc3c_23</vt:lpstr>
      <vt:lpstr>rate_loc3c_24</vt:lpstr>
      <vt:lpstr>rate_loc3c_25</vt:lpstr>
      <vt:lpstr>rate_loc3c_26</vt:lpstr>
      <vt:lpstr>rate_loc3c_27</vt:lpstr>
      <vt:lpstr>rate_loc3c_28</vt:lpstr>
      <vt:lpstr>rate_loc3c_29</vt:lpstr>
      <vt:lpstr>rate_loc3c_3</vt:lpstr>
      <vt:lpstr>rate_loc3c_30</vt:lpstr>
      <vt:lpstr>rate_loc3c_31</vt:lpstr>
      <vt:lpstr>rate_loc3c_32</vt:lpstr>
      <vt:lpstr>rate_loc3c_33</vt:lpstr>
      <vt:lpstr>rate_loc3c_34</vt:lpstr>
      <vt:lpstr>rate_loc3c_35</vt:lpstr>
      <vt:lpstr>rate_loc3c_36</vt:lpstr>
      <vt:lpstr>rate_loc3c_37</vt:lpstr>
      <vt:lpstr>rate_loc3c_38</vt:lpstr>
      <vt:lpstr>rate_loc3c_39</vt:lpstr>
      <vt:lpstr>rate_loc3c_4</vt:lpstr>
      <vt:lpstr>rate_loc3c_40</vt:lpstr>
      <vt:lpstr>rate_loc3c_41</vt:lpstr>
      <vt:lpstr>rate_loc3c_42</vt:lpstr>
      <vt:lpstr>rate_loc3c_43</vt:lpstr>
      <vt:lpstr>rate_loc3c_44</vt:lpstr>
      <vt:lpstr>rate_loc3c_45</vt:lpstr>
      <vt:lpstr>rate_loc3c_46</vt:lpstr>
      <vt:lpstr>rate_loc3c_47</vt:lpstr>
      <vt:lpstr>rate_loc3c_48</vt:lpstr>
      <vt:lpstr>rate_loc3c_49</vt:lpstr>
      <vt:lpstr>rate_loc3c_5</vt:lpstr>
      <vt:lpstr>rate_loc3c_50</vt:lpstr>
      <vt:lpstr>rate_loc3c_6</vt:lpstr>
      <vt:lpstr>rate_loc3c_7</vt:lpstr>
      <vt:lpstr>rate_loc3c_8</vt:lpstr>
      <vt:lpstr>rate_loc3c_9</vt:lpstr>
      <vt:lpstr>refer_to_uw</vt:lpstr>
      <vt:lpstr>req_prem</vt:lpstr>
      <vt:lpstr>req_prem_check</vt:lpstr>
      <vt:lpstr>required_premium</vt:lpstr>
      <vt:lpstr>revised_exp_policy_premium</vt:lpstr>
      <vt:lpstr>revised_trade_catg</vt:lpstr>
      <vt:lpstr>risk_city_check</vt:lpstr>
      <vt:lpstr>risk_state_check</vt:lpstr>
      <vt:lpstr>risk1_pin_check</vt:lpstr>
      <vt:lpstr>risk2_pin_check</vt:lpstr>
      <vt:lpstr>risk3_pin_check</vt:lpstr>
      <vt:lpstr>risk4_pin_check</vt:lpstr>
      <vt:lpstr>risk5_pin_check</vt:lpstr>
      <vt:lpstr>rv_trade_ctg_code1</vt:lpstr>
      <vt:lpstr>rv_trade_ctg_code10</vt:lpstr>
      <vt:lpstr>rv_trade_ctg_code11</vt:lpstr>
      <vt:lpstr>rv_trade_ctg_code12</vt:lpstr>
      <vt:lpstr>rv_trade_ctg_code13</vt:lpstr>
      <vt:lpstr>rv_trade_ctg_code14</vt:lpstr>
      <vt:lpstr>rv_trade_ctg_code15</vt:lpstr>
      <vt:lpstr>rv_trade_ctg_code16</vt:lpstr>
      <vt:lpstr>rv_trade_ctg_code17</vt:lpstr>
      <vt:lpstr>rv_trade_ctg_code18</vt:lpstr>
      <vt:lpstr>rv_trade_ctg_code19</vt:lpstr>
      <vt:lpstr>rv_trade_ctg_code2</vt:lpstr>
      <vt:lpstr>rv_trade_ctg_code20</vt:lpstr>
      <vt:lpstr>rv_trade_ctg_code21</vt:lpstr>
      <vt:lpstr>rv_trade_ctg_code22</vt:lpstr>
      <vt:lpstr>rv_trade_ctg_code23</vt:lpstr>
      <vt:lpstr>rv_trade_ctg_code24</vt:lpstr>
      <vt:lpstr>rv_trade_ctg_code25</vt:lpstr>
      <vt:lpstr>rv_trade_ctg_code26</vt:lpstr>
      <vt:lpstr>rv_trade_ctg_code27</vt:lpstr>
      <vt:lpstr>rv_trade_ctg_code28</vt:lpstr>
      <vt:lpstr>rv_trade_ctg_code29</vt:lpstr>
      <vt:lpstr>rv_trade_ctg_code3</vt:lpstr>
      <vt:lpstr>rv_trade_ctg_code30</vt:lpstr>
      <vt:lpstr>rv_trade_ctg_code31</vt:lpstr>
      <vt:lpstr>rv_trade_ctg_code32</vt:lpstr>
      <vt:lpstr>rv_trade_ctg_code33</vt:lpstr>
      <vt:lpstr>rv_trade_ctg_code34</vt:lpstr>
      <vt:lpstr>rv_trade_ctg_code35</vt:lpstr>
      <vt:lpstr>rv_trade_ctg_code36</vt:lpstr>
      <vt:lpstr>rv_trade_ctg_code37</vt:lpstr>
      <vt:lpstr>rv_trade_ctg_code38</vt:lpstr>
      <vt:lpstr>rv_trade_ctg_code39</vt:lpstr>
      <vt:lpstr>rv_trade_ctg_code4</vt:lpstr>
      <vt:lpstr>rv_trade_ctg_code40</vt:lpstr>
      <vt:lpstr>rv_trade_ctg_code41</vt:lpstr>
      <vt:lpstr>rv_trade_ctg_code42</vt:lpstr>
      <vt:lpstr>rv_trade_ctg_code43</vt:lpstr>
      <vt:lpstr>rv_trade_ctg_code44</vt:lpstr>
      <vt:lpstr>rv_trade_ctg_code45</vt:lpstr>
      <vt:lpstr>rv_trade_ctg_code46</vt:lpstr>
      <vt:lpstr>rv_trade_ctg_code47</vt:lpstr>
      <vt:lpstr>rv_trade_ctg_code48</vt:lpstr>
      <vt:lpstr>rv_trade_ctg_code49</vt:lpstr>
      <vt:lpstr>rv_trade_ctg_code5</vt:lpstr>
      <vt:lpstr>rv_trade_ctg_code50</vt:lpstr>
      <vt:lpstr>rv_trade_ctg_code6</vt:lpstr>
      <vt:lpstr>rv_trade_ctg_code7</vt:lpstr>
      <vt:lpstr>rv_trade_ctg_code8</vt:lpstr>
      <vt:lpstr>rv_trade_ctg_code9</vt:lpstr>
      <vt:lpstr>rv_trade_ctg_desc1</vt:lpstr>
      <vt:lpstr>rv_trade_ctg_desc10</vt:lpstr>
      <vt:lpstr>rv_trade_ctg_desc11</vt:lpstr>
      <vt:lpstr>rv_trade_ctg_desc12</vt:lpstr>
      <vt:lpstr>rv_trade_ctg_desc13</vt:lpstr>
      <vt:lpstr>rv_trade_ctg_desc14</vt:lpstr>
      <vt:lpstr>rv_trade_ctg_desc15</vt:lpstr>
      <vt:lpstr>rv_trade_ctg_desc16</vt:lpstr>
      <vt:lpstr>rv_trade_ctg_desc17</vt:lpstr>
      <vt:lpstr>rv_trade_ctg_desc18</vt:lpstr>
      <vt:lpstr>rv_trade_ctg_desc19</vt:lpstr>
      <vt:lpstr>rv_trade_ctg_desc2</vt:lpstr>
      <vt:lpstr>rv_trade_ctg_desc20</vt:lpstr>
      <vt:lpstr>rv_trade_ctg_desc21</vt:lpstr>
      <vt:lpstr>rv_trade_ctg_desc22</vt:lpstr>
      <vt:lpstr>rv_trade_ctg_desc23</vt:lpstr>
      <vt:lpstr>rv_trade_ctg_desc24</vt:lpstr>
      <vt:lpstr>rv_trade_ctg_desc25</vt:lpstr>
      <vt:lpstr>rv_trade_ctg_desc26</vt:lpstr>
      <vt:lpstr>rv_trade_ctg_desc27</vt:lpstr>
      <vt:lpstr>rv_trade_ctg_desc28</vt:lpstr>
      <vt:lpstr>rv_trade_ctg_desc29</vt:lpstr>
      <vt:lpstr>rv_trade_ctg_desc3</vt:lpstr>
      <vt:lpstr>rv_trade_ctg_desc30</vt:lpstr>
      <vt:lpstr>rv_trade_ctg_desc31</vt:lpstr>
      <vt:lpstr>rv_trade_ctg_desc32</vt:lpstr>
      <vt:lpstr>rv_trade_ctg_desc33</vt:lpstr>
      <vt:lpstr>rv_trade_ctg_desc34</vt:lpstr>
      <vt:lpstr>rv_trade_ctg_desc35</vt:lpstr>
      <vt:lpstr>rv_trade_ctg_desc36</vt:lpstr>
      <vt:lpstr>rv_trade_ctg_desc37</vt:lpstr>
      <vt:lpstr>rv_trade_ctg_desc38</vt:lpstr>
      <vt:lpstr>rv_trade_ctg_desc39</vt:lpstr>
      <vt:lpstr>rv_trade_ctg_desc4</vt:lpstr>
      <vt:lpstr>rv_trade_ctg_desc40</vt:lpstr>
      <vt:lpstr>rv_trade_ctg_desc41</vt:lpstr>
      <vt:lpstr>rv_trade_ctg_desc42</vt:lpstr>
      <vt:lpstr>rv_trade_ctg_desc43</vt:lpstr>
      <vt:lpstr>rv_trade_ctg_desc44</vt:lpstr>
      <vt:lpstr>rv_trade_ctg_desc45</vt:lpstr>
      <vt:lpstr>rv_trade_ctg_desc46</vt:lpstr>
      <vt:lpstr>rv_trade_ctg_desc47</vt:lpstr>
      <vt:lpstr>rv_trade_ctg_desc48</vt:lpstr>
      <vt:lpstr>rv_trade_ctg_desc49</vt:lpstr>
      <vt:lpstr>rv_trade_ctg_desc5</vt:lpstr>
      <vt:lpstr>rv_trade_ctg_desc50</vt:lpstr>
      <vt:lpstr>rv_trade_ctg_desc6</vt:lpstr>
      <vt:lpstr>rv_trade_ctg_desc7</vt:lpstr>
      <vt:lpstr>rv_trade_ctg_desc8</vt:lpstr>
      <vt:lpstr>rv_trade_ctg_desc9</vt:lpstr>
      <vt:lpstr>sgst_perc</vt:lpstr>
      <vt:lpstr>sgst_value</vt:lpstr>
      <vt:lpstr>sl_no_tmpl</vt:lpstr>
      <vt:lpstr>sme_flag</vt:lpstr>
      <vt:lpstr>sme_master</vt:lpstr>
      <vt:lpstr>smod_total_prem_1</vt:lpstr>
      <vt:lpstr>smod_total_prem_10</vt:lpstr>
      <vt:lpstr>smod_total_prem_11</vt:lpstr>
      <vt:lpstr>smod_total_prem_12</vt:lpstr>
      <vt:lpstr>smod_total_prem_13</vt:lpstr>
      <vt:lpstr>smod_total_prem_14</vt:lpstr>
      <vt:lpstr>smod_total_prem_15</vt:lpstr>
      <vt:lpstr>smod_total_prem_2</vt:lpstr>
      <vt:lpstr>smod_total_prem_3</vt:lpstr>
      <vt:lpstr>smod_total_prem_4</vt:lpstr>
      <vt:lpstr>smod_total_prem_5</vt:lpstr>
      <vt:lpstr>smod_total_prem_6</vt:lpstr>
      <vt:lpstr>smod_total_prem_7</vt:lpstr>
      <vt:lpstr>smod_total_prem_8</vt:lpstr>
      <vt:lpstr>smod_total_prem_9</vt:lpstr>
      <vt:lpstr>stamp_duty</vt:lpstr>
      <vt:lpstr>status_reason</vt:lpstr>
      <vt:lpstr>statutory_prem_1</vt:lpstr>
      <vt:lpstr>statutory_prem_10</vt:lpstr>
      <vt:lpstr>statutory_prem_11</vt:lpstr>
      <vt:lpstr>statutory_prem_12</vt:lpstr>
      <vt:lpstr>statutory_prem_13</vt:lpstr>
      <vt:lpstr>statutory_prem_14</vt:lpstr>
      <vt:lpstr>statutory_prem_15</vt:lpstr>
      <vt:lpstr>statutory_prem_2</vt:lpstr>
      <vt:lpstr>statutory_prem_3</vt:lpstr>
      <vt:lpstr>statutory_prem_4</vt:lpstr>
      <vt:lpstr>statutory_prem_5</vt:lpstr>
      <vt:lpstr>statutory_prem_6</vt:lpstr>
      <vt:lpstr>statutory_prem_7</vt:lpstr>
      <vt:lpstr>statutory_prem_8</vt:lpstr>
      <vt:lpstr>statutory_prem_9</vt:lpstr>
      <vt:lpstr>statutory_premium</vt:lpstr>
      <vt:lpstr>statutory_premium_uw</vt:lpstr>
      <vt:lpstr>tariff_rate</vt:lpstr>
      <vt:lpstr>tariff_rate_1</vt:lpstr>
      <vt:lpstr>tariff_rate_10</vt:lpstr>
      <vt:lpstr>tariff_rate_11</vt:lpstr>
      <vt:lpstr>tariff_rate_12</vt:lpstr>
      <vt:lpstr>tariff_rate_13</vt:lpstr>
      <vt:lpstr>tariff_rate_14</vt:lpstr>
      <vt:lpstr>tariff_rate_15</vt:lpstr>
      <vt:lpstr>tariff_rate_16</vt:lpstr>
      <vt:lpstr>tariff_rate_17</vt:lpstr>
      <vt:lpstr>tariff_rate_18</vt:lpstr>
      <vt:lpstr>tariff_rate_19</vt:lpstr>
      <vt:lpstr>tariff_rate_2</vt:lpstr>
      <vt:lpstr>tariff_rate_20</vt:lpstr>
      <vt:lpstr>tariff_rate_21</vt:lpstr>
      <vt:lpstr>tariff_rate_22</vt:lpstr>
      <vt:lpstr>tariff_rate_23</vt:lpstr>
      <vt:lpstr>tariff_rate_24</vt:lpstr>
      <vt:lpstr>tariff_rate_25</vt:lpstr>
      <vt:lpstr>tariff_rate_26</vt:lpstr>
      <vt:lpstr>tariff_rate_27</vt:lpstr>
      <vt:lpstr>tariff_rate_28</vt:lpstr>
      <vt:lpstr>tariff_rate_29</vt:lpstr>
      <vt:lpstr>tariff_rate_3</vt:lpstr>
      <vt:lpstr>tariff_rate_30</vt:lpstr>
      <vt:lpstr>tariff_rate_31</vt:lpstr>
      <vt:lpstr>tariff_rate_32</vt:lpstr>
      <vt:lpstr>tariff_rate_33</vt:lpstr>
      <vt:lpstr>tariff_rate_34</vt:lpstr>
      <vt:lpstr>tariff_rate_35</vt:lpstr>
      <vt:lpstr>tariff_rate_36</vt:lpstr>
      <vt:lpstr>tariff_rate_37</vt:lpstr>
      <vt:lpstr>tariff_rate_38</vt:lpstr>
      <vt:lpstr>tariff_rate_39</vt:lpstr>
      <vt:lpstr>tariff_rate_4</vt:lpstr>
      <vt:lpstr>tariff_rate_40</vt:lpstr>
      <vt:lpstr>tariff_rate_41</vt:lpstr>
      <vt:lpstr>tariff_rate_42</vt:lpstr>
      <vt:lpstr>tariff_rate_43</vt:lpstr>
      <vt:lpstr>tariff_rate_44</vt:lpstr>
      <vt:lpstr>tariff_rate_45</vt:lpstr>
      <vt:lpstr>tariff_rate_46</vt:lpstr>
      <vt:lpstr>tariff_rate_47</vt:lpstr>
      <vt:lpstr>tariff_rate_48</vt:lpstr>
      <vt:lpstr>tariff_rate_49</vt:lpstr>
      <vt:lpstr>tariff_rate_5</vt:lpstr>
      <vt:lpstr>tariff_rate_50</vt:lpstr>
      <vt:lpstr>tariff_rate_6</vt:lpstr>
      <vt:lpstr>tariff_rate_7</vt:lpstr>
      <vt:lpstr>tariff_rate_8</vt:lpstr>
      <vt:lpstr>tariff_rate_9</vt:lpstr>
      <vt:lpstr>tc_code_1</vt:lpstr>
      <vt:lpstr>tc_code_10</vt:lpstr>
      <vt:lpstr>tc_code_11</vt:lpstr>
      <vt:lpstr>tc_code_12</vt:lpstr>
      <vt:lpstr>tc_code_13</vt:lpstr>
      <vt:lpstr>tc_code_14</vt:lpstr>
      <vt:lpstr>tc_code_15</vt:lpstr>
      <vt:lpstr>tc_code_2</vt:lpstr>
      <vt:lpstr>tc_code_3</vt:lpstr>
      <vt:lpstr>tc_code_4</vt:lpstr>
      <vt:lpstr>tc_code_5</vt:lpstr>
      <vt:lpstr>tc_code_6</vt:lpstr>
      <vt:lpstr>tc_code_7</vt:lpstr>
      <vt:lpstr>tc_code_8</vt:lpstr>
      <vt:lpstr>tc_code_9</vt:lpstr>
      <vt:lpstr>tc_master</vt:lpstr>
      <vt:lpstr>tc_name_1</vt:lpstr>
      <vt:lpstr>tc_name_10</vt:lpstr>
      <vt:lpstr>tc_name_11</vt:lpstr>
      <vt:lpstr>tc_name_12</vt:lpstr>
      <vt:lpstr>tc_name_13</vt:lpstr>
      <vt:lpstr>tc_name_14</vt:lpstr>
      <vt:lpstr>tc_name_15</vt:lpstr>
      <vt:lpstr>tc_name_2</vt:lpstr>
      <vt:lpstr>tc_name_3</vt:lpstr>
      <vt:lpstr>tc_name_4</vt:lpstr>
      <vt:lpstr>tc_name_5</vt:lpstr>
      <vt:lpstr>tc_name_6</vt:lpstr>
      <vt:lpstr>tc_name_7</vt:lpstr>
      <vt:lpstr>tc_name_8</vt:lpstr>
      <vt:lpstr>tc_name_9</vt:lpstr>
      <vt:lpstr>tc_premium_1</vt:lpstr>
      <vt:lpstr>tc_premium_10</vt:lpstr>
      <vt:lpstr>tc_premium_11</vt:lpstr>
      <vt:lpstr>tc_premium_12</vt:lpstr>
      <vt:lpstr>tc_premium_13</vt:lpstr>
      <vt:lpstr>tc_premium_14</vt:lpstr>
      <vt:lpstr>tc_premium_15</vt:lpstr>
      <vt:lpstr>tc_premium_2</vt:lpstr>
      <vt:lpstr>tc_premium_3</vt:lpstr>
      <vt:lpstr>tc_premium_4</vt:lpstr>
      <vt:lpstr>tc_premium_5</vt:lpstr>
      <vt:lpstr>tc_premium_6</vt:lpstr>
      <vt:lpstr>tc_premium_7</vt:lpstr>
      <vt:lpstr>tc_premium_8</vt:lpstr>
      <vt:lpstr>tc_premium_9</vt:lpstr>
      <vt:lpstr>terrain_master</vt:lpstr>
      <vt:lpstr>terrorism</vt:lpstr>
      <vt:lpstr>terrorism_appl</vt:lpstr>
      <vt:lpstr>test_1</vt:lpstr>
      <vt:lpstr>test_10</vt:lpstr>
      <vt:lpstr>test_11</vt:lpstr>
      <vt:lpstr>test_12</vt:lpstr>
      <vt:lpstr>test_13</vt:lpstr>
      <vt:lpstr>test_14</vt:lpstr>
      <vt:lpstr>test_15</vt:lpstr>
      <vt:lpstr>test_16</vt:lpstr>
      <vt:lpstr>test_17</vt:lpstr>
      <vt:lpstr>test_18</vt:lpstr>
      <vt:lpstr>test_2</vt:lpstr>
      <vt:lpstr>test_3</vt:lpstr>
      <vt:lpstr>test_4</vt:lpstr>
      <vt:lpstr>test_5</vt:lpstr>
      <vt:lpstr>test_6</vt:lpstr>
      <vt:lpstr>test_7</vt:lpstr>
      <vt:lpstr>test_8</vt:lpstr>
      <vt:lpstr>test_9</vt:lpstr>
      <vt:lpstr>tmpl_claim_details</vt:lpstr>
      <vt:lpstr>tmpl_trade_category_details</vt:lpstr>
      <vt:lpstr>total_disc</vt:lpstr>
      <vt:lpstr>total_disc_uw</vt:lpstr>
      <vt:lpstr>total_loading</vt:lpstr>
      <vt:lpstr>total_loading_uw</vt:lpstr>
      <vt:lpstr>total_parameter_disc</vt:lpstr>
      <vt:lpstr>total_parameter_loading</vt:lpstr>
      <vt:lpstr>total_premium</vt:lpstr>
      <vt:lpstr>total_premium_1</vt:lpstr>
      <vt:lpstr>total_premium_10</vt:lpstr>
      <vt:lpstr>total_premium_11</vt:lpstr>
      <vt:lpstr>total_premium_12</vt:lpstr>
      <vt:lpstr>total_premium_13</vt:lpstr>
      <vt:lpstr>total_premium_14</vt:lpstr>
      <vt:lpstr>total_premium_15</vt:lpstr>
      <vt:lpstr>total_premium_16</vt:lpstr>
      <vt:lpstr>total_premium_17</vt:lpstr>
      <vt:lpstr>total_premium_18</vt:lpstr>
      <vt:lpstr>total_premium_19</vt:lpstr>
      <vt:lpstr>total_premium_2</vt:lpstr>
      <vt:lpstr>total_premium_20</vt:lpstr>
      <vt:lpstr>total_premium_21</vt:lpstr>
      <vt:lpstr>total_premium_22</vt:lpstr>
      <vt:lpstr>total_premium_23</vt:lpstr>
      <vt:lpstr>total_premium_24</vt:lpstr>
      <vt:lpstr>total_premium_25</vt:lpstr>
      <vt:lpstr>total_premium_26</vt:lpstr>
      <vt:lpstr>total_premium_27</vt:lpstr>
      <vt:lpstr>total_premium_28</vt:lpstr>
      <vt:lpstr>total_premium_29</vt:lpstr>
      <vt:lpstr>total_premium_3</vt:lpstr>
      <vt:lpstr>total_premium_30</vt:lpstr>
      <vt:lpstr>total_premium_31</vt:lpstr>
      <vt:lpstr>total_premium_32</vt:lpstr>
      <vt:lpstr>total_premium_33</vt:lpstr>
      <vt:lpstr>total_premium_34</vt:lpstr>
      <vt:lpstr>total_premium_35</vt:lpstr>
      <vt:lpstr>total_premium_36</vt:lpstr>
      <vt:lpstr>total_premium_37</vt:lpstr>
      <vt:lpstr>total_premium_38</vt:lpstr>
      <vt:lpstr>total_premium_39</vt:lpstr>
      <vt:lpstr>total_premium_4</vt:lpstr>
      <vt:lpstr>total_premium_40</vt:lpstr>
      <vt:lpstr>total_premium_41</vt:lpstr>
      <vt:lpstr>total_premium_42</vt:lpstr>
      <vt:lpstr>total_premium_43</vt:lpstr>
      <vt:lpstr>total_premium_44</vt:lpstr>
      <vt:lpstr>total_premium_45</vt:lpstr>
      <vt:lpstr>total_premium_46</vt:lpstr>
      <vt:lpstr>total_premium_47</vt:lpstr>
      <vt:lpstr>total_premium_48</vt:lpstr>
      <vt:lpstr>total_premium_49</vt:lpstr>
      <vt:lpstr>total_premium_5</vt:lpstr>
      <vt:lpstr>total_premium_50</vt:lpstr>
      <vt:lpstr>total_premium_6</vt:lpstr>
      <vt:lpstr>total_premium_7</vt:lpstr>
      <vt:lpstr>total_premium_8</vt:lpstr>
      <vt:lpstr>total_premium_9</vt:lpstr>
      <vt:lpstr>total_wages_1</vt:lpstr>
      <vt:lpstr>total_wages_10</vt:lpstr>
      <vt:lpstr>total_wages_11</vt:lpstr>
      <vt:lpstr>total_wages_12</vt:lpstr>
      <vt:lpstr>total_wages_13</vt:lpstr>
      <vt:lpstr>total_wages_14</vt:lpstr>
      <vt:lpstr>total_wages_15</vt:lpstr>
      <vt:lpstr>total_wages_16</vt:lpstr>
      <vt:lpstr>total_wages_17</vt:lpstr>
      <vt:lpstr>total_wages_18</vt:lpstr>
      <vt:lpstr>total_wages_19</vt:lpstr>
      <vt:lpstr>total_wages_2</vt:lpstr>
      <vt:lpstr>total_wages_20</vt:lpstr>
      <vt:lpstr>total_wages_21</vt:lpstr>
      <vt:lpstr>total_wages_22</vt:lpstr>
      <vt:lpstr>total_wages_23</vt:lpstr>
      <vt:lpstr>total_wages_24</vt:lpstr>
      <vt:lpstr>total_wages_25</vt:lpstr>
      <vt:lpstr>total_wages_26</vt:lpstr>
      <vt:lpstr>total_wages_27</vt:lpstr>
      <vt:lpstr>total_wages_28</vt:lpstr>
      <vt:lpstr>total_wages_29</vt:lpstr>
      <vt:lpstr>total_wages_3</vt:lpstr>
      <vt:lpstr>total_wages_30</vt:lpstr>
      <vt:lpstr>total_wages_31</vt:lpstr>
      <vt:lpstr>total_wages_32</vt:lpstr>
      <vt:lpstr>total_wages_33</vt:lpstr>
      <vt:lpstr>total_wages_34</vt:lpstr>
      <vt:lpstr>total_wages_35</vt:lpstr>
      <vt:lpstr>total_wages_36</vt:lpstr>
      <vt:lpstr>total_wages_37</vt:lpstr>
      <vt:lpstr>total_wages_38</vt:lpstr>
      <vt:lpstr>total_wages_39</vt:lpstr>
      <vt:lpstr>total_wages_4</vt:lpstr>
      <vt:lpstr>total_wages_40</vt:lpstr>
      <vt:lpstr>total_wages_41</vt:lpstr>
      <vt:lpstr>total_wages_42</vt:lpstr>
      <vt:lpstr>total_wages_43</vt:lpstr>
      <vt:lpstr>total_wages_44</vt:lpstr>
      <vt:lpstr>total_wages_45</vt:lpstr>
      <vt:lpstr>total_wages_46</vt:lpstr>
      <vt:lpstr>total_wages_47</vt:lpstr>
      <vt:lpstr>total_wages_48</vt:lpstr>
      <vt:lpstr>total_wages_49</vt:lpstr>
      <vt:lpstr>total_wages_5</vt:lpstr>
      <vt:lpstr>total_wages_50</vt:lpstr>
      <vt:lpstr>total_wages_6</vt:lpstr>
      <vt:lpstr>total_wages_7</vt:lpstr>
      <vt:lpstr>total_wages_8</vt:lpstr>
      <vt:lpstr>total_wages_9</vt:lpstr>
      <vt:lpstr>total_worker_rate</vt:lpstr>
      <vt:lpstr>total_workers</vt:lpstr>
      <vt:lpstr>trade_categ_list_master</vt:lpstr>
      <vt:lpstr>trade_category_code_1</vt:lpstr>
      <vt:lpstr>trade_category_code_10</vt:lpstr>
      <vt:lpstr>trade_category_code_11</vt:lpstr>
      <vt:lpstr>trade_category_code_12</vt:lpstr>
      <vt:lpstr>trade_category_code_13</vt:lpstr>
      <vt:lpstr>trade_category_code_14</vt:lpstr>
      <vt:lpstr>trade_category_code_15</vt:lpstr>
      <vt:lpstr>trade_category_code_16</vt:lpstr>
      <vt:lpstr>trade_category_code_17</vt:lpstr>
      <vt:lpstr>trade_category_code_18</vt:lpstr>
      <vt:lpstr>trade_category_code_19</vt:lpstr>
      <vt:lpstr>trade_category_code_2</vt:lpstr>
      <vt:lpstr>trade_category_code_20</vt:lpstr>
      <vt:lpstr>trade_category_code_21</vt:lpstr>
      <vt:lpstr>trade_category_code_22</vt:lpstr>
      <vt:lpstr>trade_category_code_23</vt:lpstr>
      <vt:lpstr>trade_category_code_24</vt:lpstr>
      <vt:lpstr>trade_category_code_25</vt:lpstr>
      <vt:lpstr>trade_category_code_26</vt:lpstr>
      <vt:lpstr>trade_category_code_27</vt:lpstr>
      <vt:lpstr>trade_category_code_28</vt:lpstr>
      <vt:lpstr>trade_category_code_29</vt:lpstr>
      <vt:lpstr>trade_category_code_3</vt:lpstr>
      <vt:lpstr>trade_category_code_30</vt:lpstr>
      <vt:lpstr>trade_category_code_31</vt:lpstr>
      <vt:lpstr>trade_category_code_32</vt:lpstr>
      <vt:lpstr>trade_category_code_33</vt:lpstr>
      <vt:lpstr>trade_category_code_34</vt:lpstr>
      <vt:lpstr>trade_category_code_35</vt:lpstr>
      <vt:lpstr>trade_category_code_36</vt:lpstr>
      <vt:lpstr>trade_category_code_37</vt:lpstr>
      <vt:lpstr>trade_category_code_38</vt:lpstr>
      <vt:lpstr>trade_category_code_39</vt:lpstr>
      <vt:lpstr>trade_category_code_4</vt:lpstr>
      <vt:lpstr>trade_category_code_40</vt:lpstr>
      <vt:lpstr>trade_category_code_41</vt:lpstr>
      <vt:lpstr>trade_category_code_42</vt:lpstr>
      <vt:lpstr>trade_category_code_43</vt:lpstr>
      <vt:lpstr>trade_category_code_44</vt:lpstr>
      <vt:lpstr>trade_category_code_45</vt:lpstr>
      <vt:lpstr>trade_category_code_46</vt:lpstr>
      <vt:lpstr>trade_category_code_47</vt:lpstr>
      <vt:lpstr>trade_category_code_48</vt:lpstr>
      <vt:lpstr>trade_category_code_49</vt:lpstr>
      <vt:lpstr>trade_category_code_5</vt:lpstr>
      <vt:lpstr>trade_category_code_50</vt:lpstr>
      <vt:lpstr>trade_category_code_6</vt:lpstr>
      <vt:lpstr>trade_category_code_7</vt:lpstr>
      <vt:lpstr>trade_category_code_8</vt:lpstr>
      <vt:lpstr>trade_category_code_9</vt:lpstr>
      <vt:lpstr>trade_category_grouping_tmpl</vt:lpstr>
      <vt:lpstr>trade_category_tmpl</vt:lpstr>
      <vt:lpstr>trade_catg_1</vt:lpstr>
      <vt:lpstr>trade_catg_10</vt:lpstr>
      <vt:lpstr>trade_catg_2</vt:lpstr>
      <vt:lpstr>trade_catg_3</vt:lpstr>
      <vt:lpstr>trade_catg_4</vt:lpstr>
      <vt:lpstr>trade_catg_5</vt:lpstr>
      <vt:lpstr>trade_catg_6</vt:lpstr>
      <vt:lpstr>trade_catg_7</vt:lpstr>
      <vt:lpstr>trade_catg_8</vt:lpstr>
      <vt:lpstr>trade_catg_9</vt:lpstr>
      <vt:lpstr>trade_catg_code_1</vt:lpstr>
      <vt:lpstr>trade_catg_code_10</vt:lpstr>
      <vt:lpstr>trade_catg_code_2</vt:lpstr>
      <vt:lpstr>trade_catg_code_3</vt:lpstr>
      <vt:lpstr>trade_catg_code_4</vt:lpstr>
      <vt:lpstr>trade_catg_code_5</vt:lpstr>
      <vt:lpstr>trade_catg_code_6</vt:lpstr>
      <vt:lpstr>trade_catg_code_7</vt:lpstr>
      <vt:lpstr>trade_catg_code_8</vt:lpstr>
      <vt:lpstr>trade_catg_code_9</vt:lpstr>
      <vt:lpstr>trade_catg_pup_1</vt:lpstr>
      <vt:lpstr>trade_catg_pup_10</vt:lpstr>
      <vt:lpstr>trade_catg_pup_2</vt:lpstr>
      <vt:lpstr>trade_catg_pup_3</vt:lpstr>
      <vt:lpstr>trade_catg_pup_4</vt:lpstr>
      <vt:lpstr>trade_catg_pup_5</vt:lpstr>
      <vt:lpstr>trade_catg_pup_6</vt:lpstr>
      <vt:lpstr>trade_catg_pup_7</vt:lpstr>
      <vt:lpstr>trade_catg_pup_8</vt:lpstr>
      <vt:lpstr>trade_catg_pup_9</vt:lpstr>
      <vt:lpstr>trade_list_master</vt:lpstr>
      <vt:lpstr>user_type_master</vt:lpstr>
      <vt:lpstr>uw_cont_1</vt:lpstr>
      <vt:lpstr>uw_cont_2</vt:lpstr>
      <vt:lpstr>uw_cont_3</vt:lpstr>
      <vt:lpstr>uw_error_msg</vt:lpstr>
      <vt:lpstr>uw_final_cont_1</vt:lpstr>
      <vt:lpstr>uw_final_cont_2</vt:lpstr>
      <vt:lpstr>uw_final_cont_3</vt:lpstr>
      <vt:lpstr>uw_location_percentages</vt:lpstr>
      <vt:lpstr>uw_location_percentages_number</vt:lpstr>
      <vt:lpstr>uw_max_discount</vt:lpstr>
      <vt:lpstr>uw_max_load</vt:lpstr>
      <vt:lpstr>uw_max_load_check</vt:lpstr>
      <vt:lpstr>uw_max_loading</vt:lpstr>
      <vt:lpstr>uw_min_dis</vt:lpstr>
      <vt:lpstr>uw_min_dis_check</vt:lpstr>
      <vt:lpstr>uw_remarks</vt:lpstr>
      <vt:lpstr>uw_remarks_wording</vt:lpstr>
      <vt:lpstr>wc_dis_adj</vt:lpstr>
      <vt:lpstr>wc_dis_ec_prem</vt:lpstr>
      <vt:lpstr>wc_tariff_calc</vt:lpstr>
      <vt:lpstr>wc_tariff_check</vt:lpstr>
      <vt:lpstr>wc_total_prem</vt:lpstr>
      <vt:lpstr>work_catg_1</vt:lpstr>
      <vt:lpstr>work_catg_10</vt:lpstr>
      <vt:lpstr>work_catg_11</vt:lpstr>
      <vt:lpstr>work_catg_12</vt:lpstr>
      <vt:lpstr>work_catg_13</vt:lpstr>
      <vt:lpstr>work_catg_14</vt:lpstr>
      <vt:lpstr>work_catg_15</vt:lpstr>
      <vt:lpstr>work_catg_16</vt:lpstr>
      <vt:lpstr>work_catg_17</vt:lpstr>
      <vt:lpstr>work_catg_18</vt:lpstr>
      <vt:lpstr>work_catg_19</vt:lpstr>
      <vt:lpstr>work_catg_2</vt:lpstr>
      <vt:lpstr>work_catg_20</vt:lpstr>
      <vt:lpstr>work_catg_21</vt:lpstr>
      <vt:lpstr>work_catg_22</vt:lpstr>
      <vt:lpstr>work_catg_23</vt:lpstr>
      <vt:lpstr>work_catg_24</vt:lpstr>
      <vt:lpstr>work_catg_25</vt:lpstr>
      <vt:lpstr>work_catg_26</vt:lpstr>
      <vt:lpstr>work_catg_27</vt:lpstr>
      <vt:lpstr>work_catg_28</vt:lpstr>
      <vt:lpstr>work_catg_29</vt:lpstr>
      <vt:lpstr>work_catg_3</vt:lpstr>
      <vt:lpstr>work_catg_30</vt:lpstr>
      <vt:lpstr>work_catg_31</vt:lpstr>
      <vt:lpstr>work_catg_32</vt:lpstr>
      <vt:lpstr>work_catg_33</vt:lpstr>
      <vt:lpstr>work_catg_34</vt:lpstr>
      <vt:lpstr>work_catg_35</vt:lpstr>
      <vt:lpstr>work_catg_36</vt:lpstr>
      <vt:lpstr>work_catg_37</vt:lpstr>
      <vt:lpstr>work_catg_38</vt:lpstr>
      <vt:lpstr>work_catg_39</vt:lpstr>
      <vt:lpstr>work_catg_4</vt:lpstr>
      <vt:lpstr>work_catg_40</vt:lpstr>
      <vt:lpstr>work_catg_41</vt:lpstr>
      <vt:lpstr>work_catg_42</vt:lpstr>
      <vt:lpstr>work_catg_43</vt:lpstr>
      <vt:lpstr>work_catg_44</vt:lpstr>
      <vt:lpstr>work_catg_45</vt:lpstr>
      <vt:lpstr>work_catg_46</vt:lpstr>
      <vt:lpstr>work_catg_47</vt:lpstr>
      <vt:lpstr>work_catg_48</vt:lpstr>
      <vt:lpstr>work_catg_49</vt:lpstr>
      <vt:lpstr>work_catg_5</vt:lpstr>
      <vt:lpstr>work_catg_50</vt:lpstr>
      <vt:lpstr>work_catg_6</vt:lpstr>
      <vt:lpstr>work_catg_7</vt:lpstr>
      <vt:lpstr>work_catg_8</vt:lpstr>
      <vt:lpstr>work_catg_9</vt:lpstr>
      <vt:lpstr>work_nature</vt:lpstr>
      <vt:lpstr>work_trade_catg_1</vt:lpstr>
      <vt:lpstr>work_trade_catg_10</vt:lpstr>
      <vt:lpstr>work_trade_catg_11</vt:lpstr>
      <vt:lpstr>work_trade_catg_12</vt:lpstr>
      <vt:lpstr>work_trade_catg_13</vt:lpstr>
      <vt:lpstr>work_trade_catg_14</vt:lpstr>
      <vt:lpstr>work_trade_catg_15</vt:lpstr>
      <vt:lpstr>work_trade_catg_16</vt:lpstr>
      <vt:lpstr>work_trade_catg_17</vt:lpstr>
      <vt:lpstr>work_trade_catg_18</vt:lpstr>
      <vt:lpstr>work_trade_catg_19</vt:lpstr>
      <vt:lpstr>work_trade_catg_2</vt:lpstr>
      <vt:lpstr>work_trade_catg_20</vt:lpstr>
      <vt:lpstr>work_trade_catg_21</vt:lpstr>
      <vt:lpstr>work_trade_catg_22</vt:lpstr>
      <vt:lpstr>work_trade_catg_23</vt:lpstr>
      <vt:lpstr>work_trade_catg_24</vt:lpstr>
      <vt:lpstr>work_trade_catg_25</vt:lpstr>
      <vt:lpstr>work_trade_catg_26</vt:lpstr>
      <vt:lpstr>work_trade_catg_27</vt:lpstr>
      <vt:lpstr>work_trade_catg_28</vt:lpstr>
      <vt:lpstr>work_trade_catg_29</vt:lpstr>
      <vt:lpstr>work_trade_catg_3</vt:lpstr>
      <vt:lpstr>work_trade_catg_30</vt:lpstr>
      <vt:lpstr>work_trade_catg_31</vt:lpstr>
      <vt:lpstr>work_trade_catg_32</vt:lpstr>
      <vt:lpstr>work_trade_catg_33</vt:lpstr>
      <vt:lpstr>work_trade_catg_34</vt:lpstr>
      <vt:lpstr>work_trade_catg_35</vt:lpstr>
      <vt:lpstr>work_trade_catg_36</vt:lpstr>
      <vt:lpstr>work_trade_catg_37</vt:lpstr>
      <vt:lpstr>work_trade_catg_38</vt:lpstr>
      <vt:lpstr>work_trade_catg_39</vt:lpstr>
      <vt:lpstr>work_trade_catg_4</vt:lpstr>
      <vt:lpstr>work_trade_catg_40</vt:lpstr>
      <vt:lpstr>work_trade_catg_41</vt:lpstr>
      <vt:lpstr>work_trade_catg_42</vt:lpstr>
      <vt:lpstr>work_trade_catg_43</vt:lpstr>
      <vt:lpstr>work_trade_catg_44</vt:lpstr>
      <vt:lpstr>work_trade_catg_45</vt:lpstr>
      <vt:lpstr>work_trade_catg_46</vt:lpstr>
      <vt:lpstr>work_trade_catg_47</vt:lpstr>
      <vt:lpstr>work_trade_catg_48</vt:lpstr>
      <vt:lpstr>work_trade_catg_49</vt:lpstr>
      <vt:lpstr>work_trade_catg_5</vt:lpstr>
      <vt:lpstr>work_trade_catg_50</vt:lpstr>
      <vt:lpstr>work_trade_catg_6</vt:lpstr>
      <vt:lpstr>work_trade_catg_7</vt:lpstr>
      <vt:lpstr>work_trade_catg_8</vt:lpstr>
      <vt:lpstr>work_trade_catg_9</vt:lpstr>
      <vt:lpstr>work_trade_catg_group_1</vt:lpstr>
      <vt:lpstr>work_trade_catg_group_10</vt:lpstr>
      <vt:lpstr>work_trade_catg_group_11</vt:lpstr>
      <vt:lpstr>work_trade_catg_group_12</vt:lpstr>
      <vt:lpstr>work_trade_catg_group_13</vt:lpstr>
      <vt:lpstr>work_trade_catg_group_14</vt:lpstr>
      <vt:lpstr>work_trade_catg_group_15</vt:lpstr>
      <vt:lpstr>work_trade_catg_group_16</vt:lpstr>
      <vt:lpstr>work_trade_catg_group_17</vt:lpstr>
      <vt:lpstr>work_trade_catg_group_18</vt:lpstr>
      <vt:lpstr>work_trade_catg_group_19</vt:lpstr>
      <vt:lpstr>work_trade_catg_group_2</vt:lpstr>
      <vt:lpstr>work_trade_catg_group_20</vt:lpstr>
      <vt:lpstr>work_trade_catg_group_21</vt:lpstr>
      <vt:lpstr>work_trade_catg_group_22</vt:lpstr>
      <vt:lpstr>work_trade_catg_group_23</vt:lpstr>
      <vt:lpstr>work_trade_catg_group_24</vt:lpstr>
      <vt:lpstr>work_trade_catg_group_25</vt:lpstr>
      <vt:lpstr>work_trade_catg_group_26</vt:lpstr>
      <vt:lpstr>work_trade_catg_group_27</vt:lpstr>
      <vt:lpstr>work_trade_catg_group_28</vt:lpstr>
      <vt:lpstr>work_trade_catg_group_29</vt:lpstr>
      <vt:lpstr>work_trade_catg_group_3</vt:lpstr>
      <vt:lpstr>work_trade_catg_group_30</vt:lpstr>
      <vt:lpstr>work_trade_catg_group_31</vt:lpstr>
      <vt:lpstr>work_trade_catg_group_32</vt:lpstr>
      <vt:lpstr>work_trade_catg_group_33</vt:lpstr>
      <vt:lpstr>work_trade_catg_group_34</vt:lpstr>
      <vt:lpstr>work_trade_catg_group_35</vt:lpstr>
      <vt:lpstr>work_trade_catg_group_36</vt:lpstr>
      <vt:lpstr>work_trade_catg_group_37</vt:lpstr>
      <vt:lpstr>work_trade_catg_group_38</vt:lpstr>
      <vt:lpstr>work_trade_catg_group_39</vt:lpstr>
      <vt:lpstr>work_trade_catg_group_4</vt:lpstr>
      <vt:lpstr>work_trade_catg_group_40</vt:lpstr>
      <vt:lpstr>work_trade_catg_group_41</vt:lpstr>
      <vt:lpstr>work_trade_catg_group_42</vt:lpstr>
      <vt:lpstr>work_trade_catg_group_43</vt:lpstr>
      <vt:lpstr>work_trade_catg_group_44</vt:lpstr>
      <vt:lpstr>work_trade_catg_group_45</vt:lpstr>
      <vt:lpstr>work_trade_catg_group_46</vt:lpstr>
      <vt:lpstr>work_trade_catg_group_47</vt:lpstr>
      <vt:lpstr>work_trade_catg_group_48</vt:lpstr>
      <vt:lpstr>work_trade_catg_group_49</vt:lpstr>
      <vt:lpstr>work_trade_catg_group_5</vt:lpstr>
      <vt:lpstr>work_trade_catg_group_50</vt:lpstr>
      <vt:lpstr>work_trade_catg_group_6</vt:lpstr>
      <vt:lpstr>work_trade_catg_group_7</vt:lpstr>
      <vt:lpstr>work_trade_catg_group_8</vt:lpstr>
      <vt:lpstr>work_trade_catg_group_9</vt:lpstr>
      <vt:lpstr>worker_category_tmpl</vt:lpstr>
      <vt:lpstr>worker_count_master</vt:lpstr>
      <vt:lpstr>worker_count_tmpl</vt:lpstr>
      <vt:lpstr>worker_detail_count</vt:lpstr>
      <vt:lpstr>worker_monthly_wages</vt:lpstr>
      <vt:lpstr>worker_monthly_wages_tmpl</vt:lpstr>
      <vt:lpstr>worker_rate_1</vt:lpstr>
      <vt:lpstr>worker_rate_10</vt:lpstr>
      <vt:lpstr>worker_rate_11</vt:lpstr>
      <vt:lpstr>worker_rate_12</vt:lpstr>
      <vt:lpstr>worker_rate_13</vt:lpstr>
      <vt:lpstr>worker_rate_14</vt:lpstr>
      <vt:lpstr>worker_rate_15</vt:lpstr>
      <vt:lpstr>worker_rate_16</vt:lpstr>
      <vt:lpstr>worker_rate_17</vt:lpstr>
      <vt:lpstr>worker_rate_18</vt:lpstr>
      <vt:lpstr>worker_rate_19</vt:lpstr>
      <vt:lpstr>worker_rate_2</vt:lpstr>
      <vt:lpstr>worker_rate_20</vt:lpstr>
      <vt:lpstr>worker_rate_21</vt:lpstr>
      <vt:lpstr>worker_rate_22</vt:lpstr>
      <vt:lpstr>worker_rate_23</vt:lpstr>
      <vt:lpstr>worker_rate_24</vt:lpstr>
      <vt:lpstr>worker_rate_25</vt:lpstr>
      <vt:lpstr>worker_rate_26</vt:lpstr>
      <vt:lpstr>worker_rate_27</vt:lpstr>
      <vt:lpstr>worker_rate_28</vt:lpstr>
      <vt:lpstr>worker_rate_29</vt:lpstr>
      <vt:lpstr>worker_rate_3</vt:lpstr>
      <vt:lpstr>worker_rate_30</vt:lpstr>
      <vt:lpstr>worker_rate_31</vt:lpstr>
      <vt:lpstr>worker_rate_32</vt:lpstr>
      <vt:lpstr>worker_rate_33</vt:lpstr>
      <vt:lpstr>worker_rate_34</vt:lpstr>
      <vt:lpstr>worker_rate_35</vt:lpstr>
      <vt:lpstr>worker_rate_36</vt:lpstr>
      <vt:lpstr>worker_rate_37</vt:lpstr>
      <vt:lpstr>worker_rate_38</vt:lpstr>
      <vt:lpstr>worker_rate_39</vt:lpstr>
      <vt:lpstr>worker_rate_4</vt:lpstr>
      <vt:lpstr>worker_rate_40</vt:lpstr>
      <vt:lpstr>worker_rate_41</vt:lpstr>
      <vt:lpstr>worker_rate_42</vt:lpstr>
      <vt:lpstr>worker_rate_43</vt:lpstr>
      <vt:lpstr>worker_rate_44</vt:lpstr>
      <vt:lpstr>worker_rate_45</vt:lpstr>
      <vt:lpstr>worker_rate_46</vt:lpstr>
      <vt:lpstr>worker_rate_47</vt:lpstr>
      <vt:lpstr>worker_rate_48</vt:lpstr>
      <vt:lpstr>worker_rate_49</vt:lpstr>
      <vt:lpstr>worker_rate_5</vt:lpstr>
      <vt:lpstr>worker_rate_50</vt:lpstr>
      <vt:lpstr>worker_rate_6</vt:lpstr>
      <vt:lpstr>worker_rate_7</vt:lpstr>
      <vt:lpstr>worker_rate_8</vt:lpstr>
      <vt:lpstr>worker_rate_9</vt:lpstr>
      <vt:lpstr>worker_sl_no_tmpl</vt:lpstr>
      <vt:lpstr>worker_total_premium</vt:lpstr>
      <vt:lpstr>worker_total_premium_tmpl</vt:lpstr>
      <vt:lpstr>worker_total_wages</vt:lpstr>
      <vt:lpstr>worker_total_wages_tmpl</vt:lpstr>
      <vt:lpstr>worker_trade_category_tmpl</vt:lpstr>
      <vt:lpstr>workforce_master</vt:lpstr>
      <vt:lpstr>year_tmpl</vt:lpstr>
      <vt:lpstr>yes_no_master</vt:lpstr>
      <vt:lpstr>yes_no_medex_master</vt:lpstr>
      <vt:lpstr>yes_no_param_load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ckarthick</dc:creator>
  <cp:lastModifiedBy>Lakshmi Narasimha</cp:lastModifiedBy>
  <cp:lastPrinted>2022-10-14T10:34:21Z</cp:lastPrinted>
  <dcterms:created xsi:type="dcterms:W3CDTF">2022-04-04T09:48:33Z</dcterms:created>
  <dcterms:modified xsi:type="dcterms:W3CDTF">2024-02-22T14:42:54Z</dcterms:modified>
</cp:coreProperties>
</file>