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charts/chart2.xml" ContentType="application/vnd.openxmlformats-officedocument.drawingml.chart+xml"/>
  <Override PartName="/xl/charts/chart3.xml" ContentType="application/vnd.openxmlformats-officedocument.drawingml.chart+xml"/>
  <Override PartName="/xl/drawings/drawing4.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30" windowWidth="11280" windowHeight="5475" tabRatio="693"/>
  </bookViews>
  <sheets>
    <sheet name="Figure1" sheetId="6" r:id="rId1"/>
    <sheet name="Figure2" sheetId="5" r:id="rId2"/>
    <sheet name="Figure3" sheetId="4" r:id="rId3"/>
    <sheet name="Figure4" sheetId="1" r:id="rId4"/>
    <sheet name="Figure5" sheetId="9" r:id="rId5"/>
    <sheet name="Figure7" sheetId="2" r:id="rId6"/>
    <sheet name="Figure8" sheetId="3" r:id="rId7"/>
    <sheet name="Figure9" sheetId="11" r:id="rId8"/>
    <sheet name="Figure10" sheetId="12" r:id="rId9"/>
    <sheet name="Figure11" sheetId="14" r:id="rId10"/>
    <sheet name="Figure12" sheetId="15" r:id="rId11"/>
    <sheet name="Figure13" sheetId="16" r:id="rId12"/>
    <sheet name="Figure14" sheetId="17" r:id="rId13"/>
  </sheets>
  <definedNames>
    <definedName name="ObservedFREQ">Figure14!$P$5:$R$7</definedName>
  </definedNames>
  <calcPr calcId="124519"/>
</workbook>
</file>

<file path=xl/calcChain.xml><?xml version="1.0" encoding="utf-8"?>
<calcChain xmlns="http://schemas.openxmlformats.org/spreadsheetml/2006/main">
  <c r="R14" i="17"/>
  <c r="N18" i="16" l="1"/>
  <c r="K14" s="1"/>
  <c r="C17"/>
  <c r="B17"/>
  <c r="E6" i="15"/>
  <c r="E5"/>
  <c r="E4"/>
  <c r="E3"/>
  <c r="N10" i="11" l="1"/>
  <c r="M10"/>
  <c r="M12" s="1"/>
  <c r="N12"/>
  <c r="K10"/>
  <c r="K12" s="1"/>
  <c r="L10"/>
  <c r="L12" s="1"/>
  <c r="I9" i="14" l="1"/>
  <c r="F17" i="12"/>
  <c r="B15" i="3" l="1"/>
  <c r="B13"/>
  <c r="D8"/>
  <c r="C8"/>
  <c r="B19"/>
  <c r="B8"/>
  <c r="S24" i="9" l="1"/>
  <c r="S23"/>
  <c r="T24" l="1"/>
  <c r="J18" i="1"/>
  <c r="J19" s="1"/>
  <c r="J17"/>
  <c r="B10"/>
  <c r="K15"/>
  <c r="K14"/>
  <c r="J13" i="4" l="1"/>
  <c r="J12"/>
  <c r="J11"/>
  <c r="J10"/>
  <c r="J9"/>
  <c r="J8"/>
  <c r="J7"/>
  <c r="J6"/>
  <c r="J5"/>
  <c r="J4"/>
  <c r="J3"/>
  <c r="J2"/>
  <c r="I2" a="1"/>
  <c r="I2" s="1"/>
  <c r="G3"/>
  <c r="H3" s="1"/>
  <c r="G4" s="1"/>
  <c r="H4" s="1"/>
  <c r="G5" s="1"/>
  <c r="H5" s="1"/>
  <c r="G6" s="1"/>
  <c r="H6" s="1"/>
  <c r="G7" s="1"/>
  <c r="H7" s="1"/>
  <c r="G8" s="1"/>
  <c r="H8" s="1"/>
  <c r="G9" s="1"/>
  <c r="H9" s="1"/>
  <c r="G10" s="1"/>
  <c r="H10" s="1"/>
  <c r="G11" s="1"/>
  <c r="H11" s="1"/>
  <c r="G12" s="1"/>
  <c r="H12" s="1"/>
  <c r="G13" s="1"/>
  <c r="H13" s="1"/>
  <c r="H2"/>
  <c r="F3" i="5"/>
  <c r="G3" s="1"/>
  <c r="F4" s="1"/>
  <c r="G4" s="1"/>
  <c r="F5" s="1"/>
  <c r="G5" s="1"/>
  <c r="F6" s="1"/>
  <c r="G6" s="1"/>
  <c r="F7" s="1"/>
  <c r="G7" s="1"/>
  <c r="F8" s="1"/>
  <c r="G8" s="1"/>
  <c r="F9" s="1"/>
  <c r="G9" s="1"/>
  <c r="F10" s="1"/>
  <c r="G10" s="1"/>
  <c r="F11" s="1"/>
  <c r="G11" s="1"/>
  <c r="F12" s="1"/>
  <c r="G12" s="1"/>
  <c r="F13" s="1"/>
  <c r="G13" s="1"/>
  <c r="G2"/>
  <c r="I13" i="4" l="1"/>
  <c r="I11"/>
  <c r="I9"/>
  <c r="I7"/>
  <c r="I5"/>
  <c r="I3"/>
  <c r="I14"/>
  <c r="I12"/>
  <c r="I10"/>
  <c r="I8"/>
  <c r="I6"/>
  <c r="I4"/>
  <c r="J2" i="6" a="1"/>
  <c r="J2" s="1"/>
  <c r="J13" l="1"/>
  <c r="J11"/>
  <c r="J9"/>
  <c r="J7"/>
  <c r="J5"/>
  <c r="J3"/>
  <c r="J14"/>
  <c r="J12"/>
  <c r="J10"/>
  <c r="J8"/>
  <c r="J6"/>
  <c r="J4"/>
  <c r="S5" i="17"/>
  <c r="P10" s="1"/>
  <c r="S6"/>
  <c r="S7"/>
  <c r="P12" s="1"/>
  <c r="P8"/>
  <c r="Q8"/>
  <c r="Q11" s="1"/>
  <c r="R8"/>
  <c r="S8"/>
  <c r="Q10"/>
  <c r="P11"/>
  <c r="R11"/>
  <c r="Q12"/>
  <c r="C16"/>
  <c r="C18" s="1"/>
  <c r="H8"/>
  <c r="H7"/>
  <c r="H6"/>
  <c r="F10"/>
  <c r="D10"/>
  <c r="B10"/>
  <c r="H10" s="1"/>
  <c r="K16" i="16"/>
  <c r="R12" i="17" l="1"/>
  <c r="R10"/>
  <c r="R16" s="1"/>
  <c r="G7"/>
  <c r="M7" s="1"/>
  <c r="E7"/>
  <c r="K7" s="1"/>
  <c r="G6"/>
  <c r="M6" s="1"/>
  <c r="G8"/>
  <c r="M8" s="1"/>
  <c r="C7"/>
  <c r="I7" s="1"/>
  <c r="E6"/>
  <c r="K6" s="1"/>
  <c r="E8"/>
  <c r="K8" s="1"/>
  <c r="C6"/>
  <c r="I6" s="1"/>
  <c r="C8"/>
  <c r="I8" s="1"/>
  <c r="C14" i="16"/>
  <c r="C12"/>
  <c r="D10"/>
  <c r="D11" s="1"/>
  <c r="D9"/>
  <c r="D8"/>
  <c r="D7"/>
  <c r="D6"/>
  <c r="D5"/>
  <c r="D4"/>
  <c r="D3"/>
  <c r="D2"/>
  <c r="C13" s="1"/>
  <c r="C13" i="15"/>
  <c r="C11"/>
  <c r="C7"/>
  <c r="D6" s="1"/>
  <c r="B7"/>
  <c r="F6"/>
  <c r="D5"/>
  <c r="D4"/>
  <c r="E3" i="16" l="1"/>
  <c r="F3" s="1"/>
  <c r="G3" s="1"/>
  <c r="E4"/>
  <c r="F4" s="1"/>
  <c r="G4" s="1"/>
  <c r="E5"/>
  <c r="F5" s="1"/>
  <c r="G5" s="1"/>
  <c r="E6"/>
  <c r="F6" s="1"/>
  <c r="G6" s="1"/>
  <c r="E7"/>
  <c r="F7" s="1"/>
  <c r="G7" s="1"/>
  <c r="E8"/>
  <c r="F8" s="1"/>
  <c r="G8" s="1"/>
  <c r="E9"/>
  <c r="F9" s="1"/>
  <c r="G9" s="1"/>
  <c r="E11"/>
  <c r="F11" s="1"/>
  <c r="G11" s="1"/>
  <c r="E2"/>
  <c r="F2" s="1"/>
  <c r="G2" s="1"/>
  <c r="E10"/>
  <c r="F10" s="1"/>
  <c r="G10" s="1"/>
  <c r="D3" i="15"/>
  <c r="D7" s="1"/>
  <c r="F4"/>
  <c r="F5"/>
  <c r="M10" i="17"/>
  <c r="C19" s="1"/>
  <c r="F12" i="16" l="1"/>
  <c r="F13" s="1"/>
  <c r="F14" s="1"/>
  <c r="F3" i="15"/>
  <c r="F7" s="1"/>
  <c r="C15" s="1"/>
  <c r="E7"/>
  <c r="G12" i="16" l="1"/>
  <c r="G15" s="1"/>
  <c r="G16" s="1"/>
  <c r="G17" s="1"/>
  <c r="H9" s="1"/>
  <c r="I9" s="1"/>
  <c r="H4" l="1"/>
  <c r="I4" s="1"/>
  <c r="H8"/>
  <c r="I8" s="1"/>
  <c r="H3"/>
  <c r="I3" s="1"/>
  <c r="H7"/>
  <c r="I7" s="1"/>
  <c r="H2"/>
  <c r="I2" s="1"/>
  <c r="J2" s="1"/>
  <c r="H6"/>
  <c r="I6" s="1"/>
  <c r="H10"/>
  <c r="I10" s="1"/>
  <c r="H5"/>
  <c r="I5" s="1"/>
  <c r="F6" i="12"/>
  <c r="K12"/>
  <c r="K11"/>
  <c r="K13" s="1"/>
  <c r="F12"/>
  <c r="F11"/>
  <c r="F15" s="1"/>
  <c r="G6"/>
  <c r="F6" i="11"/>
  <c r="F14"/>
  <c r="G16" s="1"/>
  <c r="G10"/>
  <c r="G6"/>
  <c r="D10" i="3"/>
  <c r="D13" s="1"/>
  <c r="D15" s="1"/>
  <c r="C10"/>
  <c r="C13" s="1"/>
  <c r="C15" s="1"/>
  <c r="B10"/>
  <c r="N4" i="9"/>
  <c r="N5"/>
  <c r="N6"/>
  <c r="N7"/>
  <c r="N8"/>
  <c r="N9"/>
  <c r="N10"/>
  <c r="N11"/>
  <c r="N12"/>
  <c r="N13"/>
  <c r="N14"/>
  <c r="N3"/>
  <c r="O18"/>
  <c r="O17"/>
  <c r="K2" i="6"/>
  <c r="P5" i="4"/>
  <c r="P6"/>
  <c r="P4"/>
  <c r="K4"/>
  <c r="K3"/>
  <c r="K2"/>
  <c r="J5" i="16" l="1"/>
  <c r="K5" s="1"/>
  <c r="L5" s="1"/>
  <c r="M5" s="1"/>
  <c r="J10"/>
  <c r="K10" s="1"/>
  <c r="J11"/>
  <c r="K11" s="1"/>
  <c r="N11" s="1"/>
  <c r="K2"/>
  <c r="J3"/>
  <c r="K3" s="1"/>
  <c r="N3" s="1"/>
  <c r="J4"/>
  <c r="K4" s="1"/>
  <c r="N5"/>
  <c r="J6"/>
  <c r="K6" s="1"/>
  <c r="J7"/>
  <c r="K7" s="1"/>
  <c r="J8"/>
  <c r="K8" s="1"/>
  <c r="J9"/>
  <c r="K9" s="1"/>
  <c r="K5" i="4"/>
  <c r="K6"/>
  <c r="K7"/>
  <c r="K9"/>
  <c r="J14"/>
  <c r="K14" s="1"/>
  <c r="L4"/>
  <c r="K3" i="6"/>
  <c r="L2" i="4"/>
  <c r="L6"/>
  <c r="K13"/>
  <c r="M13" s="1"/>
  <c r="K10"/>
  <c r="K21" i="9"/>
  <c r="H2"/>
  <c r="K4"/>
  <c r="I6"/>
  <c r="K6"/>
  <c r="H7"/>
  <c r="J7"/>
  <c r="L7"/>
  <c r="H8"/>
  <c r="J8"/>
  <c r="L8"/>
  <c r="H9"/>
  <c r="J9"/>
  <c r="L9"/>
  <c r="I10"/>
  <c r="K10"/>
  <c r="H11"/>
  <c r="J11"/>
  <c r="L11"/>
  <c r="I12"/>
  <c r="K12"/>
  <c r="H13"/>
  <c r="J13"/>
  <c r="L13"/>
  <c r="I14"/>
  <c r="K14"/>
  <c r="H15"/>
  <c r="J15"/>
  <c r="L15"/>
  <c r="I16"/>
  <c r="K16"/>
  <c r="H17"/>
  <c r="J17"/>
  <c r="L17"/>
  <c r="I18"/>
  <c r="K18"/>
  <c r="H19"/>
  <c r="J19"/>
  <c r="L19"/>
  <c r="I20"/>
  <c r="K20"/>
  <c r="H21"/>
  <c r="J21"/>
  <c r="L21"/>
  <c r="I2"/>
  <c r="K2"/>
  <c r="H3"/>
  <c r="J3"/>
  <c r="L3"/>
  <c r="I4"/>
  <c r="I5"/>
  <c r="K5"/>
  <c r="J2"/>
  <c r="L2"/>
  <c r="I3"/>
  <c r="K3"/>
  <c r="H4"/>
  <c r="J4"/>
  <c r="L4"/>
  <c r="H5"/>
  <c r="J5"/>
  <c r="L5"/>
  <c r="H6"/>
  <c r="J6"/>
  <c r="L6"/>
  <c r="I7"/>
  <c r="K7"/>
  <c r="I8"/>
  <c r="K8"/>
  <c r="I9"/>
  <c r="K9"/>
  <c r="H10"/>
  <c r="J10"/>
  <c r="L10"/>
  <c r="I11"/>
  <c r="K11"/>
  <c r="H12"/>
  <c r="J12"/>
  <c r="L12"/>
  <c r="I13"/>
  <c r="K13"/>
  <c r="H14"/>
  <c r="J14"/>
  <c r="L14"/>
  <c r="I15"/>
  <c r="K15"/>
  <c r="H16"/>
  <c r="J16"/>
  <c r="L16"/>
  <c r="I17"/>
  <c r="K17"/>
  <c r="H18"/>
  <c r="J18"/>
  <c r="L18"/>
  <c r="I19"/>
  <c r="K19"/>
  <c r="H20"/>
  <c r="J20"/>
  <c r="L20"/>
  <c r="I21"/>
  <c r="L13" i="4"/>
  <c r="M2"/>
  <c r="M6"/>
  <c r="K8"/>
  <c r="K11"/>
  <c r="K12"/>
  <c r="N9" i="16" l="1"/>
  <c r="L9"/>
  <c r="M9" s="1"/>
  <c r="N7"/>
  <c r="L7"/>
  <c r="M7" s="1"/>
  <c r="N4"/>
  <c r="L4"/>
  <c r="M4" s="1"/>
  <c r="J12"/>
  <c r="K12" s="1"/>
  <c r="N8"/>
  <c r="L8"/>
  <c r="M8" s="1"/>
  <c r="N6"/>
  <c r="L6"/>
  <c r="M6" s="1"/>
  <c r="N2"/>
  <c r="L3"/>
  <c r="M3" s="1"/>
  <c r="N10"/>
  <c r="L10"/>
  <c r="M10" s="1"/>
  <c r="M12" i="4"/>
  <c r="M4"/>
  <c r="M10"/>
  <c r="K4" i="6"/>
  <c r="K5" s="1"/>
  <c r="K6" s="1"/>
  <c r="K7" s="1"/>
  <c r="K8" s="1"/>
  <c r="K9" s="1"/>
  <c r="K10" s="1"/>
  <c r="K11" s="1"/>
  <c r="K12" s="1"/>
  <c r="K13" s="1"/>
  <c r="K14" s="1"/>
  <c r="M8" i="4"/>
  <c r="L10"/>
  <c r="O20" i="9"/>
  <c r="O21"/>
  <c r="M9" i="4"/>
  <c r="L9"/>
  <c r="M5"/>
  <c r="L5"/>
  <c r="M14"/>
  <c r="L14"/>
  <c r="M11"/>
  <c r="L11"/>
  <c r="M7"/>
  <c r="L7"/>
  <c r="L3"/>
  <c r="M3"/>
  <c r="L12"/>
  <c r="L8"/>
  <c r="I15"/>
  <c r="I6" i="2"/>
  <c r="H6"/>
  <c r="G9"/>
  <c r="H9"/>
  <c r="I9"/>
  <c r="F6"/>
  <c r="F9" s="1"/>
  <c r="G14"/>
  <c r="G18" s="1"/>
  <c r="F14"/>
  <c r="F18" s="1"/>
  <c r="G8" i="1"/>
  <c r="G6"/>
  <c r="G7"/>
  <c r="G5"/>
  <c r="G4"/>
  <c r="G3"/>
  <c r="B9"/>
  <c r="M12" i="16" l="1"/>
  <c r="K17" s="1"/>
  <c r="M15" i="4"/>
  <c r="G10" i="1"/>
  <c r="L15" i="4"/>
  <c r="K16" s="1"/>
  <c r="K17" s="1"/>
  <c r="J3" i="1" a="1"/>
  <c r="J3" s="1"/>
  <c r="G16" l="1"/>
  <c r="G18"/>
  <c r="G14"/>
  <c r="G15"/>
  <c r="G17"/>
  <c r="G19"/>
  <c r="K18" i="4"/>
  <c r="K19" s="1"/>
  <c r="J5" i="1"/>
  <c r="J4"/>
  <c r="J7"/>
  <c r="J6"/>
  <c r="J8" l="1"/>
  <c r="K3" s="1"/>
  <c r="G20"/>
  <c r="K5"/>
  <c r="K4"/>
  <c r="K6" l="1"/>
  <c r="K7"/>
  <c r="J15"/>
  <c r="J14"/>
  <c r="K8"/>
</calcChain>
</file>

<file path=xl/comments1.xml><?xml version="1.0" encoding="utf-8"?>
<comments xmlns="http://schemas.openxmlformats.org/spreadsheetml/2006/main">
  <authors>
    <author>Activated User</author>
  </authors>
  <commentList>
    <comment ref="J1" authorId="0">
      <text>
        <r>
          <rPr>
            <b/>
            <sz val="8"/>
            <color indexed="81"/>
            <rFont val="Tahoma"/>
            <family val="2"/>
          </rPr>
          <t>Note:</t>
        </r>
        <r>
          <rPr>
            <sz val="8"/>
            <color indexed="81"/>
            <rFont val="Tahoma"/>
            <family val="2"/>
          </rPr>
          <t xml:space="preserve">
Class mid-point is calculated based on the Lower and Upper Class boundaries</t>
        </r>
      </text>
    </comment>
  </commentList>
</comments>
</file>

<file path=xl/comments2.xml><?xml version="1.0" encoding="utf-8"?>
<comments xmlns="http://schemas.openxmlformats.org/spreadsheetml/2006/main">
  <authors>
    <author>Activated User</author>
  </authors>
  <commentList>
    <comment ref="B19" authorId="0">
      <text>
        <r>
          <rPr>
            <b/>
            <sz val="9"/>
            <color indexed="81"/>
            <rFont val="Tahoma"/>
            <family val="2"/>
          </rPr>
          <t>Comment for User:</t>
        </r>
        <r>
          <rPr>
            <b/>
            <sz val="8"/>
            <color indexed="81"/>
            <rFont val="Tahoma"/>
            <family val="2"/>
          </rPr>
          <t xml:space="preserve">
See Figure 6, Page 21 of BCS-040/Block2/Unit4</t>
        </r>
      </text>
    </comment>
  </commentList>
</comments>
</file>

<file path=xl/comments3.xml><?xml version="1.0" encoding="utf-8"?>
<comments xmlns="http://schemas.openxmlformats.org/spreadsheetml/2006/main">
  <authors>
    <author>Activated User</author>
  </authors>
  <commentList>
    <comment ref="M8" authorId="0">
      <text>
        <r>
          <rPr>
            <b/>
            <sz val="8"/>
            <color indexed="81"/>
            <rFont val="Tahoma"/>
            <family val="2"/>
          </rPr>
          <t>Comment For User:</t>
        </r>
        <r>
          <rPr>
            <sz val="8"/>
            <color indexed="81"/>
            <rFont val="Tahoma"/>
            <family val="2"/>
          </rPr>
          <t xml:space="preserve">
These two are required for finding the criticalvalues in case of 5% probability in 2-Tails</t>
        </r>
      </text>
    </comment>
    <comment ref="N8" authorId="0">
      <text>
        <r>
          <rPr>
            <b/>
            <sz val="8"/>
            <color indexed="81"/>
            <rFont val="Tahoma"/>
            <family val="2"/>
          </rPr>
          <t>Comment For User:</t>
        </r>
        <r>
          <rPr>
            <sz val="8"/>
            <color indexed="81"/>
            <rFont val="Tahoma"/>
            <family val="2"/>
          </rPr>
          <t xml:space="preserve">
These two are required for finding the criticalvalues in case of 5% probability in 2-Tails</t>
        </r>
      </text>
    </comment>
  </commentList>
</comments>
</file>

<file path=xl/comments4.xml><?xml version="1.0" encoding="utf-8"?>
<comments xmlns="http://schemas.openxmlformats.org/spreadsheetml/2006/main">
  <authors>
    <author>Activated User</author>
  </authors>
  <commentList>
    <comment ref="J11" authorId="0">
      <text>
        <r>
          <rPr>
            <b/>
            <sz val="8"/>
            <color indexed="81"/>
            <rFont val="Tahoma"/>
            <family val="2"/>
          </rPr>
          <t>Comment For User:</t>
        </r>
        <r>
          <rPr>
            <sz val="8"/>
            <color indexed="81"/>
            <rFont val="Tahoma"/>
            <family val="2"/>
          </rPr>
          <t xml:space="preserve">
Please note that sum of probabilities in this column should add upto UNITY. 
Thus, having already obtained the probabilities in the clases above, this CELL or Class probability can be calculated by subtracting from 1.0000 the total of the above Nine class probabilities</t>
        </r>
      </text>
    </comment>
    <comment ref="J12" authorId="0">
      <text>
        <r>
          <rPr>
            <b/>
            <sz val="8"/>
            <color indexed="81"/>
            <rFont val="Tahoma"/>
            <family val="2"/>
          </rPr>
          <t>Comment For User:</t>
        </r>
        <r>
          <rPr>
            <sz val="8"/>
            <color indexed="81"/>
            <rFont val="Tahoma"/>
            <family val="2"/>
          </rPr>
          <t xml:space="preserve">
Please note that sum of probabilities in this column should add upto UNITY.</t>
        </r>
      </text>
    </comment>
    <comment ref="B19" authorId="0">
      <text>
        <r>
          <rPr>
            <b/>
            <sz val="8"/>
            <color indexed="81"/>
            <rFont val="Tahoma"/>
            <family val="2"/>
          </rPr>
          <t>Comment for User:</t>
        </r>
        <r>
          <rPr>
            <sz val="8"/>
            <color indexed="81"/>
            <rFont val="Tahoma"/>
            <family val="2"/>
          </rPr>
          <t xml:space="preserve">
You can modify this value and notice difference in Expected frequencies</t>
        </r>
      </text>
    </comment>
    <comment ref="C19" authorId="0">
      <text>
        <r>
          <rPr>
            <b/>
            <sz val="8"/>
            <color indexed="81"/>
            <rFont val="Tahoma"/>
            <family val="2"/>
          </rPr>
          <t>Comment for User:</t>
        </r>
        <r>
          <rPr>
            <sz val="8"/>
            <color indexed="81"/>
            <rFont val="Tahoma"/>
            <family val="2"/>
          </rPr>
          <t xml:space="preserve">
You can modify this value and notice difference in Expected frequencies</t>
        </r>
      </text>
    </comment>
  </commentList>
</comments>
</file>

<file path=xl/sharedStrings.xml><?xml version="1.0" encoding="utf-8"?>
<sst xmlns="http://schemas.openxmlformats.org/spreadsheetml/2006/main" count="293" uniqueCount="223">
  <si>
    <t>Income of Four Businesses</t>
  </si>
  <si>
    <t>B1</t>
  </si>
  <si>
    <t xml:space="preserve">Business </t>
  </si>
  <si>
    <t>B2</t>
  </si>
  <si>
    <t>B3</t>
  </si>
  <si>
    <t>B4</t>
  </si>
  <si>
    <t>Sample</t>
  </si>
  <si>
    <t>Sample Elements</t>
  </si>
  <si>
    <t>Sample Means</t>
  </si>
  <si>
    <t>B1, B2</t>
  </si>
  <si>
    <t>B1, B3</t>
  </si>
  <si>
    <t>B1, B4</t>
  </si>
  <si>
    <t>B2, B3</t>
  </si>
  <si>
    <t>B2, B4</t>
  </si>
  <si>
    <t>B3, B4</t>
  </si>
  <si>
    <t>Total</t>
  </si>
  <si>
    <t>(it is same as population mean)</t>
  </si>
  <si>
    <t>TOTAL</t>
  </si>
  <si>
    <r>
      <t>The degree of Freedom (</t>
    </r>
    <r>
      <rPr>
        <sz val="14"/>
        <color theme="1"/>
        <rFont val="Calibri"/>
        <family val="2"/>
      </rPr>
      <t>ν) =</t>
    </r>
  </si>
  <si>
    <r>
      <t>Shaded area to the right (</t>
    </r>
    <r>
      <rPr>
        <sz val="14"/>
        <color theme="1"/>
        <rFont val="Calibri"/>
        <family val="2"/>
      </rPr>
      <t>α)=</t>
    </r>
  </si>
  <si>
    <t>The calculated value of t =</t>
  </si>
  <si>
    <t>(i)</t>
  </si>
  <si>
    <t>(ii)</t>
  </si>
  <si>
    <r>
      <t xml:space="preserve">TOTAL Unshaded area </t>
    </r>
    <r>
      <rPr>
        <sz val="14"/>
        <color theme="1"/>
        <rFont val="Calibri"/>
        <family val="2"/>
      </rPr>
      <t>=</t>
    </r>
  </si>
  <si>
    <t>Problem 3: The t-value calculation</t>
  </si>
  <si>
    <t>(iii)</t>
  </si>
  <si>
    <t>(iv)</t>
  </si>
  <si>
    <t>Given t value =</t>
  </si>
  <si>
    <t>Number of Observations (n) =</t>
  </si>
  <si>
    <t>Number of such shaded areas (tails)</t>
  </si>
  <si>
    <t>Table 3: Lives of 100 Electric Bulbs</t>
  </si>
  <si>
    <t>Bins</t>
  </si>
  <si>
    <t>Frequency (f)</t>
  </si>
  <si>
    <t>Average Life In Hours (x)</t>
  </si>
  <si>
    <t>y=(x-950.5) /80</t>
  </si>
  <si>
    <t>f*y</t>
  </si>
  <si>
    <r>
      <t>f*y</t>
    </r>
    <r>
      <rPr>
        <b/>
        <vertAlign val="superscript"/>
        <sz val="13"/>
        <color theme="1"/>
        <rFont val="Calibri"/>
        <family val="2"/>
        <scheme val="minor"/>
      </rPr>
      <t>2</t>
    </r>
  </si>
  <si>
    <t>CALCULATIONS USING FORMULAS</t>
  </si>
  <si>
    <t>MEAN</t>
  </si>
  <si>
    <t>MEDIAN</t>
  </si>
  <si>
    <t>SD</t>
  </si>
  <si>
    <t>More</t>
  </si>
  <si>
    <t xml:space="preserve"> µ' =</t>
  </si>
  <si>
    <r>
      <t xml:space="preserve">Mean </t>
    </r>
    <r>
      <rPr>
        <b/>
        <sz val="13"/>
        <color theme="1"/>
        <rFont val="Calibri"/>
        <family val="2"/>
      </rPr>
      <t>µ =</t>
    </r>
  </si>
  <si>
    <r>
      <t xml:space="preserve">Variance </t>
    </r>
    <r>
      <rPr>
        <b/>
        <sz val="13"/>
        <color theme="1"/>
        <rFont val="Calibri"/>
        <family val="2"/>
      </rPr>
      <t>σ</t>
    </r>
    <r>
      <rPr>
        <b/>
        <vertAlign val="superscript"/>
        <sz val="13"/>
        <color theme="1"/>
        <rFont val="Calibri"/>
        <family val="2"/>
      </rPr>
      <t>2</t>
    </r>
    <r>
      <rPr>
        <b/>
        <sz val="13"/>
        <color theme="1"/>
        <rFont val="Calibri"/>
        <family val="2"/>
      </rPr>
      <t xml:space="preserve"> =</t>
    </r>
  </si>
  <si>
    <r>
      <t xml:space="preserve">Standard Deviation </t>
    </r>
    <r>
      <rPr>
        <b/>
        <sz val="13"/>
        <color theme="1"/>
        <rFont val="Calibri"/>
        <family val="2"/>
      </rPr>
      <t>σ  =</t>
    </r>
  </si>
  <si>
    <t>Bin</t>
  </si>
  <si>
    <t>Frequency</t>
  </si>
  <si>
    <t>Cummulative Frequency</t>
  </si>
  <si>
    <t xml:space="preserve">Frequency </t>
  </si>
  <si>
    <t>Example 4: The claim of manufacturer of fuse</t>
  </si>
  <si>
    <t>Mean time of sample (x bar)</t>
  </si>
  <si>
    <t xml:space="preserve">Standard deviation of the sample (s) </t>
  </si>
  <si>
    <t>Number of observations (n)</t>
  </si>
  <si>
    <t>Degrees of freedom</t>
  </si>
  <si>
    <r>
      <t>Mean of the population (</t>
    </r>
    <r>
      <rPr>
        <sz val="14"/>
        <color theme="1"/>
        <rFont val="Calibri"/>
        <family val="2"/>
      </rPr>
      <t>µ)</t>
    </r>
  </si>
  <si>
    <t>Mean</t>
  </si>
  <si>
    <t>z value</t>
  </si>
  <si>
    <t>Z value</t>
  </si>
  <si>
    <t xml:space="preserve"> z values of lives of electric bulbs</t>
  </si>
  <si>
    <t>Mean Z</t>
  </si>
  <si>
    <t>Number of Tails (as you want to equate these values with t table)</t>
  </si>
  <si>
    <r>
      <t xml:space="preserve">The Calculated value of </t>
    </r>
    <r>
      <rPr>
        <b/>
        <i/>
        <sz val="14"/>
        <color theme="1"/>
        <rFont val="Calibri"/>
        <family val="2"/>
        <scheme val="minor"/>
      </rPr>
      <t>t</t>
    </r>
    <r>
      <rPr>
        <b/>
        <i/>
        <vertAlign val="subscript"/>
        <sz val="14"/>
        <color theme="1"/>
        <rFont val="Calibri"/>
        <family val="2"/>
        <scheme val="minor"/>
      </rPr>
      <t>cal</t>
    </r>
    <r>
      <rPr>
        <sz val="14"/>
        <color theme="1"/>
        <rFont val="Calibri"/>
        <family val="2"/>
        <scheme val="minor"/>
      </rPr>
      <t xml:space="preserve"> using the formula</t>
    </r>
  </si>
  <si>
    <r>
      <t>Probaility for the given α (Since two tailed, probability = α</t>
    </r>
    <r>
      <rPr>
        <sz val="14"/>
        <color theme="1"/>
        <rFont val="Calibri"/>
        <family val="2"/>
      </rPr>
      <t>×</t>
    </r>
    <r>
      <rPr>
        <sz val="14"/>
        <color theme="1"/>
        <rFont val="Calibri"/>
        <family val="2"/>
        <scheme val="minor"/>
      </rPr>
      <t>2 )</t>
    </r>
  </si>
  <si>
    <t>Low</t>
  </si>
  <si>
    <t>High</t>
  </si>
  <si>
    <r>
      <t xml:space="preserve">Problem 4: Calculation of </t>
    </r>
    <r>
      <rPr>
        <b/>
        <sz val="16"/>
        <color theme="1"/>
        <rFont val="Calibri"/>
        <family val="2"/>
      </rPr>
      <t>Probability</t>
    </r>
  </si>
  <si>
    <r>
      <t xml:space="preserve">The calculated value of </t>
    </r>
    <r>
      <rPr>
        <b/>
        <sz val="14"/>
        <color theme="1"/>
        <rFont val="Calibri"/>
        <family val="2"/>
      </rPr>
      <t xml:space="preserve">Probability </t>
    </r>
    <r>
      <rPr>
        <b/>
        <sz val="14"/>
        <color theme="1"/>
        <rFont val="Calibri"/>
        <family val="2"/>
        <scheme val="minor"/>
      </rPr>
      <t xml:space="preserve"> =</t>
    </r>
  </si>
  <si>
    <r>
      <t xml:space="preserve">The value of </t>
    </r>
    <r>
      <rPr>
        <sz val="14"/>
        <color theme="1"/>
        <rFont val="Calibri"/>
        <family val="2"/>
      </rPr>
      <t>α =</t>
    </r>
  </si>
  <si>
    <t>The  value of chi-square</t>
  </si>
  <si>
    <t>Example 5: The chi-square value calculation using spreadsheet</t>
  </si>
  <si>
    <t>Problem 5: Calculating Chi-square using formula and checking it against standard tabulated value</t>
  </si>
  <si>
    <t>Size of Random Sample (n) =</t>
  </si>
  <si>
    <r>
      <t xml:space="preserve">Population variance </t>
    </r>
    <r>
      <rPr>
        <sz val="14"/>
        <color theme="1"/>
        <rFont val="Calibri"/>
        <family val="2"/>
      </rPr>
      <t>σ</t>
    </r>
    <r>
      <rPr>
        <vertAlign val="superscript"/>
        <sz val="14"/>
        <color theme="1"/>
        <rFont val="Calibri"/>
        <family val="2"/>
      </rPr>
      <t>2</t>
    </r>
  </si>
  <si>
    <r>
      <t xml:space="preserve">Sample variance </t>
    </r>
    <r>
      <rPr>
        <sz val="14"/>
        <color theme="1"/>
        <rFont val="Calibri"/>
        <family val="2"/>
      </rPr>
      <t>s</t>
    </r>
    <r>
      <rPr>
        <vertAlign val="superscript"/>
        <sz val="14"/>
        <color theme="1"/>
        <rFont val="Calibri"/>
        <family val="2"/>
      </rPr>
      <t xml:space="preserve">2 </t>
    </r>
    <r>
      <rPr>
        <sz val="14"/>
        <color theme="1"/>
        <rFont val="Calibri"/>
        <family val="2"/>
      </rPr>
      <t>limit</t>
    </r>
  </si>
  <si>
    <r>
      <t>Calculated Chi-square value</t>
    </r>
    <r>
      <rPr>
        <b/>
        <sz val="14"/>
        <color theme="1"/>
        <rFont val="Calibri"/>
        <family val="2"/>
      </rPr>
      <t xml:space="preserve"> </t>
    </r>
    <r>
      <rPr>
        <b/>
        <sz val="14"/>
        <color theme="1"/>
        <rFont val="Calibri"/>
        <family val="2"/>
        <scheme val="minor"/>
      </rPr>
      <t xml:space="preserve"> =</t>
    </r>
  </si>
  <si>
    <r>
      <t xml:space="preserve">Probability (using Chi-square and </t>
    </r>
    <r>
      <rPr>
        <b/>
        <sz val="14"/>
        <color theme="1"/>
        <rFont val="Calibri"/>
        <family val="2"/>
      </rPr>
      <t>ν)</t>
    </r>
  </si>
  <si>
    <t>Example 6: The probability calculations using F-distribution</t>
  </si>
  <si>
    <r>
      <t>The degree of Freedom (</t>
    </r>
    <r>
      <rPr>
        <sz val="14"/>
        <color theme="1"/>
        <rFont val="Calibri"/>
        <family val="2"/>
      </rPr>
      <t>ν</t>
    </r>
    <r>
      <rPr>
        <vertAlign val="subscript"/>
        <sz val="14"/>
        <color theme="1"/>
        <rFont val="Calibri"/>
        <family val="2"/>
      </rPr>
      <t>1</t>
    </r>
    <r>
      <rPr>
        <sz val="14"/>
        <color theme="1"/>
        <rFont val="Calibri"/>
        <family val="2"/>
      </rPr>
      <t>) =</t>
    </r>
  </si>
  <si>
    <r>
      <t>The degree of Freedom (</t>
    </r>
    <r>
      <rPr>
        <sz val="14"/>
        <color theme="1"/>
        <rFont val="Calibri"/>
        <family val="2"/>
      </rPr>
      <t>ν</t>
    </r>
    <r>
      <rPr>
        <vertAlign val="subscript"/>
        <sz val="14"/>
        <color theme="1"/>
        <rFont val="Calibri"/>
        <family val="2"/>
      </rPr>
      <t>2</t>
    </r>
    <r>
      <rPr>
        <sz val="14"/>
        <color theme="1"/>
        <rFont val="Calibri"/>
        <family val="2"/>
      </rPr>
      <t>) =</t>
    </r>
  </si>
  <si>
    <t>Value of F-variable</t>
  </si>
  <si>
    <t>Probability</t>
  </si>
  <si>
    <t>Problem 6: Calculation of difference in variance using F-distribution</t>
  </si>
  <si>
    <r>
      <t>Size of Random Sample (n</t>
    </r>
    <r>
      <rPr>
        <vertAlign val="subscript"/>
        <sz val="14"/>
        <color theme="1"/>
        <rFont val="Calibri"/>
        <family val="2"/>
        <scheme val="minor"/>
      </rPr>
      <t>1</t>
    </r>
    <r>
      <rPr>
        <sz val="14"/>
        <color theme="1"/>
        <rFont val="Calibri"/>
        <family val="2"/>
        <scheme val="minor"/>
      </rPr>
      <t>) =</t>
    </r>
  </si>
  <si>
    <r>
      <t>Size of Random Sample (n</t>
    </r>
    <r>
      <rPr>
        <vertAlign val="subscript"/>
        <sz val="14"/>
        <color theme="1"/>
        <rFont val="Calibri"/>
        <family val="2"/>
        <scheme val="minor"/>
      </rPr>
      <t>2</t>
    </r>
    <r>
      <rPr>
        <sz val="14"/>
        <color theme="1"/>
        <rFont val="Calibri"/>
        <family val="2"/>
        <scheme val="minor"/>
      </rPr>
      <t>) =</t>
    </r>
  </si>
  <si>
    <t>TO BE CALCULATED</t>
  </si>
  <si>
    <r>
      <t>Hypothesis (H</t>
    </r>
    <r>
      <rPr>
        <b/>
        <vertAlign val="subscript"/>
        <sz val="14"/>
        <color theme="1"/>
        <rFont val="Calibri"/>
        <family val="2"/>
        <scheme val="minor"/>
      </rPr>
      <t>0</t>
    </r>
    <r>
      <rPr>
        <b/>
        <sz val="14"/>
        <color theme="1"/>
        <rFont val="Calibri"/>
        <family val="2"/>
        <scheme val="minor"/>
      </rPr>
      <t xml:space="preserve">): </t>
    </r>
    <r>
      <rPr>
        <sz val="14"/>
        <color theme="1"/>
        <rFont val="Calibri"/>
        <family val="2"/>
        <scheme val="minor"/>
      </rPr>
      <t>No difference in the means, that is, there is no difference in students reading abilities after the course</t>
    </r>
  </si>
  <si>
    <r>
      <t xml:space="preserve">t-Test: </t>
    </r>
    <r>
      <rPr>
        <sz val="14"/>
        <color theme="1"/>
        <rFont val="Calibri"/>
        <family val="2"/>
        <scheme val="minor"/>
      </rPr>
      <t>Paired Two Sample for Means using Data Analysis…</t>
    </r>
  </si>
  <si>
    <r>
      <t xml:space="preserve">t-Test: </t>
    </r>
    <r>
      <rPr>
        <sz val="14"/>
        <color theme="1"/>
        <rFont val="Calibri"/>
        <family val="2"/>
        <scheme val="minor"/>
      </rPr>
      <t>Paired Two Sample for Means using function ttest(….)</t>
    </r>
  </si>
  <si>
    <t>Variable 1</t>
  </si>
  <si>
    <t>Variable 2</t>
  </si>
  <si>
    <t>Calculated Significance Level</t>
  </si>
  <si>
    <t>Variance</t>
  </si>
  <si>
    <t>Observations</t>
  </si>
  <si>
    <t xml:space="preserve">Significance Level α </t>
  </si>
  <si>
    <t>Pearson Correlation</t>
  </si>
  <si>
    <t>Hypothesized Mean Difference</t>
  </si>
  <si>
    <r>
      <t>Hypothesis (H</t>
    </r>
    <r>
      <rPr>
        <b/>
        <vertAlign val="subscript"/>
        <sz val="14"/>
        <color theme="1"/>
        <rFont val="Calibri"/>
        <family val="2"/>
        <scheme val="minor"/>
      </rPr>
      <t>0</t>
    </r>
    <r>
      <rPr>
        <b/>
        <sz val="14"/>
        <color theme="1"/>
        <rFont val="Calibri"/>
        <family val="2"/>
        <scheme val="minor"/>
      </rPr>
      <t>)</t>
    </r>
  </si>
  <si>
    <t>df</t>
  </si>
  <si>
    <t>t Stat</t>
  </si>
  <si>
    <t>P(T&lt;=t) one-tail</t>
  </si>
  <si>
    <t>t Critical one-tail</t>
  </si>
  <si>
    <t>P(T&lt;=t) two-tail</t>
  </si>
  <si>
    <t>t Critical two-tail</t>
  </si>
  <si>
    <t>Data of reading speed of 10 Students before and after taking a course on Reading</t>
  </si>
  <si>
    <t>Before</t>
  </si>
  <si>
    <t>After</t>
  </si>
  <si>
    <t>Flower Type</t>
  </si>
  <si>
    <r>
      <t>Observed Number (O</t>
    </r>
    <r>
      <rPr>
        <b/>
        <vertAlign val="subscript"/>
        <sz val="14"/>
        <color theme="1"/>
        <rFont val="Calibri"/>
        <family val="2"/>
        <scheme val="minor"/>
      </rPr>
      <t>i</t>
    </r>
    <r>
      <rPr>
        <b/>
        <sz val="14"/>
        <color theme="1"/>
        <rFont val="Calibri"/>
        <family val="2"/>
        <scheme val="minor"/>
      </rPr>
      <t>)</t>
    </r>
  </si>
  <si>
    <t>Ratio</t>
  </si>
  <si>
    <r>
      <t>Probability (p</t>
    </r>
    <r>
      <rPr>
        <b/>
        <vertAlign val="subscript"/>
        <sz val="14"/>
        <color theme="1"/>
        <rFont val="Calibri"/>
        <family val="2"/>
        <scheme val="minor"/>
      </rPr>
      <t>i</t>
    </r>
    <r>
      <rPr>
        <b/>
        <sz val="14"/>
        <color theme="1"/>
        <rFont val="Calibri"/>
        <family val="2"/>
        <scheme val="minor"/>
      </rPr>
      <t>)</t>
    </r>
  </si>
  <si>
    <r>
      <t>Expected Number (E</t>
    </r>
    <r>
      <rPr>
        <b/>
        <vertAlign val="subscript"/>
        <sz val="14"/>
        <color theme="1"/>
        <rFont val="Calibri"/>
        <family val="2"/>
        <scheme val="minor"/>
      </rPr>
      <t>i</t>
    </r>
    <r>
      <rPr>
        <b/>
        <sz val="14"/>
        <color theme="1"/>
        <rFont val="Calibri"/>
        <family val="2"/>
        <scheme val="minor"/>
      </rPr>
      <t>) (=np</t>
    </r>
    <r>
      <rPr>
        <b/>
        <vertAlign val="subscript"/>
        <sz val="14"/>
        <color theme="1"/>
        <rFont val="Calibri"/>
        <family val="2"/>
        <scheme val="minor"/>
      </rPr>
      <t>i</t>
    </r>
    <r>
      <rPr>
        <b/>
        <sz val="14"/>
        <color theme="1"/>
        <rFont val="Calibri"/>
        <family val="2"/>
        <scheme val="minor"/>
      </rPr>
      <t>)</t>
    </r>
  </si>
  <si>
    <r>
      <t>(O</t>
    </r>
    <r>
      <rPr>
        <b/>
        <vertAlign val="subscript"/>
        <sz val="14"/>
        <color theme="1"/>
        <rFont val="Calibri"/>
        <family val="2"/>
        <scheme val="minor"/>
      </rPr>
      <t xml:space="preserve">i </t>
    </r>
    <r>
      <rPr>
        <b/>
        <sz val="14"/>
        <color theme="1"/>
        <rFont val="Calibri"/>
        <family val="2"/>
        <scheme val="minor"/>
      </rPr>
      <t>- E</t>
    </r>
    <r>
      <rPr>
        <b/>
        <vertAlign val="subscript"/>
        <sz val="14"/>
        <color theme="1"/>
        <rFont val="Calibri"/>
        <family val="2"/>
        <scheme val="minor"/>
      </rPr>
      <t>i</t>
    </r>
    <r>
      <rPr>
        <b/>
        <sz val="14"/>
        <color theme="1"/>
        <rFont val="Calibri"/>
        <family val="2"/>
        <scheme val="minor"/>
      </rPr>
      <t>)</t>
    </r>
    <r>
      <rPr>
        <b/>
        <vertAlign val="superscript"/>
        <sz val="14"/>
        <color theme="1"/>
        <rFont val="Calibri"/>
        <family val="2"/>
        <scheme val="minor"/>
      </rPr>
      <t>2</t>
    </r>
    <r>
      <rPr>
        <b/>
        <sz val="14"/>
        <color theme="1"/>
        <rFont val="Calibri"/>
        <family val="2"/>
        <scheme val="minor"/>
      </rPr>
      <t>/E</t>
    </r>
    <r>
      <rPr>
        <b/>
        <vertAlign val="subscript"/>
        <sz val="14"/>
        <color theme="1"/>
        <rFont val="Calibri"/>
        <family val="2"/>
        <scheme val="minor"/>
      </rPr>
      <t>i</t>
    </r>
  </si>
  <si>
    <t>MG</t>
  </si>
  <si>
    <t>MR</t>
  </si>
  <si>
    <t>RG</t>
  </si>
  <si>
    <t>RR</t>
  </si>
  <si>
    <t>n</t>
  </si>
  <si>
    <t>Calculated U</t>
  </si>
  <si>
    <t>Number of Classes</t>
  </si>
  <si>
    <t>Degrees of Freedom</t>
  </si>
  <si>
    <t>Chi Square value at α</t>
  </si>
  <si>
    <t xml:space="preserve">       </t>
  </si>
  <si>
    <t>Sales ( in 1000 litres)</t>
  </si>
  <si>
    <t>Upper Limit of the Interval</t>
  </si>
  <si>
    <t xml:space="preserve">Cummulative One Tailed Probability </t>
  </si>
  <si>
    <t>Probility for the Interval</t>
  </si>
  <si>
    <r>
      <t>Expected Frquency of Number of days (E</t>
    </r>
    <r>
      <rPr>
        <b/>
        <vertAlign val="subscript"/>
        <sz val="14"/>
        <color theme="1"/>
        <rFont val="Calibri"/>
        <family val="2"/>
        <scheme val="minor"/>
      </rPr>
      <t xml:space="preserve">i </t>
    </r>
    <r>
      <rPr>
        <b/>
        <sz val="14"/>
        <color theme="1"/>
        <rFont val="Calibri"/>
        <family val="2"/>
        <scheme val="minor"/>
      </rPr>
      <t xml:space="preserve">= n </t>
    </r>
    <r>
      <rPr>
        <b/>
        <sz val="14"/>
        <color theme="1"/>
        <rFont val="Calibri"/>
        <family val="2"/>
      </rPr>
      <t>× p</t>
    </r>
    <r>
      <rPr>
        <b/>
        <vertAlign val="subscript"/>
        <sz val="14"/>
        <color theme="1"/>
        <rFont val="Calibri"/>
        <family val="2"/>
      </rPr>
      <t>i</t>
    </r>
    <r>
      <rPr>
        <b/>
        <sz val="14"/>
        <color theme="1"/>
        <rFont val="Calibri"/>
        <family val="2"/>
        <scheme val="minor"/>
      </rPr>
      <t>)</t>
    </r>
  </si>
  <si>
    <r>
      <t>Modified Observed Frquency (O</t>
    </r>
    <r>
      <rPr>
        <b/>
        <vertAlign val="subscript"/>
        <sz val="14"/>
        <color theme="1"/>
        <rFont val="Calibri"/>
        <family val="2"/>
        <scheme val="minor"/>
      </rPr>
      <t>i</t>
    </r>
    <r>
      <rPr>
        <b/>
        <sz val="14"/>
        <color theme="1"/>
        <rFont val="Calibri"/>
        <family val="2"/>
        <scheme val="minor"/>
      </rPr>
      <t>)</t>
    </r>
  </si>
  <si>
    <r>
      <t>(Oi - Ei)</t>
    </r>
    <r>
      <rPr>
        <b/>
        <vertAlign val="superscript"/>
        <sz val="14"/>
        <color theme="1"/>
        <rFont val="Calibri"/>
        <family val="2"/>
        <scheme val="minor"/>
      </rPr>
      <t>2</t>
    </r>
    <r>
      <rPr>
        <b/>
        <sz val="14"/>
        <color theme="1"/>
        <rFont val="Calibri"/>
        <family val="2"/>
        <scheme val="minor"/>
      </rPr>
      <t>/Ei</t>
    </r>
  </si>
  <si>
    <t>Less than 34.0</t>
  </si>
  <si>
    <t>34.0-35.5</t>
  </si>
  <si>
    <t>35.5-37.0</t>
  </si>
  <si>
    <t>37.0-38.5</t>
  </si>
  <si>
    <t>38.5-40.0</t>
  </si>
  <si>
    <t>40.0-41.5</t>
  </si>
  <si>
    <t>41.5-43.0</t>
  </si>
  <si>
    <t>43.0-44.5</t>
  </si>
  <si>
    <t>44.5-46.0</t>
  </si>
  <si>
    <t>46.0 or more</t>
  </si>
  <si>
    <t>U</t>
  </si>
  <si>
    <t>Mid Point of Interval (x)</t>
  </si>
  <si>
    <t>y = (x-40)/1.5</t>
  </si>
  <si>
    <r>
      <t>y</t>
    </r>
    <r>
      <rPr>
        <b/>
        <vertAlign val="superscript"/>
        <sz val="14"/>
        <color theme="1"/>
        <rFont val="Calibri"/>
        <family val="2"/>
        <scheme val="minor"/>
      </rPr>
      <t xml:space="preserve">2 </t>
    </r>
    <r>
      <rPr>
        <b/>
        <sz val="14"/>
        <color theme="1"/>
        <rFont val="Calibri"/>
        <family val="2"/>
      </rPr>
      <t xml:space="preserve">× </t>
    </r>
    <r>
      <rPr>
        <b/>
        <sz val="14"/>
        <color theme="1"/>
        <rFont val="Calibri"/>
        <family val="2"/>
        <scheme val="minor"/>
      </rPr>
      <t>f</t>
    </r>
  </si>
  <si>
    <r>
      <t xml:space="preserve">y </t>
    </r>
    <r>
      <rPr>
        <b/>
        <sz val="14"/>
        <color theme="1"/>
        <rFont val="Calibri"/>
        <family val="2"/>
      </rPr>
      <t xml:space="preserve">× </t>
    </r>
    <r>
      <rPr>
        <b/>
        <sz val="14"/>
        <color theme="1"/>
        <rFont val="Calibri"/>
        <family val="2"/>
        <scheme val="minor"/>
      </rPr>
      <t>f</t>
    </r>
  </si>
  <si>
    <t>µ</t>
  </si>
  <si>
    <t>µ'</t>
  </si>
  <si>
    <t>Varaince y</t>
  </si>
  <si>
    <t>Varaince x</t>
  </si>
  <si>
    <r>
      <t>Observed Frquency (f) of Number of days (O</t>
    </r>
    <r>
      <rPr>
        <b/>
        <vertAlign val="subscript"/>
        <sz val="13"/>
        <color theme="1"/>
        <rFont val="Calibri"/>
        <family val="2"/>
        <scheme val="minor"/>
      </rPr>
      <t>i</t>
    </r>
    <r>
      <rPr>
        <b/>
        <sz val="13"/>
        <color theme="1"/>
        <rFont val="Calibri"/>
        <family val="2"/>
        <scheme val="minor"/>
      </rPr>
      <t>)</t>
    </r>
  </si>
  <si>
    <r>
      <t>O</t>
    </r>
    <r>
      <rPr>
        <vertAlign val="subscript"/>
        <sz val="14"/>
        <color theme="1"/>
        <rFont val="Calibri"/>
        <family val="2"/>
        <scheme val="minor"/>
      </rPr>
      <t>i1</t>
    </r>
  </si>
  <si>
    <r>
      <t>E</t>
    </r>
    <r>
      <rPr>
        <vertAlign val="subscript"/>
        <sz val="14"/>
        <color theme="1"/>
        <rFont val="Calibri"/>
        <family val="2"/>
        <scheme val="minor"/>
      </rPr>
      <t>i1</t>
    </r>
  </si>
  <si>
    <r>
      <t>O</t>
    </r>
    <r>
      <rPr>
        <vertAlign val="subscript"/>
        <sz val="14"/>
        <color theme="1"/>
        <rFont val="Calibri"/>
        <family val="2"/>
        <scheme val="minor"/>
      </rPr>
      <t>i2</t>
    </r>
    <r>
      <rPr>
        <sz val="11"/>
        <color theme="1"/>
        <rFont val="Calibri"/>
        <family val="2"/>
        <scheme val="minor"/>
      </rPr>
      <t/>
    </r>
  </si>
  <si>
    <r>
      <t>E</t>
    </r>
    <r>
      <rPr>
        <vertAlign val="subscript"/>
        <sz val="14"/>
        <color theme="1"/>
        <rFont val="Calibri"/>
        <family val="2"/>
        <scheme val="minor"/>
      </rPr>
      <t>i2</t>
    </r>
    <r>
      <rPr>
        <sz val="11"/>
        <color theme="1"/>
        <rFont val="Calibri"/>
        <family val="2"/>
        <scheme val="minor"/>
      </rPr>
      <t/>
    </r>
  </si>
  <si>
    <r>
      <t>O</t>
    </r>
    <r>
      <rPr>
        <vertAlign val="subscript"/>
        <sz val="14"/>
        <color theme="1"/>
        <rFont val="Calibri"/>
        <family val="2"/>
        <scheme val="minor"/>
      </rPr>
      <t>i3</t>
    </r>
    <r>
      <rPr>
        <sz val="11"/>
        <color theme="1"/>
        <rFont val="Calibri"/>
        <family val="2"/>
        <scheme val="minor"/>
      </rPr>
      <t/>
    </r>
  </si>
  <si>
    <r>
      <t>E</t>
    </r>
    <r>
      <rPr>
        <vertAlign val="subscript"/>
        <sz val="14"/>
        <color theme="1"/>
        <rFont val="Calibri"/>
        <family val="2"/>
        <scheme val="minor"/>
      </rPr>
      <t>i3</t>
    </r>
    <r>
      <rPr>
        <sz val="11"/>
        <color theme="1"/>
        <rFont val="Calibri"/>
        <family val="2"/>
        <scheme val="minor"/>
      </rPr>
      <t/>
    </r>
  </si>
  <si>
    <t>Middle</t>
  </si>
  <si>
    <t>Feature 2(Income)</t>
  </si>
  <si>
    <t>Feature 1 (Imporatance to Price)</t>
  </si>
  <si>
    <t>Great</t>
  </si>
  <si>
    <t>Moderate</t>
  </si>
  <si>
    <r>
      <t>Here, E</t>
    </r>
    <r>
      <rPr>
        <vertAlign val="subscript"/>
        <sz val="14"/>
        <color theme="1"/>
        <rFont val="Calibri"/>
        <family val="2"/>
        <scheme val="minor"/>
      </rPr>
      <t xml:space="preserve">ij </t>
    </r>
    <r>
      <rPr>
        <sz val="14"/>
        <color theme="1"/>
        <rFont val="Calibri"/>
        <family val="2"/>
        <scheme val="minor"/>
      </rPr>
      <t>=  (Sum of entries of ith row)</t>
    </r>
    <r>
      <rPr>
        <sz val="14"/>
        <color theme="1"/>
        <rFont val="Calibri"/>
        <family val="2"/>
      </rPr>
      <t>×(Sum of entries of jth column)/(Total Sample Size)</t>
    </r>
  </si>
  <si>
    <r>
      <t xml:space="preserve">        (Oij-Eij)</t>
    </r>
    <r>
      <rPr>
        <vertAlign val="superscript"/>
        <sz val="14"/>
        <color theme="1"/>
        <rFont val="Calibri"/>
        <family val="2"/>
        <scheme val="minor"/>
      </rPr>
      <t>2</t>
    </r>
    <r>
      <rPr>
        <sz val="14"/>
        <color theme="1"/>
        <rFont val="Calibri"/>
        <family val="2"/>
        <scheme val="minor"/>
      </rPr>
      <t>/Eij</t>
    </r>
  </si>
  <si>
    <t>=</t>
  </si>
  <si>
    <t>Number of Rows</t>
  </si>
  <si>
    <t>Number of Columns</t>
  </si>
  <si>
    <r>
      <t xml:space="preserve">Degrees of Freedom = (rows -1) </t>
    </r>
    <r>
      <rPr>
        <b/>
        <sz val="11"/>
        <color theme="1"/>
        <rFont val="Calibri"/>
        <family val="2"/>
      </rPr>
      <t>× (column -1)</t>
    </r>
  </si>
  <si>
    <t>Calculated P-vlaue</t>
  </si>
  <si>
    <t>Using CHITEST(Actual_range, Expected_Range) function</t>
  </si>
  <si>
    <t>Class Boundaries (Bins)</t>
  </si>
  <si>
    <t>Based on Raw Data</t>
  </si>
  <si>
    <t>Based on Grouped Data</t>
  </si>
  <si>
    <t>Population</t>
  </si>
  <si>
    <t xml:space="preserve"> Mean (µ) =</t>
  </si>
  <si>
    <t>Sl.No.</t>
  </si>
  <si>
    <t>Relative Frequency/ Probability</t>
  </si>
  <si>
    <t>Values of</t>
  </si>
  <si>
    <r>
      <t>No of Samples yielding this value of mean</t>
    </r>
    <r>
      <rPr>
        <b/>
        <sz val="10"/>
        <color theme="1"/>
        <rFont val="Calibri"/>
        <family val="2"/>
        <scheme val="minor"/>
      </rPr>
      <t xml:space="preserve"> (Frequency)</t>
    </r>
  </si>
  <si>
    <t>Sampling distribution of</t>
  </si>
  <si>
    <r>
      <t>Income</t>
    </r>
    <r>
      <rPr>
        <b/>
        <sz val="10"/>
        <color theme="1"/>
        <rFont val="Calibri"/>
        <family val="2"/>
        <scheme val="minor"/>
      </rPr>
      <t xml:space="preserve"> (in Lakhs)</t>
    </r>
  </si>
  <si>
    <t>Grand MEAN</t>
  </si>
  <si>
    <r>
      <t xml:space="preserve"> S.D. (</t>
    </r>
    <r>
      <rPr>
        <b/>
        <sz val="11"/>
        <color theme="1"/>
        <rFont val="Calibri"/>
        <family val="2"/>
      </rPr>
      <t>σ</t>
    </r>
    <r>
      <rPr>
        <b/>
        <sz val="11"/>
        <color theme="1"/>
        <rFont val="Calibri"/>
        <family val="2"/>
        <scheme val="minor"/>
      </rPr>
      <t>) =</t>
    </r>
  </si>
  <si>
    <t>Directly using Function</t>
  </si>
  <si>
    <t>Standard Error of Sample Mean</t>
  </si>
  <si>
    <r>
      <t>For σ</t>
    </r>
    <r>
      <rPr>
        <b/>
        <vertAlign val="superscript"/>
        <sz val="11"/>
        <color theme="1"/>
        <rFont val="Calibri"/>
        <family val="2"/>
      </rPr>
      <t>2</t>
    </r>
    <r>
      <rPr>
        <b/>
        <vertAlign val="subscript"/>
        <sz val="11"/>
        <color theme="1"/>
        <rFont val="Calibri"/>
        <family val="2"/>
      </rPr>
      <t>x</t>
    </r>
  </si>
  <si>
    <t>FPC =</t>
  </si>
  <si>
    <t>P(Z&lt;k)</t>
  </si>
  <si>
    <t>A</t>
  </si>
  <si>
    <t>B</t>
  </si>
  <si>
    <t>P(A &lt; Z &lt; B)= P(Z&lt;B)-P(Z&lt;A)</t>
  </si>
  <si>
    <t>P(A &lt; Z &lt; B)</t>
  </si>
  <si>
    <t>Total Shaded Area(Probability in two tails)=</t>
  </si>
  <si>
    <t>Refer to Figure 5 of Unit 4</t>
  </si>
  <si>
    <r>
      <t xml:space="preserve">p-Value for the test (Compare with </t>
    </r>
    <r>
      <rPr>
        <sz val="14"/>
        <color theme="1"/>
        <rFont val="Calibri"/>
        <family val="2"/>
      </rPr>
      <t>α and Reject Ho if p&lt;α</t>
    </r>
    <r>
      <rPr>
        <sz val="14"/>
        <color theme="1"/>
        <rFont val="Calibri"/>
        <family val="2"/>
        <scheme val="minor"/>
      </rPr>
      <t>)</t>
    </r>
  </si>
  <si>
    <r>
      <t>The tabulated value of (in the Left-Tail) t</t>
    </r>
    <r>
      <rPr>
        <vertAlign val="subscript"/>
        <sz val="14"/>
        <color theme="1"/>
        <rFont val="Calibri"/>
        <family val="2"/>
        <scheme val="minor"/>
      </rPr>
      <t>tab</t>
    </r>
  </si>
  <si>
    <r>
      <t>Reject the null hypothesis (claim) if t</t>
    </r>
    <r>
      <rPr>
        <vertAlign val="subscript"/>
        <sz val="14"/>
        <color theme="1"/>
        <rFont val="Calibri"/>
        <family val="2"/>
        <scheme val="minor"/>
      </rPr>
      <t>cal</t>
    </r>
    <r>
      <rPr>
        <sz val="14"/>
        <color theme="1"/>
        <rFont val="Calibri"/>
        <family val="2"/>
        <scheme val="minor"/>
      </rPr>
      <t xml:space="preserve"> &lt;  t</t>
    </r>
    <r>
      <rPr>
        <vertAlign val="subscript"/>
        <sz val="14"/>
        <color theme="1"/>
        <rFont val="Calibri"/>
        <family val="2"/>
        <scheme val="minor"/>
      </rPr>
      <t>tab</t>
    </r>
  </si>
  <si>
    <t>Let the value for α = 5%, 1%, 0.1%</t>
  </si>
  <si>
    <t>Probability (p)</t>
  </si>
  <si>
    <t>Chi Sq =</t>
  </si>
  <si>
    <t>Left</t>
  </si>
  <si>
    <t>Right</t>
  </si>
  <si>
    <t>Probability =</t>
  </si>
  <si>
    <t>d.f.  =</t>
  </si>
  <si>
    <t>Tails</t>
  </si>
  <si>
    <r>
      <t>"IF(</t>
    </r>
    <r>
      <rPr>
        <b/>
        <u/>
        <sz val="14"/>
        <color theme="1"/>
        <rFont val="Calibri"/>
        <family val="2"/>
        <scheme val="minor"/>
      </rPr>
      <t>Chi-square at alpha&gt;=  calculated U</t>
    </r>
    <r>
      <rPr>
        <b/>
        <sz val="14"/>
        <color theme="1"/>
        <rFont val="Calibri"/>
        <family val="2"/>
        <scheme val="minor"/>
      </rPr>
      <t xml:space="preserve">) then </t>
    </r>
    <r>
      <rPr>
        <b/>
        <u/>
        <sz val="14"/>
        <color theme="1"/>
        <rFont val="Calibri"/>
        <family val="2"/>
        <scheme val="minor"/>
      </rPr>
      <t>Reject Ho</t>
    </r>
    <r>
      <rPr>
        <b/>
        <sz val="14"/>
        <color theme="1"/>
        <rFont val="Calibri"/>
        <family val="2"/>
        <scheme val="minor"/>
      </rPr>
      <t xml:space="preserve"> else </t>
    </r>
    <r>
      <rPr>
        <b/>
        <u/>
        <sz val="14"/>
        <color theme="1"/>
        <rFont val="Calibri"/>
        <family val="2"/>
        <scheme val="minor"/>
      </rPr>
      <t>Do not Reject Ho</t>
    </r>
    <r>
      <rPr>
        <b/>
        <sz val="14"/>
        <color theme="1"/>
        <rFont val="Calibri"/>
        <family val="2"/>
        <scheme val="minor"/>
      </rPr>
      <t>"</t>
    </r>
  </si>
  <si>
    <t>n =</t>
  </si>
  <si>
    <t>a =</t>
  </si>
  <si>
    <t>b =</t>
  </si>
  <si>
    <t>Computed here</t>
  </si>
  <si>
    <t>Given in the unit</t>
  </si>
  <si>
    <t>Estimatd Values of</t>
  </si>
  <si>
    <t xml:space="preserve"> σ</t>
  </si>
  <si>
    <t xml:space="preserve"> µ</t>
  </si>
  <si>
    <t>Used in Computations above</t>
  </si>
  <si>
    <r>
      <t>Z-value</t>
    </r>
    <r>
      <rPr>
        <b/>
        <sz val="12"/>
        <color theme="1"/>
        <rFont val="Calibri"/>
        <family val="2"/>
        <scheme val="minor"/>
      </rPr>
      <t xml:space="preserve"> for upper limit of the Interval</t>
    </r>
  </si>
  <si>
    <r>
      <t>Expected Frquency (</t>
    </r>
    <r>
      <rPr>
        <b/>
        <sz val="11"/>
        <color theme="1"/>
        <rFont val="Calibri"/>
        <family val="2"/>
        <scheme val="minor"/>
      </rPr>
      <t>rounded off</t>
    </r>
    <r>
      <rPr>
        <b/>
        <sz val="14"/>
        <color theme="1"/>
        <rFont val="Calibri"/>
        <family val="2"/>
        <scheme val="minor"/>
      </rPr>
      <t>)</t>
    </r>
  </si>
  <si>
    <t>Estimation of µ</t>
  </si>
  <si>
    <t>Estimation of σ</t>
  </si>
  <si>
    <t>How d.f. is calculated</t>
  </si>
  <si>
    <t>Pooled classes</t>
  </si>
  <si>
    <t>Total =</t>
  </si>
  <si>
    <t>Method 1</t>
  </si>
  <si>
    <t>Method 2</t>
  </si>
</sst>
</file>

<file path=xl/styles.xml><?xml version="1.0" encoding="utf-8"?>
<styleSheet xmlns="http://schemas.openxmlformats.org/spreadsheetml/2006/main">
  <numFmts count="5">
    <numFmt numFmtId="164" formatCode="0.0"/>
    <numFmt numFmtId="165" formatCode="0.000"/>
    <numFmt numFmtId="166" formatCode="0.0000"/>
    <numFmt numFmtId="167" formatCode="0.00000"/>
    <numFmt numFmtId="168" formatCode="0.0%"/>
  </numFmts>
  <fonts count="40">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4"/>
      <color theme="1"/>
      <name val="Calibri"/>
      <family val="2"/>
      <scheme val="minor"/>
    </font>
    <font>
      <sz val="12"/>
      <color theme="1"/>
      <name val="Calibri"/>
      <family val="2"/>
      <scheme val="minor"/>
    </font>
    <font>
      <b/>
      <sz val="14"/>
      <color theme="1"/>
      <name val="Calibri"/>
      <family val="2"/>
    </font>
    <font>
      <b/>
      <sz val="12"/>
      <color theme="1"/>
      <name val="Calibri"/>
      <family val="2"/>
      <scheme val="minor"/>
    </font>
    <font>
      <b/>
      <vertAlign val="subscript"/>
      <sz val="14"/>
      <color theme="1"/>
      <name val="Calibri"/>
      <family val="2"/>
    </font>
    <font>
      <sz val="14"/>
      <color theme="1"/>
      <name val="Calibri"/>
      <family val="2"/>
      <scheme val="minor"/>
    </font>
    <font>
      <b/>
      <sz val="16"/>
      <color theme="1"/>
      <name val="Calibri"/>
      <family val="2"/>
      <scheme val="minor"/>
    </font>
    <font>
      <sz val="14"/>
      <color theme="1"/>
      <name val="Calibri"/>
      <family val="2"/>
    </font>
    <font>
      <b/>
      <sz val="16"/>
      <color theme="1"/>
      <name val="Calibri"/>
      <family val="2"/>
    </font>
    <font>
      <b/>
      <sz val="13"/>
      <color theme="1"/>
      <name val="Calibri"/>
      <family val="2"/>
      <scheme val="minor"/>
    </font>
    <font>
      <sz val="13"/>
      <color theme="1"/>
      <name val="Calibri"/>
      <family val="2"/>
      <scheme val="minor"/>
    </font>
    <font>
      <b/>
      <vertAlign val="superscript"/>
      <sz val="13"/>
      <color theme="1"/>
      <name val="Calibri"/>
      <family val="2"/>
      <scheme val="minor"/>
    </font>
    <font>
      <b/>
      <sz val="13"/>
      <color theme="1"/>
      <name val="Calibri"/>
      <family val="2"/>
    </font>
    <font>
      <b/>
      <vertAlign val="superscript"/>
      <sz val="13"/>
      <color theme="1"/>
      <name val="Calibri"/>
      <family val="2"/>
    </font>
    <font>
      <b/>
      <i/>
      <sz val="14"/>
      <color theme="1"/>
      <name val="Calibri"/>
      <family val="2"/>
      <scheme val="minor"/>
    </font>
    <font>
      <i/>
      <sz val="13"/>
      <color theme="1"/>
      <name val="Calibri"/>
      <family val="2"/>
      <scheme val="minor"/>
    </font>
    <font>
      <b/>
      <i/>
      <vertAlign val="subscript"/>
      <sz val="14"/>
      <color theme="1"/>
      <name val="Calibri"/>
      <family val="2"/>
      <scheme val="minor"/>
    </font>
    <font>
      <vertAlign val="subscript"/>
      <sz val="14"/>
      <color theme="1"/>
      <name val="Calibri"/>
      <family val="2"/>
      <scheme val="minor"/>
    </font>
    <font>
      <vertAlign val="superscript"/>
      <sz val="14"/>
      <color theme="1"/>
      <name val="Calibri"/>
      <family val="2"/>
    </font>
    <font>
      <vertAlign val="subscript"/>
      <sz val="14"/>
      <color theme="1"/>
      <name val="Calibri"/>
      <family val="2"/>
    </font>
    <font>
      <b/>
      <vertAlign val="subscript"/>
      <sz val="14"/>
      <color theme="1"/>
      <name val="Calibri"/>
      <family val="2"/>
      <scheme val="minor"/>
    </font>
    <font>
      <i/>
      <sz val="14"/>
      <color theme="1"/>
      <name val="Calibri"/>
      <family val="2"/>
      <scheme val="minor"/>
    </font>
    <font>
      <b/>
      <vertAlign val="superscript"/>
      <sz val="14"/>
      <color theme="1"/>
      <name val="Calibri"/>
      <family val="2"/>
      <scheme val="minor"/>
    </font>
    <font>
      <b/>
      <vertAlign val="subscript"/>
      <sz val="13"/>
      <color theme="1"/>
      <name val="Calibri"/>
      <family val="2"/>
      <scheme val="minor"/>
    </font>
    <font>
      <vertAlign val="superscript"/>
      <sz val="14"/>
      <color theme="1"/>
      <name val="Calibri"/>
      <family val="2"/>
      <scheme val="minor"/>
    </font>
    <font>
      <b/>
      <sz val="11"/>
      <color theme="1"/>
      <name val="Calibri"/>
      <family val="2"/>
    </font>
    <font>
      <b/>
      <sz val="11"/>
      <color rgb="FFFF0000"/>
      <name val="Calibri"/>
      <family val="2"/>
      <scheme val="minor"/>
    </font>
    <font>
      <sz val="8"/>
      <color indexed="81"/>
      <name val="Tahoma"/>
      <family val="2"/>
    </font>
    <font>
      <b/>
      <sz val="8"/>
      <color indexed="81"/>
      <name val="Tahoma"/>
      <family val="2"/>
    </font>
    <font>
      <b/>
      <i/>
      <sz val="13"/>
      <color theme="1"/>
      <name val="Calibri"/>
      <family val="2"/>
      <scheme val="minor"/>
    </font>
    <font>
      <b/>
      <sz val="10"/>
      <color theme="1"/>
      <name val="Calibri"/>
      <family val="2"/>
      <scheme val="minor"/>
    </font>
    <font>
      <b/>
      <vertAlign val="superscript"/>
      <sz val="11"/>
      <color theme="1"/>
      <name val="Calibri"/>
      <family val="2"/>
    </font>
    <font>
      <b/>
      <vertAlign val="subscript"/>
      <sz val="11"/>
      <color theme="1"/>
      <name val="Calibri"/>
      <family val="2"/>
    </font>
    <font>
      <b/>
      <sz val="9"/>
      <color indexed="81"/>
      <name val="Tahoma"/>
      <family val="2"/>
    </font>
    <font>
      <sz val="11"/>
      <color theme="1"/>
      <name val="Calibri"/>
      <family val="2"/>
      <scheme val="minor"/>
    </font>
    <font>
      <b/>
      <u/>
      <sz val="14"/>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2">
    <xf numFmtId="0" fontId="0" fillId="0" borderId="0"/>
    <xf numFmtId="9" fontId="38" fillId="0" borderId="0" applyFont="0" applyFill="0" applyBorder="0" applyAlignment="0" applyProtection="0"/>
  </cellStyleXfs>
  <cellXfs count="269">
    <xf numFmtId="0" fontId="0" fillId="0" borderId="0" xfId="0"/>
    <xf numFmtId="0" fontId="4" fillId="0" borderId="0" xfId="0" applyFont="1"/>
    <xf numFmtId="0" fontId="5" fillId="0" borderId="0" xfId="0" applyFont="1"/>
    <xf numFmtId="0" fontId="7" fillId="0" borderId="0" xfId="0" applyFont="1"/>
    <xf numFmtId="0" fontId="0" fillId="0" borderId="0" xfId="0" applyAlignment="1">
      <alignment wrapText="1"/>
    </xf>
    <xf numFmtId="0" fontId="7" fillId="0" borderId="0" xfId="0" applyFont="1" applyAlignment="1">
      <alignment horizontal="center" vertical="center" wrapText="1"/>
    </xf>
    <xf numFmtId="0" fontId="0" fillId="0" borderId="0" xfId="0" applyAlignment="1">
      <alignment horizontal="center" vertical="center" wrapText="1"/>
    </xf>
    <xf numFmtId="0" fontId="3" fillId="0" borderId="0" xfId="0" applyFont="1"/>
    <xf numFmtId="0" fontId="9" fillId="0" borderId="0" xfId="0" applyFont="1"/>
    <xf numFmtId="0" fontId="10" fillId="0" borderId="0" xfId="0" applyFont="1"/>
    <xf numFmtId="0" fontId="9" fillId="0" borderId="0" xfId="0" applyFont="1" applyAlignment="1">
      <alignment horizontal="center"/>
    </xf>
    <xf numFmtId="0" fontId="14" fillId="0" borderId="0" xfId="0" applyFont="1" applyAlignment="1">
      <alignment horizontal="center" vertical="center" wrapText="1"/>
    </xf>
    <xf numFmtId="0" fontId="13" fillId="0" borderId="0" xfId="0" applyFont="1" applyAlignment="1">
      <alignment horizontal="center" vertical="center" wrapText="1"/>
    </xf>
    <xf numFmtId="0" fontId="13" fillId="0" borderId="0" xfId="0" applyFont="1" applyAlignment="1">
      <alignment wrapText="1"/>
    </xf>
    <xf numFmtId="0" fontId="14" fillId="0" borderId="0" xfId="0" applyFont="1"/>
    <xf numFmtId="164" fontId="14" fillId="0" borderId="1" xfId="0" applyNumberFormat="1" applyFont="1" applyBorder="1"/>
    <xf numFmtId="0" fontId="14" fillId="0" borderId="0" xfId="0" applyFont="1" applyAlignment="1">
      <alignment horizontal="left" indent="4"/>
    </xf>
    <xf numFmtId="1" fontId="14" fillId="0" borderId="0" xfId="0" applyNumberFormat="1" applyFont="1"/>
    <xf numFmtId="164" fontId="13" fillId="0" borderId="0" xfId="0" applyNumberFormat="1" applyFont="1"/>
    <xf numFmtId="0" fontId="13" fillId="0" borderId="0" xfId="0" applyFont="1"/>
    <xf numFmtId="2" fontId="13" fillId="0" borderId="0" xfId="0" applyNumberFormat="1" applyFont="1"/>
    <xf numFmtId="164" fontId="14" fillId="0" borderId="2" xfId="0" applyNumberFormat="1" applyFont="1" applyBorder="1"/>
    <xf numFmtId="164" fontId="14" fillId="0" borderId="3" xfId="0" applyNumberFormat="1" applyFont="1" applyBorder="1"/>
    <xf numFmtId="0" fontId="14" fillId="0" borderId="0" xfId="0" applyFont="1" applyBorder="1"/>
    <xf numFmtId="164" fontId="14" fillId="0" borderId="4" xfId="0" applyNumberFormat="1" applyFont="1" applyBorder="1"/>
    <xf numFmtId="0" fontId="13" fillId="0" borderId="0" xfId="0" applyFont="1" applyAlignment="1">
      <alignment horizontal="left" indent="4"/>
    </xf>
    <xf numFmtId="1" fontId="13" fillId="0" borderId="0" xfId="0" applyNumberFormat="1" applyFont="1"/>
    <xf numFmtId="164" fontId="14" fillId="0" borderId="0" xfId="0" applyNumberFormat="1" applyFont="1"/>
    <xf numFmtId="0" fontId="0" fillId="0" borderId="0" xfId="0" applyAlignment="1">
      <alignment horizontal="left" indent="4"/>
    </xf>
    <xf numFmtId="0" fontId="0" fillId="0" borderId="0" xfId="0" applyNumberFormat="1" applyFill="1" applyBorder="1" applyAlignment="1"/>
    <xf numFmtId="0" fontId="0" fillId="0" borderId="0" xfId="0" applyFill="1" applyBorder="1" applyAlignment="1"/>
    <xf numFmtId="0" fontId="0" fillId="0" borderId="6" xfId="0" applyFill="1" applyBorder="1" applyAlignment="1"/>
    <xf numFmtId="164" fontId="14" fillId="0" borderId="1" xfId="0" applyNumberFormat="1" applyFont="1" applyFill="1" applyBorder="1"/>
    <xf numFmtId="2" fontId="9" fillId="0" borderId="0" xfId="0" applyNumberFormat="1" applyFont="1"/>
    <xf numFmtId="1" fontId="9" fillId="0" borderId="0" xfId="0" applyNumberFormat="1" applyFont="1"/>
    <xf numFmtId="0" fontId="14" fillId="0" borderId="0" xfId="0" applyFont="1" applyAlignment="1">
      <alignment horizontal="left" indent="1"/>
    </xf>
    <xf numFmtId="0" fontId="13" fillId="0" borderId="0" xfId="0" applyFont="1" applyAlignment="1">
      <alignment horizontal="right"/>
    </xf>
    <xf numFmtId="2" fontId="14" fillId="0" borderId="1" xfId="0" applyNumberFormat="1" applyFont="1" applyBorder="1"/>
    <xf numFmtId="0" fontId="19" fillId="0" borderId="5" xfId="0" applyFont="1" applyFill="1" applyBorder="1" applyAlignment="1">
      <alignment horizontal="center"/>
    </xf>
    <xf numFmtId="0" fontId="14" fillId="0" borderId="0" xfId="0" applyNumberFormat="1" applyFont="1" applyFill="1" applyBorder="1" applyAlignment="1"/>
    <xf numFmtId="0" fontId="14" fillId="0" borderId="0" xfId="0" applyFont="1" applyFill="1" applyBorder="1" applyAlignment="1"/>
    <xf numFmtId="0" fontId="14" fillId="0" borderId="6" xfId="0" applyFont="1" applyFill="1" applyBorder="1" applyAlignment="1"/>
    <xf numFmtId="0" fontId="14" fillId="0" borderId="6" xfId="0" applyFont="1" applyFill="1" applyBorder="1" applyAlignment="1">
      <alignment horizontal="right"/>
    </xf>
    <xf numFmtId="2" fontId="4" fillId="0" borderId="0" xfId="0" applyNumberFormat="1" applyFont="1"/>
    <xf numFmtId="165" fontId="9" fillId="0" borderId="0" xfId="0" applyNumberFormat="1" applyFont="1"/>
    <xf numFmtId="165" fontId="4" fillId="0" borderId="0" xfId="0" applyNumberFormat="1" applyFont="1"/>
    <xf numFmtId="0" fontId="4" fillId="0" borderId="7" xfId="0" applyFont="1" applyBorder="1"/>
    <xf numFmtId="0" fontId="4" fillId="0" borderId="8" xfId="0" applyFont="1" applyBorder="1"/>
    <xf numFmtId="0" fontId="3" fillId="0" borderId="8" xfId="0" applyFont="1" applyBorder="1"/>
    <xf numFmtId="2" fontId="4" fillId="0" borderId="9" xfId="0" applyNumberFormat="1" applyFont="1" applyBorder="1"/>
    <xf numFmtId="0" fontId="9" fillId="0" borderId="0" xfId="0" applyFont="1" applyBorder="1" applyAlignment="1">
      <alignment horizontal="justify" vertical="top" wrapText="1"/>
    </xf>
    <xf numFmtId="164" fontId="9" fillId="0" borderId="0" xfId="0" applyNumberFormat="1" applyFont="1" applyBorder="1" applyAlignment="1">
      <alignment horizontal="center" vertical="top" wrapText="1"/>
    </xf>
    <xf numFmtId="0" fontId="25" fillId="0" borderId="5" xfId="0" applyFont="1" applyFill="1" applyBorder="1" applyAlignment="1">
      <alignment horizontal="center"/>
    </xf>
    <xf numFmtId="0" fontId="9" fillId="0" borderId="0" xfId="0" applyFont="1" applyFill="1" applyBorder="1" applyAlignment="1"/>
    <xf numFmtId="165" fontId="9" fillId="0" borderId="0" xfId="0" applyNumberFormat="1" applyFont="1" applyFill="1" applyBorder="1" applyAlignment="1"/>
    <xf numFmtId="1" fontId="9" fillId="0" borderId="0" xfId="0" applyNumberFormat="1" applyFont="1" applyFill="1" applyBorder="1" applyAlignment="1"/>
    <xf numFmtId="0" fontId="4" fillId="0" borderId="0" xfId="0" applyFont="1" applyFill="1" applyBorder="1" applyAlignment="1"/>
    <xf numFmtId="165" fontId="4" fillId="0" borderId="0" xfId="0" applyNumberFormat="1" applyFont="1" applyFill="1" applyBorder="1" applyAlignment="1"/>
    <xf numFmtId="0" fontId="9" fillId="0" borderId="6" xfId="0" applyFont="1" applyFill="1" applyBorder="1" applyAlignment="1"/>
    <xf numFmtId="165" fontId="9" fillId="0" borderId="6" xfId="0" applyNumberFormat="1" applyFont="1" applyFill="1" applyBorder="1" applyAlignment="1"/>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9" fillId="0" borderId="4" xfId="0" applyFont="1" applyBorder="1" applyAlignment="1">
      <alignment horizontal="center"/>
    </xf>
    <xf numFmtId="0" fontId="9" fillId="0" borderId="4" xfId="0" applyFont="1" applyBorder="1"/>
    <xf numFmtId="2" fontId="9" fillId="0" borderId="4" xfId="0" applyNumberFormat="1" applyFont="1" applyBorder="1"/>
    <xf numFmtId="4" fontId="9" fillId="0" borderId="4" xfId="0" applyNumberFormat="1" applyFont="1" applyBorder="1"/>
    <xf numFmtId="0" fontId="9" fillId="0" borderId="1" xfId="0" applyFont="1" applyBorder="1" applyAlignment="1">
      <alignment horizontal="center"/>
    </xf>
    <xf numFmtId="0" fontId="9" fillId="0" borderId="1" xfId="0" applyFont="1" applyBorder="1"/>
    <xf numFmtId="0" fontId="9" fillId="0" borderId="2" xfId="0" applyFont="1" applyBorder="1" applyAlignment="1">
      <alignment horizontal="center"/>
    </xf>
    <xf numFmtId="0" fontId="9" fillId="0" borderId="2" xfId="0" applyFont="1" applyBorder="1"/>
    <xf numFmtId="0" fontId="4" fillId="0" borderId="13" xfId="0" applyFont="1" applyBorder="1"/>
    <xf numFmtId="0" fontId="4" fillId="0" borderId="14" xfId="0" applyFont="1" applyBorder="1"/>
    <xf numFmtId="2" fontId="4" fillId="0" borderId="14" xfId="0" applyNumberFormat="1" applyFont="1" applyBorder="1"/>
    <xf numFmtId="4" fontId="4" fillId="0" borderId="14" xfId="0" applyNumberFormat="1" applyFont="1" applyBorder="1"/>
    <xf numFmtId="0" fontId="4" fillId="0" borderId="0" xfId="0" applyFont="1" applyAlignment="1">
      <alignment horizontal="right"/>
    </xf>
    <xf numFmtId="1" fontId="4" fillId="0" borderId="0" xfId="0" applyNumberFormat="1" applyFont="1"/>
    <xf numFmtId="0" fontId="0" fillId="0" borderId="0" xfId="0" applyAlignment="1">
      <alignment horizontal="right"/>
    </xf>
    <xf numFmtId="0" fontId="4" fillId="0" borderId="1" xfId="0" applyFont="1" applyBorder="1" applyAlignment="1">
      <alignment horizontal="center" vertical="center" wrapText="1"/>
    </xf>
    <xf numFmtId="0" fontId="9" fillId="0" borderId="19" xfId="0" applyFont="1" applyBorder="1"/>
    <xf numFmtId="0" fontId="9" fillId="0" borderId="20" xfId="0" applyFont="1" applyBorder="1"/>
    <xf numFmtId="0" fontId="9" fillId="0" borderId="0" xfId="0" applyFont="1" applyFill="1" applyBorder="1"/>
    <xf numFmtId="2" fontId="9" fillId="0" borderId="0" xfId="0" applyNumberFormat="1" applyFont="1" applyAlignment="1">
      <alignment horizontal="right"/>
    </xf>
    <xf numFmtId="2" fontId="11" fillId="0" borderId="0" xfId="0" applyNumberFormat="1" applyFont="1" applyAlignment="1">
      <alignment horizontal="right"/>
    </xf>
    <xf numFmtId="0" fontId="13" fillId="0" borderId="1" xfId="0" applyFont="1" applyBorder="1" applyAlignment="1">
      <alignment horizontal="center" vertical="center" wrapText="1"/>
    </xf>
    <xf numFmtId="0" fontId="9" fillId="0" borderId="23" xfId="0" applyFont="1" applyBorder="1" applyAlignment="1">
      <alignment horizontal="center"/>
    </xf>
    <xf numFmtId="0" fontId="9" fillId="0" borderId="0" xfId="0" applyFont="1" applyBorder="1"/>
    <xf numFmtId="0" fontId="9" fillId="0" borderId="24" xfId="0" applyFont="1" applyBorder="1"/>
    <xf numFmtId="0" fontId="9" fillId="0" borderId="25" xfId="0" applyFont="1" applyBorder="1"/>
    <xf numFmtId="0" fontId="9" fillId="0" borderId="2" xfId="0" applyFont="1" applyBorder="1" applyAlignment="1">
      <alignment horizontal="center" wrapText="1"/>
    </xf>
    <xf numFmtId="0" fontId="9" fillId="0" borderId="18" xfId="0" applyFont="1" applyBorder="1" applyAlignment="1">
      <alignment horizontal="left" indent="2"/>
    </xf>
    <xf numFmtId="0" fontId="9" fillId="0" borderId="4" xfId="0" applyFont="1" applyBorder="1" applyAlignment="1">
      <alignment horizontal="left" indent="2"/>
    </xf>
    <xf numFmtId="0" fontId="9" fillId="0" borderId="21" xfId="0" applyFont="1" applyBorder="1" applyAlignment="1">
      <alignment horizontal="center"/>
    </xf>
    <xf numFmtId="0" fontId="9" fillId="0" borderId="17" xfId="0" applyFont="1" applyBorder="1"/>
    <xf numFmtId="0" fontId="9" fillId="0" borderId="16" xfId="0" applyFont="1" applyBorder="1"/>
    <xf numFmtId="0" fontId="9" fillId="0" borderId="18" xfId="0" applyFont="1" applyBorder="1"/>
    <xf numFmtId="0" fontId="9" fillId="0" borderId="21" xfId="0" applyFont="1" applyBorder="1"/>
    <xf numFmtId="0" fontId="9" fillId="0" borderId="22" xfId="0" applyFont="1" applyBorder="1"/>
    <xf numFmtId="0" fontId="9" fillId="0" borderId="23" xfId="0" applyFont="1" applyBorder="1"/>
    <xf numFmtId="0" fontId="9" fillId="0" borderId="26" xfId="0" applyFont="1" applyBorder="1"/>
    <xf numFmtId="0" fontId="9" fillId="0" borderId="16" xfId="0" applyFont="1" applyBorder="1" applyAlignment="1">
      <alignment horizontal="center"/>
    </xf>
    <xf numFmtId="0" fontId="9" fillId="0" borderId="25" xfId="0" applyFont="1" applyBorder="1" applyAlignment="1">
      <alignment horizontal="center"/>
    </xf>
    <xf numFmtId="0" fontId="9" fillId="0" borderId="19" xfId="0" applyFont="1" applyBorder="1" applyAlignment="1">
      <alignment horizontal="center"/>
    </xf>
    <xf numFmtId="0" fontId="9" fillId="0" borderId="3" xfId="0" applyFont="1" applyBorder="1" applyAlignment="1">
      <alignment horizontal="right"/>
    </xf>
    <xf numFmtId="0" fontId="9" fillId="0" borderId="26" xfId="0" applyFont="1" applyBorder="1" applyAlignment="1">
      <alignment horizontal="center"/>
    </xf>
    <xf numFmtId="9" fontId="3" fillId="0" borderId="0" xfId="0" applyNumberFormat="1" applyFont="1"/>
    <xf numFmtId="0" fontId="9" fillId="0" borderId="3" xfId="0" applyFont="1" applyBorder="1" applyAlignment="1">
      <alignment horizontal="center"/>
    </xf>
    <xf numFmtId="0" fontId="4" fillId="0" borderId="0" xfId="0" applyFont="1" applyFill="1" applyBorder="1" applyAlignment="1">
      <alignment horizontal="left"/>
    </xf>
    <xf numFmtId="0" fontId="9" fillId="0" borderId="2" xfId="0" applyFont="1" applyBorder="1" applyAlignment="1">
      <alignment horizontal="left" indent="2"/>
    </xf>
    <xf numFmtId="164" fontId="0" fillId="0" borderId="0" xfId="0" applyNumberFormat="1"/>
    <xf numFmtId="2" fontId="0" fillId="0" borderId="0" xfId="0" applyNumberFormat="1"/>
    <xf numFmtId="0" fontId="30" fillId="0" borderId="0" xfId="0" applyFont="1"/>
    <xf numFmtId="0" fontId="4" fillId="0" borderId="0" xfId="0" applyFont="1" applyAlignment="1">
      <alignment horizontal="center"/>
    </xf>
    <xf numFmtId="0" fontId="0" fillId="0" borderId="0" xfId="0" applyNumberFormat="1"/>
    <xf numFmtId="0" fontId="33" fillId="0" borderId="5" xfId="0" applyFont="1" applyFill="1" applyBorder="1" applyAlignment="1">
      <alignment horizontal="center"/>
    </xf>
    <xf numFmtId="0" fontId="0" fillId="0" borderId="3" xfId="0" applyFont="1" applyBorder="1"/>
    <xf numFmtId="0" fontId="0" fillId="0" borderId="20" xfId="0" applyFont="1" applyFill="1" applyBorder="1"/>
    <xf numFmtId="0" fontId="13" fillId="0" borderId="0" xfId="0" applyFont="1" applyAlignment="1">
      <alignment horizontal="left" vertical="center"/>
    </xf>
    <xf numFmtId="0" fontId="0" fillId="0" borderId="3" xfId="0" applyFont="1" applyBorder="1" applyAlignment="1">
      <alignment horizontal="right" vertical="center"/>
    </xf>
    <xf numFmtId="0" fontId="0" fillId="0" borderId="0" xfId="0" applyAlignment="1">
      <alignment horizontal="center" vertical="center"/>
    </xf>
    <xf numFmtId="0" fontId="3" fillId="0" borderId="0" xfId="0" applyFont="1" applyAlignment="1">
      <alignment horizontal="center" vertical="center" wrapText="1"/>
    </xf>
    <xf numFmtId="0" fontId="34" fillId="0" borderId="0" xfId="0" applyFont="1" applyAlignment="1">
      <alignment horizontal="center" vertical="top" wrapText="1"/>
    </xf>
    <xf numFmtId="0" fontId="0" fillId="0" borderId="0" xfId="0" applyAlignment="1">
      <alignment horizontal="center"/>
    </xf>
    <xf numFmtId="167" fontId="0" fillId="0" borderId="0" xfId="0" applyNumberFormat="1" applyAlignment="1">
      <alignment horizontal="center"/>
    </xf>
    <xf numFmtId="0" fontId="7" fillId="0" borderId="0" xfId="0" applyFont="1" applyAlignment="1">
      <alignment horizontal="center"/>
    </xf>
    <xf numFmtId="0" fontId="5" fillId="0" borderId="0" xfId="0" applyFont="1" applyAlignment="1">
      <alignment horizontal="center"/>
    </xf>
    <xf numFmtId="0" fontId="0" fillId="0" borderId="0" xfId="0" applyFont="1"/>
    <xf numFmtId="0" fontId="3" fillId="0" borderId="17" xfId="0" applyFont="1" applyBorder="1" applyAlignment="1">
      <alignment horizontal="center" vertical="center" wrapText="1"/>
    </xf>
    <xf numFmtId="0" fontId="3" fillId="0" borderId="0" xfId="0" applyFont="1" applyBorder="1" applyAlignment="1">
      <alignment horizontal="center" vertical="center" wrapText="1"/>
    </xf>
    <xf numFmtId="0" fontId="29" fillId="0" borderId="0" xfId="0" applyFont="1" applyBorder="1" applyAlignment="1">
      <alignment horizontal="center" vertical="center"/>
    </xf>
    <xf numFmtId="0" fontId="0" fillId="0" borderId="0" xfId="0" applyFont="1" applyBorder="1"/>
    <xf numFmtId="0" fontId="3" fillId="0" borderId="24" xfId="0" applyFont="1" applyBorder="1" applyAlignment="1">
      <alignment horizontal="center" wrapText="1"/>
    </xf>
    <xf numFmtId="0" fontId="0" fillId="0" borderId="17" xfId="0" applyFont="1" applyBorder="1"/>
    <xf numFmtId="2" fontId="29" fillId="0" borderId="0" xfId="0" applyNumberFormat="1" applyFont="1" applyBorder="1" applyAlignment="1">
      <alignment horizontal="center" vertical="center"/>
    </xf>
    <xf numFmtId="166" fontId="3" fillId="0" borderId="0" xfId="0" applyNumberFormat="1" applyFont="1" applyBorder="1" applyAlignment="1">
      <alignment horizontal="right" vertical="center"/>
    </xf>
    <xf numFmtId="166" fontId="3" fillId="0" borderId="24" xfId="0" applyNumberFormat="1" applyFont="1" applyBorder="1" applyAlignment="1">
      <alignment horizontal="right" vertical="center"/>
    </xf>
    <xf numFmtId="0" fontId="3" fillId="0" borderId="0" xfId="0" applyFont="1" applyBorder="1"/>
    <xf numFmtId="0" fontId="3" fillId="0" borderId="0" xfId="0" applyFont="1" applyBorder="1" applyAlignment="1">
      <alignment horizontal="right"/>
    </xf>
    <xf numFmtId="0" fontId="3" fillId="0" borderId="16" xfId="0" applyFont="1" applyBorder="1"/>
    <xf numFmtId="0" fontId="3" fillId="0" borderId="25" xfId="0" applyFont="1" applyBorder="1"/>
    <xf numFmtId="0" fontId="0" fillId="0" borderId="25" xfId="0" applyFont="1" applyBorder="1"/>
    <xf numFmtId="0" fontId="0" fillId="0" borderId="19" xfId="0" applyFont="1" applyBorder="1"/>
    <xf numFmtId="0" fontId="3" fillId="0" borderId="17" xfId="0" applyFont="1" applyBorder="1" applyAlignment="1">
      <alignment horizontal="right" vertical="center"/>
    </xf>
    <xf numFmtId="0" fontId="3" fillId="0" borderId="16" xfId="0" applyFont="1" applyBorder="1" applyAlignment="1">
      <alignment horizontal="right" vertical="center"/>
    </xf>
    <xf numFmtId="0" fontId="7" fillId="0" borderId="24" xfId="0" applyFont="1" applyBorder="1"/>
    <xf numFmtId="166" fontId="7" fillId="0" borderId="19" xfId="0" applyNumberFormat="1" applyFont="1" applyBorder="1"/>
    <xf numFmtId="0" fontId="0" fillId="0" borderId="1" xfId="0" applyBorder="1"/>
    <xf numFmtId="0" fontId="7" fillId="0" borderId="1" xfId="0" applyFont="1" applyBorder="1" applyAlignment="1">
      <alignment horizontal="right"/>
    </xf>
    <xf numFmtId="0" fontId="7" fillId="0" borderId="1" xfId="0" applyFont="1" applyBorder="1" applyAlignment="1">
      <alignment horizontal="center" vertical="center"/>
    </xf>
    <xf numFmtId="0" fontId="34" fillId="0" borderId="1" xfId="0" applyFont="1" applyBorder="1" applyAlignment="1">
      <alignment horizontal="left" vertical="center" wrapText="1"/>
    </xf>
    <xf numFmtId="0" fontId="30" fillId="0" borderId="1" xfId="0" applyFont="1" applyBorder="1" applyAlignment="1">
      <alignment horizontal="center"/>
    </xf>
    <xf numFmtId="166" fontId="0" fillId="0" borderId="1" xfId="0" applyNumberFormat="1" applyBorder="1" applyAlignment="1">
      <alignment horizontal="center"/>
    </xf>
    <xf numFmtId="10" fontId="9" fillId="0" borderId="0" xfId="0" applyNumberFormat="1" applyFont="1" applyAlignment="1">
      <alignment horizontal="right"/>
    </xf>
    <xf numFmtId="9" fontId="9" fillId="0" borderId="0" xfId="0" applyNumberFormat="1" applyFont="1" applyAlignment="1">
      <alignment horizontal="right"/>
    </xf>
    <xf numFmtId="0" fontId="2" fillId="0" borderId="0" xfId="0" applyFont="1"/>
    <xf numFmtId="0" fontId="2" fillId="0" borderId="10" xfId="0" applyFont="1" applyBorder="1" applyAlignment="1">
      <alignment horizontal="justify" vertical="top" wrapText="1"/>
    </xf>
    <xf numFmtId="164" fontId="2" fillId="0" borderId="9" xfId="0" applyNumberFormat="1" applyFont="1" applyBorder="1" applyAlignment="1">
      <alignment horizontal="center" vertical="top" wrapText="1"/>
    </xf>
    <xf numFmtId="0" fontId="2" fillId="0" borderId="11" xfId="0" applyFont="1" applyBorder="1" applyAlignment="1">
      <alignment horizontal="justify" vertical="top" wrapText="1"/>
    </xf>
    <xf numFmtId="164" fontId="2" fillId="0" borderId="12" xfId="0" applyNumberFormat="1" applyFont="1" applyBorder="1" applyAlignment="1">
      <alignment horizontal="center" vertical="top" wrapText="1"/>
    </xf>
    <xf numFmtId="0" fontId="4" fillId="0" borderId="0" xfId="0" applyFont="1" applyBorder="1" applyAlignment="1">
      <alignment vertical="top" wrapText="1"/>
    </xf>
    <xf numFmtId="0" fontId="9" fillId="0" borderId="4" xfId="0" applyFont="1" applyBorder="1" applyAlignment="1">
      <alignment horizontal="center" vertical="center"/>
    </xf>
    <xf numFmtId="0" fontId="0" fillId="0" borderId="0" xfId="0" applyBorder="1"/>
    <xf numFmtId="0" fontId="0" fillId="0" borderId="30" xfId="0" applyBorder="1"/>
    <xf numFmtId="0" fontId="9" fillId="0" borderId="30" xfId="0" applyFont="1" applyBorder="1"/>
    <xf numFmtId="0" fontId="9" fillId="0" borderId="31" xfId="0" applyFont="1" applyBorder="1"/>
    <xf numFmtId="11" fontId="9" fillId="0" borderId="0" xfId="0" applyNumberFormat="1" applyFont="1" applyBorder="1"/>
    <xf numFmtId="0" fontId="0" fillId="0" borderId="31" xfId="0" applyBorder="1"/>
    <xf numFmtId="0" fontId="4" fillId="0" borderId="30" xfId="0" applyFont="1" applyBorder="1"/>
    <xf numFmtId="0" fontId="4" fillId="0" borderId="0" xfId="0" applyFont="1" applyBorder="1"/>
    <xf numFmtId="2" fontId="4" fillId="0" borderId="0" xfId="0" applyNumberFormat="1" applyFont="1" applyBorder="1"/>
    <xf numFmtId="0" fontId="4" fillId="0" borderId="31" xfId="0" applyFont="1" applyBorder="1"/>
    <xf numFmtId="0" fontId="4" fillId="0" borderId="32" xfId="0" applyFont="1" applyBorder="1"/>
    <xf numFmtId="0" fontId="0" fillId="0" borderId="6" xfId="0" applyBorder="1"/>
    <xf numFmtId="2" fontId="4" fillId="0" borderId="6" xfId="0" applyNumberFormat="1" applyFont="1" applyBorder="1"/>
    <xf numFmtId="0" fontId="0" fillId="0" borderId="12" xfId="0" applyBorder="1"/>
    <xf numFmtId="0" fontId="9" fillId="0" borderId="0" xfId="0" applyFont="1" applyBorder="1" applyAlignment="1">
      <alignment horizontal="center"/>
    </xf>
    <xf numFmtId="0" fontId="9" fillId="0" borderId="31" xfId="0" applyFont="1" applyBorder="1" applyAlignment="1">
      <alignment horizontal="center"/>
    </xf>
    <xf numFmtId="0" fontId="4" fillId="0" borderId="6" xfId="0" applyFont="1" applyBorder="1"/>
    <xf numFmtId="165" fontId="4" fillId="0" borderId="6" xfId="0" applyNumberFormat="1" applyFont="1" applyBorder="1"/>
    <xf numFmtId="0" fontId="4" fillId="0" borderId="12" xfId="0" applyFont="1" applyBorder="1"/>
    <xf numFmtId="0" fontId="4" fillId="0" borderId="34" xfId="0" applyFont="1" applyBorder="1" applyAlignment="1">
      <alignment horizontal="right"/>
    </xf>
    <xf numFmtId="0" fontId="4" fillId="0" borderId="33" xfId="0" applyFont="1" applyBorder="1" applyAlignment="1">
      <alignment horizontal="right"/>
    </xf>
    <xf numFmtId="0" fontId="4" fillId="0" borderId="11" xfId="0" applyFont="1" applyBorder="1" applyAlignment="1">
      <alignment horizontal="right"/>
    </xf>
    <xf numFmtId="166" fontId="7" fillId="0" borderId="6" xfId="0" applyNumberFormat="1" applyFont="1" applyBorder="1"/>
    <xf numFmtId="166" fontId="7" fillId="0" borderId="12" xfId="0" applyNumberFormat="1" applyFont="1" applyBorder="1"/>
    <xf numFmtId="9" fontId="1" fillId="0" borderId="7" xfId="1" applyFont="1" applyBorder="1"/>
    <xf numFmtId="9" fontId="1" fillId="0" borderId="8" xfId="1" applyFont="1" applyBorder="1"/>
    <xf numFmtId="0" fontId="1" fillId="0" borderId="0" xfId="0" applyFont="1" applyBorder="1"/>
    <xf numFmtId="0" fontId="1" fillId="0" borderId="31" xfId="0" applyFont="1" applyBorder="1"/>
    <xf numFmtId="0" fontId="4" fillId="0" borderId="32" xfId="0" applyFont="1" applyBorder="1" applyAlignment="1">
      <alignment horizontal="center"/>
    </xf>
    <xf numFmtId="0" fontId="4" fillId="0" borderId="6" xfId="0" applyFont="1" applyBorder="1" applyAlignment="1">
      <alignment horizontal="center"/>
    </xf>
    <xf numFmtId="0" fontId="4" fillId="0" borderId="12" xfId="0" applyFont="1" applyBorder="1" applyAlignment="1">
      <alignment horizontal="center"/>
    </xf>
    <xf numFmtId="168" fontId="1" fillId="0" borderId="8" xfId="1" applyNumberFormat="1" applyFont="1" applyBorder="1"/>
    <xf numFmtId="168" fontId="1" fillId="0" borderId="9" xfId="1" applyNumberFormat="1" applyFont="1" applyBorder="1"/>
    <xf numFmtId="168" fontId="1" fillId="0" borderId="0" xfId="0" applyNumberFormat="1" applyFont="1" applyBorder="1"/>
    <xf numFmtId="168" fontId="1" fillId="0" borderId="31" xfId="0" applyNumberFormat="1" applyFont="1" applyBorder="1"/>
    <xf numFmtId="0" fontId="7" fillId="0" borderId="1" xfId="0" applyFont="1" applyBorder="1" applyAlignment="1">
      <alignment horizontal="center" vertical="center" wrapText="1"/>
    </xf>
    <xf numFmtId="2" fontId="9" fillId="0" borderId="0" xfId="0" applyNumberFormat="1" applyFont="1" applyAlignment="1">
      <alignment horizontal="center"/>
    </xf>
    <xf numFmtId="0" fontId="9" fillId="0" borderId="19" xfId="0" applyFont="1" applyBorder="1" applyAlignment="1">
      <alignment horizontal="center" vertical="center"/>
    </xf>
    <xf numFmtId="0" fontId="9" fillId="0" borderId="1" xfId="0" applyFont="1" applyBorder="1" applyAlignment="1">
      <alignment horizontal="center" vertical="center"/>
    </xf>
    <xf numFmtId="2" fontId="9" fillId="0" borderId="4" xfId="0" applyNumberFormat="1" applyFont="1" applyBorder="1" applyAlignment="1">
      <alignment horizontal="center" vertical="center"/>
    </xf>
    <xf numFmtId="166" fontId="9" fillId="0" borderId="4" xfId="0" applyNumberFormat="1" applyFont="1" applyBorder="1" applyAlignment="1">
      <alignment horizontal="center" vertical="center"/>
    </xf>
    <xf numFmtId="166" fontId="9" fillId="0" borderId="16" xfId="0" applyNumberFormat="1" applyFont="1" applyBorder="1" applyAlignment="1">
      <alignment horizontal="center" vertical="center"/>
    </xf>
    <xf numFmtId="166" fontId="9" fillId="0" borderId="17" xfId="0" applyNumberFormat="1" applyFont="1" applyBorder="1" applyAlignment="1">
      <alignment horizontal="center" vertical="center"/>
    </xf>
    <xf numFmtId="166" fontId="9" fillId="0" borderId="18" xfId="0" applyNumberFormat="1" applyFont="1" applyBorder="1" applyAlignment="1">
      <alignment horizontal="center" vertical="center"/>
    </xf>
    <xf numFmtId="0" fontId="9" fillId="0" borderId="20" xfId="0" applyFont="1" applyBorder="1" applyAlignment="1">
      <alignment horizontal="center" vertical="center"/>
    </xf>
    <xf numFmtId="166" fontId="9" fillId="0" borderId="1" xfId="0" applyNumberFormat="1" applyFont="1" applyBorder="1" applyAlignment="1">
      <alignment horizontal="center" vertical="center"/>
    </xf>
    <xf numFmtId="166" fontId="9" fillId="0" borderId="3" xfId="0" applyNumberFormat="1" applyFont="1" applyBorder="1" applyAlignment="1">
      <alignment horizontal="center" vertical="center"/>
    </xf>
    <xf numFmtId="166" fontId="9" fillId="0" borderId="2" xfId="0" applyNumberFormat="1" applyFont="1" applyBorder="1" applyAlignment="1">
      <alignment horizontal="center" vertical="center"/>
    </xf>
    <xf numFmtId="166" fontId="9" fillId="0" borderId="21" xfId="0" applyNumberFormat="1" applyFont="1" applyBorder="1" applyAlignment="1">
      <alignment horizontal="center" vertical="center"/>
    </xf>
    <xf numFmtId="0" fontId="9" fillId="0" borderId="0" xfId="0" applyFont="1" applyAlignment="1">
      <alignment horizontal="center" vertical="center"/>
    </xf>
    <xf numFmtId="2" fontId="9" fillId="0" borderId="0" xfId="0" applyNumberFormat="1" applyFont="1" applyAlignment="1">
      <alignment horizontal="center" vertical="center"/>
    </xf>
    <xf numFmtId="166" fontId="9" fillId="0" borderId="17" xfId="0" applyNumberFormat="1" applyFont="1" applyFill="1" applyBorder="1" applyAlignment="1">
      <alignment horizontal="center" vertical="center"/>
    </xf>
    <xf numFmtId="0" fontId="4" fillId="0" borderId="0" xfId="0" applyFont="1" applyAlignment="1">
      <alignment horizontal="center" vertical="center"/>
    </xf>
    <xf numFmtId="2" fontId="4" fillId="0" borderId="0" xfId="0" applyNumberFormat="1" applyFont="1" applyAlignment="1">
      <alignment horizontal="center" vertical="center"/>
    </xf>
    <xf numFmtId="166" fontId="4" fillId="0" borderId="0" xfId="0" applyNumberFormat="1" applyFont="1" applyAlignment="1">
      <alignment horizontal="center" vertical="center"/>
    </xf>
    <xf numFmtId="1" fontId="9" fillId="0" borderId="1" xfId="0" applyNumberFormat="1" applyFont="1" applyBorder="1" applyAlignment="1">
      <alignment horizontal="center" vertical="center"/>
    </xf>
    <xf numFmtId="1" fontId="9" fillId="0" borderId="4" xfId="0" applyNumberFormat="1" applyFont="1" applyBorder="1" applyAlignment="1">
      <alignment horizontal="center" vertical="center"/>
    </xf>
    <xf numFmtId="0" fontId="0" fillId="0" borderId="7" xfId="0" applyBorder="1"/>
    <xf numFmtId="0" fontId="3" fillId="0" borderId="31" xfId="0" applyFont="1" applyBorder="1" applyAlignment="1">
      <alignment horizontal="center" vertical="center"/>
    </xf>
    <xf numFmtId="0" fontId="3" fillId="0" borderId="9" xfId="0" applyFont="1" applyBorder="1" applyAlignment="1">
      <alignment horizontal="center" vertical="center"/>
    </xf>
    <xf numFmtId="0" fontId="4" fillId="0" borderId="35" xfId="0" applyFont="1" applyFill="1" applyBorder="1" applyAlignment="1">
      <alignment horizontal="right" vertical="center"/>
    </xf>
    <xf numFmtId="0" fontId="10" fillId="0" borderId="5" xfId="0" applyFont="1" applyBorder="1" applyAlignment="1">
      <alignment horizontal="center" vertical="center"/>
    </xf>
    <xf numFmtId="0" fontId="10" fillId="0" borderId="36" xfId="0" applyFont="1" applyBorder="1" applyAlignment="1">
      <alignment horizontal="center" vertical="center"/>
    </xf>
    <xf numFmtId="0" fontId="7" fillId="0" borderId="30" xfId="0" applyFont="1" applyBorder="1" applyAlignment="1">
      <alignment horizontal="right" vertical="center"/>
    </xf>
    <xf numFmtId="2" fontId="7" fillId="0" borderId="0" xfId="0" applyNumberFormat="1" applyFont="1" applyBorder="1" applyAlignment="1">
      <alignment horizontal="center" vertical="center"/>
    </xf>
    <xf numFmtId="2" fontId="7" fillId="0" borderId="31" xfId="0" applyNumberFormat="1" applyFont="1" applyBorder="1" applyAlignment="1">
      <alignment horizontal="center" vertical="center"/>
    </xf>
    <xf numFmtId="0" fontId="7" fillId="0" borderId="0" xfId="0" applyFont="1" applyBorder="1" applyAlignment="1">
      <alignment horizontal="center" vertical="center"/>
    </xf>
    <xf numFmtId="0" fontId="7" fillId="0" borderId="31" xfId="0" applyFont="1" applyBorder="1" applyAlignment="1">
      <alignment horizontal="center" vertical="center"/>
    </xf>
    <xf numFmtId="0" fontId="7" fillId="2" borderId="7" xfId="0" applyFont="1" applyFill="1" applyBorder="1" applyAlignment="1">
      <alignment horizontal="right" vertical="center"/>
    </xf>
    <xf numFmtId="2" fontId="7" fillId="2" borderId="8" xfId="0" applyNumberFormat="1" applyFont="1" applyFill="1" applyBorder="1" applyAlignment="1">
      <alignment horizontal="center" vertical="center"/>
    </xf>
    <xf numFmtId="2" fontId="7" fillId="2" borderId="9" xfId="0" applyNumberFormat="1" applyFont="1" applyFill="1" applyBorder="1" applyAlignment="1">
      <alignment horizontal="center" vertical="center"/>
    </xf>
    <xf numFmtId="1" fontId="4" fillId="0" borderId="0" xfId="0" applyNumberFormat="1" applyFont="1" applyAlignment="1">
      <alignment horizontal="right"/>
    </xf>
    <xf numFmtId="2" fontId="4" fillId="0" borderId="0" xfId="0" applyNumberFormat="1" applyFont="1" applyAlignment="1">
      <alignment horizontal="right"/>
    </xf>
    <xf numFmtId="0" fontId="9" fillId="0" borderId="16" xfId="0" applyFont="1" applyBorder="1" applyAlignment="1"/>
    <xf numFmtId="0" fontId="9" fillId="0" borderId="25" xfId="0" applyFont="1" applyBorder="1" applyAlignment="1"/>
    <xf numFmtId="0" fontId="4" fillId="0" borderId="0" xfId="0" applyFont="1" applyAlignment="1">
      <alignment horizontal="center"/>
    </xf>
    <xf numFmtId="0" fontId="13" fillId="0" borderId="0" xfId="0" applyFont="1" applyAlignment="1">
      <alignment horizontal="center"/>
    </xf>
    <xf numFmtId="0" fontId="14" fillId="0" borderId="0" xfId="0" applyFont="1" applyAlignment="1">
      <alignment horizontal="center"/>
    </xf>
    <xf numFmtId="0" fontId="13" fillId="0" borderId="0" xfId="0" applyFont="1" applyAlignment="1">
      <alignment horizontal="center" wrapText="1"/>
    </xf>
    <xf numFmtId="0" fontId="13" fillId="0" borderId="0" xfId="0" applyFont="1" applyAlignment="1">
      <alignment horizontal="center" vertical="center" wrapText="1"/>
    </xf>
    <xf numFmtId="0" fontId="14" fillId="0" borderId="0" xfId="0" applyFont="1" applyAlignment="1">
      <alignment horizontal="center" vertical="center" wrapText="1"/>
    </xf>
    <xf numFmtId="1" fontId="7" fillId="2" borderId="0" xfId="0" applyNumberFormat="1" applyFont="1" applyFill="1" applyAlignment="1">
      <alignment horizontal="right" vertical="center" textRotation="90" wrapText="1"/>
    </xf>
    <xf numFmtId="0" fontId="3" fillId="2" borderId="0" xfId="0" applyFont="1" applyFill="1" applyAlignment="1">
      <alignment horizontal="right" vertical="center" textRotation="90" wrapText="1"/>
    </xf>
    <xf numFmtId="0" fontId="7" fillId="0" borderId="0" xfId="0" applyFont="1" applyAlignment="1">
      <alignment horizontal="center" vertical="center"/>
    </xf>
    <xf numFmtId="0" fontId="4" fillId="0" borderId="3" xfId="0" applyFont="1" applyBorder="1" applyAlignment="1">
      <alignment horizontal="center"/>
    </xf>
    <xf numFmtId="0" fontId="4" fillId="0" borderId="26" xfId="0" applyFont="1" applyBorder="1" applyAlignment="1">
      <alignment horizontal="center"/>
    </xf>
    <xf numFmtId="0" fontId="4" fillId="0" borderId="20" xfId="0" applyFont="1" applyBorder="1" applyAlignment="1">
      <alignment horizontal="center"/>
    </xf>
    <xf numFmtId="0" fontId="7" fillId="0" borderId="3" xfId="0" applyFont="1" applyBorder="1" applyAlignment="1">
      <alignment horizontal="center"/>
    </xf>
    <xf numFmtId="0" fontId="7" fillId="0" borderId="20" xfId="0" applyFont="1" applyBorder="1" applyAlignment="1">
      <alignment horizontal="center"/>
    </xf>
    <xf numFmtId="0" fontId="4" fillId="0" borderId="25" xfId="0" applyFont="1" applyBorder="1" applyAlignment="1">
      <alignment horizontal="center"/>
    </xf>
    <xf numFmtId="0" fontId="7" fillId="0" borderId="0" xfId="0" applyFont="1" applyAlignment="1">
      <alignment horizontal="center" vertical="center" textRotation="90" wrapText="1"/>
    </xf>
    <xf numFmtId="0" fontId="4" fillId="0" borderId="27" xfId="0" applyFont="1" applyBorder="1" applyAlignment="1">
      <alignment horizontal="center"/>
    </xf>
    <xf numFmtId="0" fontId="4" fillId="0" borderId="28" xfId="0" applyFont="1" applyBorder="1" applyAlignment="1">
      <alignment horizontal="center"/>
    </xf>
    <xf numFmtId="0" fontId="4" fillId="0" borderId="29" xfId="0" applyFont="1" applyBorder="1" applyAlignment="1">
      <alignment horizontal="center"/>
    </xf>
    <xf numFmtId="0" fontId="4" fillId="0" borderId="27" xfId="0" applyFont="1" applyBorder="1" applyAlignment="1">
      <alignment horizontal="center" wrapText="1"/>
    </xf>
    <xf numFmtId="0" fontId="4" fillId="0" borderId="28" xfId="0" applyFont="1" applyBorder="1" applyAlignment="1">
      <alignment horizontal="center" wrapText="1"/>
    </xf>
    <xf numFmtId="0" fontId="4" fillId="0" borderId="29" xfId="0" applyFont="1" applyBorder="1" applyAlignment="1">
      <alignment horizontal="center" wrapText="1"/>
    </xf>
    <xf numFmtId="0" fontId="4" fillId="0" borderId="0" xfId="0" applyFont="1" applyAlignment="1">
      <alignment horizontal="left" wrapText="1"/>
    </xf>
    <xf numFmtId="0" fontId="4" fillId="0" borderId="0" xfId="0" applyFont="1" applyBorder="1" applyAlignment="1">
      <alignment horizontal="left" vertical="top" wrapText="1"/>
    </xf>
    <xf numFmtId="2" fontId="4" fillId="0" borderId="35" xfId="0" applyNumberFormat="1" applyFont="1" applyBorder="1" applyAlignment="1">
      <alignment horizontal="center"/>
    </xf>
    <xf numFmtId="2" fontId="4" fillId="0" borderId="36" xfId="0" applyNumberFormat="1" applyFont="1" applyBorder="1" applyAlignment="1">
      <alignment horizontal="center"/>
    </xf>
    <xf numFmtId="0" fontId="10" fillId="0" borderId="6" xfId="0" applyFont="1" applyBorder="1" applyAlignment="1">
      <alignment horizontal="center"/>
    </xf>
    <xf numFmtId="0" fontId="9" fillId="0" borderId="4" xfId="0" applyFont="1" applyBorder="1" applyAlignment="1">
      <alignment horizontal="center" wrapText="1"/>
    </xf>
    <xf numFmtId="0" fontId="9" fillId="0" borderId="1" xfId="0" applyFont="1" applyBorder="1" applyAlignment="1">
      <alignment horizontal="center" wrapText="1"/>
    </xf>
    <xf numFmtId="0" fontId="9" fillId="0" borderId="18" xfId="0" applyFont="1" applyBorder="1" applyAlignment="1">
      <alignment horizontal="center" vertical="center"/>
    </xf>
    <xf numFmtId="0" fontId="9" fillId="0" borderId="4" xfId="0" applyFont="1" applyBorder="1" applyAlignment="1">
      <alignment horizontal="center" vertical="center"/>
    </xf>
    <xf numFmtId="0" fontId="9" fillId="0" borderId="1" xfId="0" applyFont="1" applyBorder="1" applyAlignment="1">
      <alignment horizontal="center"/>
    </xf>
    <xf numFmtId="0" fontId="9" fillId="0" borderId="4" xfId="0" applyFont="1" applyBorder="1" applyAlignment="1">
      <alignment horizontal="center"/>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lang val="en-IN"/>
  <c:chart>
    <c:title>
      <c:tx>
        <c:rich>
          <a:bodyPr/>
          <a:lstStyle/>
          <a:p>
            <a:pPr>
              <a:defRPr lang="en-US"/>
            </a:pPr>
            <a:r>
              <a:rPr lang="en-US"/>
              <a:t>Histogram</a:t>
            </a:r>
          </a:p>
        </c:rich>
      </c:tx>
      <c:layout/>
    </c:title>
    <c:plotArea>
      <c:layout/>
      <c:barChart>
        <c:barDir val="col"/>
        <c:grouping val="clustered"/>
        <c:ser>
          <c:idx val="0"/>
          <c:order val="0"/>
          <c:tx>
            <c:v>Frequency</c:v>
          </c:tx>
          <c:spPr>
            <a:pattFill prst="pct5">
              <a:fgClr>
                <a:schemeClr val="accent1"/>
              </a:fgClr>
              <a:bgClr>
                <a:schemeClr val="bg1"/>
              </a:bgClr>
            </a:pattFill>
            <a:ln w="9525">
              <a:solidFill>
                <a:schemeClr val="accent1"/>
              </a:solidFill>
            </a:ln>
          </c:spPr>
          <c:cat>
            <c:strRef>
              <c:f>Figure2!$I$2:$I$14</c:f>
              <c:strCache>
                <c:ptCount val="13"/>
                <c:pt idx="0">
                  <c:v>510.55</c:v>
                </c:pt>
                <c:pt idx="1">
                  <c:v>590.55</c:v>
                </c:pt>
                <c:pt idx="2">
                  <c:v>670.55</c:v>
                </c:pt>
                <c:pt idx="3">
                  <c:v>750.55</c:v>
                </c:pt>
                <c:pt idx="4">
                  <c:v>830.55</c:v>
                </c:pt>
                <c:pt idx="5">
                  <c:v>910.55</c:v>
                </c:pt>
                <c:pt idx="6">
                  <c:v>990.55</c:v>
                </c:pt>
                <c:pt idx="7">
                  <c:v>1070.55</c:v>
                </c:pt>
                <c:pt idx="8">
                  <c:v>1150.55</c:v>
                </c:pt>
                <c:pt idx="9">
                  <c:v>1230.55</c:v>
                </c:pt>
                <c:pt idx="10">
                  <c:v>1310.55</c:v>
                </c:pt>
                <c:pt idx="11">
                  <c:v>1390.55</c:v>
                </c:pt>
                <c:pt idx="12">
                  <c:v>More</c:v>
                </c:pt>
              </c:strCache>
            </c:strRef>
          </c:cat>
          <c:val>
            <c:numRef>
              <c:f>Figure2!$J$2:$J$14</c:f>
              <c:numCache>
                <c:formatCode>General</c:formatCode>
                <c:ptCount val="13"/>
                <c:pt idx="0">
                  <c:v>0</c:v>
                </c:pt>
                <c:pt idx="1">
                  <c:v>1</c:v>
                </c:pt>
                <c:pt idx="2">
                  <c:v>2</c:v>
                </c:pt>
                <c:pt idx="3">
                  <c:v>5</c:v>
                </c:pt>
                <c:pt idx="4">
                  <c:v>8</c:v>
                </c:pt>
                <c:pt idx="5">
                  <c:v>13</c:v>
                </c:pt>
                <c:pt idx="6">
                  <c:v>26</c:v>
                </c:pt>
                <c:pt idx="7">
                  <c:v>20</c:v>
                </c:pt>
                <c:pt idx="8">
                  <c:v>12</c:v>
                </c:pt>
                <c:pt idx="9">
                  <c:v>6</c:v>
                </c:pt>
                <c:pt idx="10">
                  <c:v>6</c:v>
                </c:pt>
                <c:pt idx="11">
                  <c:v>1</c:v>
                </c:pt>
                <c:pt idx="12">
                  <c:v>0</c:v>
                </c:pt>
              </c:numCache>
            </c:numRef>
          </c:val>
        </c:ser>
        <c:dLbls/>
        <c:gapWidth val="0"/>
        <c:axId val="44731008"/>
        <c:axId val="45105920"/>
      </c:barChart>
      <c:catAx>
        <c:axId val="44731008"/>
        <c:scaling>
          <c:orientation val="minMax"/>
        </c:scaling>
        <c:axPos val="b"/>
        <c:title>
          <c:tx>
            <c:rich>
              <a:bodyPr/>
              <a:lstStyle/>
              <a:p>
                <a:pPr>
                  <a:defRPr lang="en-US"/>
                </a:pPr>
                <a:r>
                  <a:rPr lang="en-US"/>
                  <a:t>Bin</a:t>
                </a:r>
              </a:p>
            </c:rich>
          </c:tx>
          <c:layout/>
        </c:title>
        <c:tickLblPos val="nextTo"/>
        <c:txPr>
          <a:bodyPr/>
          <a:lstStyle/>
          <a:p>
            <a:pPr>
              <a:defRPr lang="en-US"/>
            </a:pPr>
            <a:endParaRPr lang="en-US"/>
          </a:p>
        </c:txPr>
        <c:crossAx val="45105920"/>
        <c:crosses val="autoZero"/>
        <c:auto val="1"/>
        <c:lblAlgn val="ctr"/>
        <c:lblOffset val="100"/>
      </c:catAx>
      <c:valAx>
        <c:axId val="45105920"/>
        <c:scaling>
          <c:orientation val="minMax"/>
        </c:scaling>
        <c:axPos val="l"/>
        <c:title>
          <c:tx>
            <c:rich>
              <a:bodyPr/>
              <a:lstStyle/>
              <a:p>
                <a:pPr>
                  <a:defRPr lang="en-US"/>
                </a:pPr>
                <a:r>
                  <a:rPr lang="en-US"/>
                  <a:t>Frequency</a:t>
                </a:r>
              </a:p>
            </c:rich>
          </c:tx>
          <c:layout/>
        </c:title>
        <c:numFmt formatCode="General" sourceLinked="1"/>
        <c:tickLblPos val="nextTo"/>
        <c:txPr>
          <a:bodyPr/>
          <a:lstStyle/>
          <a:p>
            <a:pPr>
              <a:defRPr lang="en-US"/>
            </a:pPr>
            <a:endParaRPr lang="en-US"/>
          </a:p>
        </c:txPr>
        <c:crossAx val="44731008"/>
        <c:crosses val="autoZero"/>
        <c:crossBetween val="between"/>
      </c:valAx>
    </c:plotArea>
    <c:legend>
      <c:legendPos val="r"/>
      <c:layout/>
      <c:txPr>
        <a:bodyPr/>
        <a:lstStyle/>
        <a:p>
          <a:pPr>
            <a:defRPr lang="en-US"/>
          </a:pPr>
          <a:endParaRPr lang="en-US"/>
        </a:p>
      </c:txPr>
    </c:legend>
    <c:plotVisOnly val="1"/>
    <c:dispBlanksAs val="gap"/>
  </c:chart>
  <c:printSettings>
    <c:headerFooter/>
    <c:pageMargins b="0.75000000000000011" l="0.70000000000000007" r="0.70000000000000007" t="0.75000000000000011" header="0.30000000000000004" footer="0.30000000000000004"/>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IN"/>
  <c:chart>
    <c:title>
      <c:tx>
        <c:rich>
          <a:bodyPr/>
          <a:lstStyle/>
          <a:p>
            <a:pPr>
              <a:defRPr lang="en-US"/>
            </a:pPr>
            <a:r>
              <a:rPr lang="en-US"/>
              <a:t>The Sampling Distribution of Mean</a:t>
            </a:r>
          </a:p>
        </c:rich>
      </c:tx>
    </c:title>
    <c:plotArea>
      <c:layout/>
      <c:barChart>
        <c:barDir val="col"/>
        <c:grouping val="clustered"/>
        <c:ser>
          <c:idx val="1"/>
          <c:order val="0"/>
          <c:tx>
            <c:strRef>
              <c:f>Figure4!$K$2</c:f>
              <c:strCache>
                <c:ptCount val="1"/>
                <c:pt idx="0">
                  <c:v>Relative Frequency/ Probability</c:v>
                </c:pt>
              </c:strCache>
            </c:strRef>
          </c:tx>
          <c:cat>
            <c:numRef>
              <c:f>Figure4!$I$3:$I$7</c:f>
              <c:numCache>
                <c:formatCode>General</c:formatCode>
                <c:ptCount val="5"/>
                <c:pt idx="0">
                  <c:v>150</c:v>
                </c:pt>
                <c:pt idx="1">
                  <c:v>200</c:v>
                </c:pt>
                <c:pt idx="2">
                  <c:v>250</c:v>
                </c:pt>
                <c:pt idx="3">
                  <c:v>300</c:v>
                </c:pt>
                <c:pt idx="4">
                  <c:v>350</c:v>
                </c:pt>
              </c:numCache>
            </c:numRef>
          </c:cat>
          <c:val>
            <c:numRef>
              <c:f>Figure4!$K$3:$K$7</c:f>
              <c:numCache>
                <c:formatCode>0.00000</c:formatCode>
                <c:ptCount val="5"/>
                <c:pt idx="0">
                  <c:v>0.16666666666666666</c:v>
                </c:pt>
                <c:pt idx="1">
                  <c:v>0.16666666666666666</c:v>
                </c:pt>
                <c:pt idx="2">
                  <c:v>0.33333333333333331</c:v>
                </c:pt>
                <c:pt idx="3">
                  <c:v>0.16666666666666666</c:v>
                </c:pt>
                <c:pt idx="4">
                  <c:v>0.16666666666666666</c:v>
                </c:pt>
              </c:numCache>
            </c:numRef>
          </c:val>
        </c:ser>
        <c:dLbls/>
        <c:gapWidth val="500"/>
        <c:axId val="47654400"/>
        <c:axId val="47655936"/>
      </c:barChart>
      <c:catAx>
        <c:axId val="47654400"/>
        <c:scaling>
          <c:orientation val="minMax"/>
        </c:scaling>
        <c:axPos val="b"/>
        <c:majorGridlines/>
        <c:minorGridlines/>
        <c:numFmt formatCode="General" sourceLinked="1"/>
        <c:tickLblPos val="nextTo"/>
        <c:txPr>
          <a:bodyPr/>
          <a:lstStyle/>
          <a:p>
            <a:pPr>
              <a:defRPr lang="en-US"/>
            </a:pPr>
            <a:endParaRPr lang="en-US"/>
          </a:p>
        </c:txPr>
        <c:crossAx val="47655936"/>
        <c:crosses val="autoZero"/>
        <c:auto val="1"/>
        <c:lblAlgn val="ctr"/>
        <c:lblOffset val="100"/>
        <c:noMultiLvlLbl val="1"/>
      </c:catAx>
      <c:valAx>
        <c:axId val="47655936"/>
        <c:scaling>
          <c:orientation val="minMax"/>
        </c:scaling>
        <c:axPos val="l"/>
        <c:majorGridlines/>
        <c:numFmt formatCode="0.00000" sourceLinked="1"/>
        <c:tickLblPos val="nextTo"/>
        <c:txPr>
          <a:bodyPr/>
          <a:lstStyle/>
          <a:p>
            <a:pPr>
              <a:defRPr lang="en-US"/>
            </a:pPr>
            <a:endParaRPr lang="en-US"/>
          </a:p>
        </c:txPr>
        <c:crossAx val="47654400"/>
        <c:crosses val="autoZero"/>
        <c:crossBetween val="between"/>
      </c:valAx>
    </c:plotArea>
    <c:legend>
      <c:legendPos val="r"/>
      <c:txPr>
        <a:bodyPr/>
        <a:lstStyle/>
        <a:p>
          <a:pPr>
            <a:defRPr lang="en-US"/>
          </a:pPr>
          <a:endParaRPr lang="en-US"/>
        </a:p>
      </c:txPr>
    </c:legend>
    <c:plotVisOnly val="1"/>
    <c:dispBlanksAs val="gap"/>
  </c:chart>
  <c:printSettings>
    <c:headerFooter/>
    <c:pageMargins b="0.75000000000000133" l="0.70000000000000062" r="0.70000000000000062" t="0.75000000000000133"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IN"/>
  <c:chart>
    <c:title>
      <c:txPr>
        <a:bodyPr/>
        <a:lstStyle/>
        <a:p>
          <a:pPr>
            <a:defRPr lang="en-US"/>
          </a:pPr>
          <a:endParaRPr lang="en-US"/>
        </a:p>
      </c:txPr>
    </c:title>
    <c:plotArea>
      <c:layout/>
      <c:scatterChart>
        <c:scatterStyle val="smoothMarker"/>
        <c:ser>
          <c:idx val="0"/>
          <c:order val="0"/>
          <c:tx>
            <c:strRef>
              <c:f>Figure5!$O$1</c:f>
              <c:strCache>
                <c:ptCount val="1"/>
                <c:pt idx="0">
                  <c:v>Frequency</c:v>
                </c:pt>
              </c:strCache>
            </c:strRef>
          </c:tx>
          <c:xVal>
            <c:numRef>
              <c:f>Figure5!$N$2:$N$15</c:f>
              <c:numCache>
                <c:formatCode>General</c:formatCode>
                <c:ptCount val="14"/>
                <c:pt idx="0">
                  <c:v>-3.25</c:v>
                </c:pt>
                <c:pt idx="1">
                  <c:v>-2.75</c:v>
                </c:pt>
                <c:pt idx="2">
                  <c:v>-2.25</c:v>
                </c:pt>
                <c:pt idx="3">
                  <c:v>-1.75</c:v>
                </c:pt>
                <c:pt idx="4">
                  <c:v>-1.25</c:v>
                </c:pt>
                <c:pt idx="5">
                  <c:v>-0.75</c:v>
                </c:pt>
                <c:pt idx="6">
                  <c:v>-0.25</c:v>
                </c:pt>
                <c:pt idx="7">
                  <c:v>0.25</c:v>
                </c:pt>
                <c:pt idx="8">
                  <c:v>0.75</c:v>
                </c:pt>
                <c:pt idx="9">
                  <c:v>1.25</c:v>
                </c:pt>
                <c:pt idx="10">
                  <c:v>1.75</c:v>
                </c:pt>
                <c:pt idx="11">
                  <c:v>2.25</c:v>
                </c:pt>
                <c:pt idx="12">
                  <c:v>2.75</c:v>
                </c:pt>
                <c:pt idx="13">
                  <c:v>3.25</c:v>
                </c:pt>
              </c:numCache>
            </c:numRef>
          </c:xVal>
          <c:yVal>
            <c:numRef>
              <c:f>Figure5!$O$2:$O$15</c:f>
              <c:numCache>
                <c:formatCode>General</c:formatCode>
                <c:ptCount val="14"/>
                <c:pt idx="0">
                  <c:v>1</c:v>
                </c:pt>
                <c:pt idx="1">
                  <c:v>1</c:v>
                </c:pt>
                <c:pt idx="2">
                  <c:v>1</c:v>
                </c:pt>
                <c:pt idx="3">
                  <c:v>2</c:v>
                </c:pt>
                <c:pt idx="4">
                  <c:v>7</c:v>
                </c:pt>
                <c:pt idx="5">
                  <c:v>11</c:v>
                </c:pt>
                <c:pt idx="6">
                  <c:v>27</c:v>
                </c:pt>
                <c:pt idx="7">
                  <c:v>22</c:v>
                </c:pt>
                <c:pt idx="8">
                  <c:v>16</c:v>
                </c:pt>
                <c:pt idx="9">
                  <c:v>5</c:v>
                </c:pt>
                <c:pt idx="10">
                  <c:v>6</c:v>
                </c:pt>
                <c:pt idx="11">
                  <c:v>1</c:v>
                </c:pt>
                <c:pt idx="12">
                  <c:v>0</c:v>
                </c:pt>
                <c:pt idx="13">
                  <c:v>0</c:v>
                </c:pt>
              </c:numCache>
            </c:numRef>
          </c:yVal>
          <c:smooth val="1"/>
        </c:ser>
        <c:dLbls/>
        <c:axId val="46465024"/>
        <c:axId val="46466560"/>
      </c:scatterChart>
      <c:valAx>
        <c:axId val="46465024"/>
        <c:scaling>
          <c:orientation val="minMax"/>
          <c:max val="4"/>
          <c:min val="-4"/>
        </c:scaling>
        <c:axPos val="b"/>
        <c:majorGridlines/>
        <c:numFmt formatCode="General" sourceLinked="1"/>
        <c:tickLblPos val="nextTo"/>
        <c:txPr>
          <a:bodyPr/>
          <a:lstStyle/>
          <a:p>
            <a:pPr>
              <a:defRPr lang="en-US"/>
            </a:pPr>
            <a:endParaRPr lang="en-US"/>
          </a:p>
        </c:txPr>
        <c:crossAx val="46466560"/>
        <c:crosses val="autoZero"/>
        <c:crossBetween val="midCat"/>
        <c:majorUnit val="1"/>
        <c:minorUnit val="0.5"/>
      </c:valAx>
      <c:valAx>
        <c:axId val="46466560"/>
        <c:scaling>
          <c:orientation val="minMax"/>
        </c:scaling>
        <c:axPos val="l"/>
        <c:majorGridlines/>
        <c:numFmt formatCode="General" sourceLinked="1"/>
        <c:tickLblPos val="nextTo"/>
        <c:txPr>
          <a:bodyPr/>
          <a:lstStyle/>
          <a:p>
            <a:pPr>
              <a:defRPr lang="en-US"/>
            </a:pPr>
            <a:endParaRPr lang="en-US"/>
          </a:p>
        </c:txPr>
        <c:crossAx val="46465024"/>
        <c:crosses val="autoZero"/>
        <c:crossBetween val="midCat"/>
      </c:valAx>
    </c:plotArea>
    <c:legend>
      <c:legendPos val="r"/>
      <c:txPr>
        <a:bodyPr/>
        <a:lstStyle/>
        <a:p>
          <a:pPr>
            <a:defRPr lang="en-US"/>
          </a:pPr>
          <a:endParaRPr lang="en-US"/>
        </a:p>
      </c:txPr>
    </c:legend>
    <c:plotVisOnly val="1"/>
    <c:dispBlanksAs val="gap"/>
  </c:chart>
  <c:printSettings>
    <c:headerFooter/>
    <c:pageMargins b="0.75000000000000044" l="0.7000000000000004" r="0.7000000000000004" t="0.75000000000000044" header="0.30000000000000021" footer="0.30000000000000021"/>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11</xdr:col>
      <xdr:colOff>238125</xdr:colOff>
      <xdr:row>0</xdr:row>
      <xdr:rowOff>152400</xdr:rowOff>
    </xdr:from>
    <xdr:to>
      <xdr:col>20</xdr:col>
      <xdr:colOff>582083</xdr:colOff>
      <xdr:row>17</xdr:row>
      <xdr:rowOff>211667</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9525</xdr:colOff>
      <xdr:row>0</xdr:row>
      <xdr:rowOff>19050</xdr:rowOff>
    </xdr:from>
    <xdr:to>
      <xdr:col>17</xdr:col>
      <xdr:colOff>581025</xdr:colOff>
      <xdr:row>11</xdr:row>
      <xdr:rowOff>180975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8</xdr:col>
      <xdr:colOff>142875</xdr:colOff>
      <xdr:row>1</xdr:row>
      <xdr:rowOff>466725</xdr:rowOff>
    </xdr:from>
    <xdr:ext cx="304800" cy="287002"/>
    <xdr:sp macro="" textlink="">
      <xdr:nvSpPr>
        <xdr:cNvPr id="6" name="TextBox 5"/>
        <xdr:cNvSpPr txBox="1"/>
      </xdr:nvSpPr>
      <xdr:spPr>
        <a:xfrm>
          <a:off x="4743450" y="704850"/>
          <a:ext cx="304800" cy="2870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i="0">
              <a:latin typeface="Cambria Math"/>
            </a:rPr>
            <a:t>¯𝑿</a:t>
          </a:r>
          <a:endParaRPr lang="en-US" sz="1100" b="1"/>
        </a:p>
      </xdr:txBody>
    </xdr:sp>
    <xdr:clientData/>
  </xdr:oneCellAnchor>
  <xdr:oneCellAnchor>
    <xdr:from>
      <xdr:col>10</xdr:col>
      <xdr:colOff>95251</xdr:colOff>
      <xdr:row>1</xdr:row>
      <xdr:rowOff>457203</xdr:rowOff>
    </xdr:from>
    <xdr:ext cx="590549" cy="266697"/>
    <xdr:sp macro="" textlink="">
      <xdr:nvSpPr>
        <xdr:cNvPr id="4" name="TextBox 3"/>
        <xdr:cNvSpPr txBox="1"/>
      </xdr:nvSpPr>
      <xdr:spPr>
        <a:xfrm>
          <a:off x="6362701" y="695328"/>
          <a:ext cx="590549" cy="266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a:latin typeface="Cambria Math"/>
            </a:rPr>
            <a:t>𝑷(¯𝑿)</a:t>
          </a:r>
          <a:endParaRPr lang="en-US" sz="1100" b="1"/>
        </a:p>
      </xdr:txBody>
    </xdr:sp>
    <xdr:clientData/>
  </xdr:oneCellAnchor>
  <xdr:oneCellAnchor>
    <xdr:from>
      <xdr:col>5</xdr:col>
      <xdr:colOff>304800</xdr:colOff>
      <xdr:row>8</xdr:row>
      <xdr:rowOff>180978</xdr:rowOff>
    </xdr:from>
    <xdr:ext cx="457200" cy="329129"/>
    <xdr:sp macro="" textlink="">
      <xdr:nvSpPr>
        <xdr:cNvPr id="8" name="TextBox 7"/>
        <xdr:cNvSpPr txBox="1"/>
      </xdr:nvSpPr>
      <xdr:spPr>
        <a:xfrm>
          <a:off x="2914650" y="2438403"/>
          <a:ext cx="457200" cy="3291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i="0">
              <a:latin typeface="Cambria Math"/>
            </a:rPr>
            <a:t>¯(¯𝑿)=</a:t>
          </a:r>
          <a:endParaRPr lang="en-US" sz="1100" b="1"/>
        </a:p>
      </xdr:txBody>
    </xdr:sp>
    <xdr:clientData/>
  </xdr:oneCellAnchor>
  <xdr:oneCellAnchor>
    <xdr:from>
      <xdr:col>4</xdr:col>
      <xdr:colOff>80962</xdr:colOff>
      <xdr:row>1</xdr:row>
      <xdr:rowOff>495300</xdr:rowOff>
    </xdr:from>
    <xdr:ext cx="385763" cy="264560"/>
    <xdr:sp macro="" textlink="">
      <xdr:nvSpPr>
        <xdr:cNvPr id="9" name="TextBox 8"/>
        <xdr:cNvSpPr txBox="1"/>
      </xdr:nvSpPr>
      <xdr:spPr>
        <a:xfrm>
          <a:off x="2157412" y="733425"/>
          <a:ext cx="38576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i="0">
              <a:latin typeface="Cambria Math"/>
            </a:rPr>
            <a:t>(𝒊)</a:t>
          </a:r>
          <a:endParaRPr lang="en-US" sz="1100" b="1"/>
        </a:p>
      </xdr:txBody>
    </xdr:sp>
    <xdr:clientData/>
  </xdr:oneCellAnchor>
  <xdr:oneCellAnchor>
    <xdr:from>
      <xdr:col>6</xdr:col>
      <xdr:colOff>157163</xdr:colOff>
      <xdr:row>1</xdr:row>
      <xdr:rowOff>495300</xdr:rowOff>
    </xdr:from>
    <xdr:ext cx="395288" cy="264560"/>
    <xdr:sp macro="" textlink="">
      <xdr:nvSpPr>
        <xdr:cNvPr id="10" name="TextBox 9"/>
        <xdr:cNvSpPr txBox="1"/>
      </xdr:nvSpPr>
      <xdr:spPr>
        <a:xfrm>
          <a:off x="3424238" y="733425"/>
          <a:ext cx="39528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i="0">
              <a:latin typeface="Cambria Math"/>
            </a:rPr>
            <a:t>(</a:t>
          </a:r>
          <a:r>
            <a:rPr lang="en-US" sz="1100" b="1" i="0">
              <a:solidFill>
                <a:schemeClr val="tx1"/>
              </a:solidFill>
              <a:effectLst/>
              <a:latin typeface="+mn-lt"/>
              <a:ea typeface="+mn-ea"/>
              <a:cs typeface="+mn-cs"/>
            </a:rPr>
            <a:t>¯</a:t>
          </a:r>
          <a:r>
            <a:rPr lang="en-US" sz="1100" b="1" i="0">
              <a:solidFill>
                <a:schemeClr val="tx1"/>
              </a:solidFill>
              <a:effectLst/>
              <a:latin typeface="Cambria Math"/>
              <a:ea typeface="+mn-ea"/>
              <a:cs typeface="+mn-cs"/>
            </a:rPr>
            <a:t>𝒙_</a:t>
          </a:r>
          <a:r>
            <a:rPr lang="en-US" sz="1100" b="1" i="0">
              <a:latin typeface="Cambria Math"/>
            </a:rPr>
            <a:t>𝒊 )</a:t>
          </a:r>
          <a:endParaRPr lang="en-US" sz="1100" b="1"/>
        </a:p>
      </xdr:txBody>
    </xdr:sp>
    <xdr:clientData/>
  </xdr:oneCellAnchor>
  <xdr:oneCellAnchor>
    <xdr:from>
      <xdr:col>10</xdr:col>
      <xdr:colOff>390525</xdr:colOff>
      <xdr:row>0</xdr:row>
      <xdr:rowOff>0</xdr:rowOff>
    </xdr:from>
    <xdr:ext cx="304800" cy="287002"/>
    <xdr:sp macro="" textlink="">
      <xdr:nvSpPr>
        <xdr:cNvPr id="11" name="TextBox 10"/>
        <xdr:cNvSpPr txBox="1"/>
      </xdr:nvSpPr>
      <xdr:spPr>
        <a:xfrm>
          <a:off x="6657975" y="0"/>
          <a:ext cx="304800" cy="2870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i="0">
              <a:latin typeface="Cambria Math"/>
            </a:rPr>
            <a:t>¯𝑿</a:t>
          </a:r>
          <a:endParaRPr lang="en-US" sz="1100" b="1"/>
        </a:p>
      </xdr:txBody>
    </xdr:sp>
    <xdr:clientData/>
  </xdr:oneCellAnchor>
  <xdr:oneCellAnchor>
    <xdr:from>
      <xdr:col>8</xdr:col>
      <xdr:colOff>176212</xdr:colOff>
      <xdr:row>12</xdr:row>
      <xdr:rowOff>304800</xdr:rowOff>
    </xdr:from>
    <xdr:ext cx="614363" cy="321627"/>
    <xdr:sp macro="" textlink="">
      <xdr:nvSpPr>
        <xdr:cNvPr id="13" name="TextBox 12"/>
        <xdr:cNvSpPr txBox="1"/>
      </xdr:nvSpPr>
      <xdr:spPr>
        <a:xfrm>
          <a:off x="4872037" y="3429000"/>
          <a:ext cx="614363" cy="3216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i="0">
              <a:latin typeface="Cambria Math"/>
              <a:ea typeface="Cambria Math"/>
            </a:rPr>
            <a:t>𝝈_¯</a:t>
          </a:r>
          <a:r>
            <a:rPr lang="en-US" sz="1200" b="1" i="0">
              <a:latin typeface="Cambria Math"/>
            </a:rPr>
            <a:t>𝑿^𝟐=</a:t>
          </a:r>
          <a:endParaRPr lang="en-US" sz="1200" b="1"/>
        </a:p>
      </xdr:txBody>
    </xdr:sp>
    <xdr:clientData/>
  </xdr:oneCellAnchor>
  <xdr:oneCellAnchor>
    <xdr:from>
      <xdr:col>8</xdr:col>
      <xdr:colOff>171450</xdr:colOff>
      <xdr:row>13</xdr:row>
      <xdr:rowOff>180975</xdr:rowOff>
    </xdr:from>
    <xdr:ext cx="614363" cy="301878"/>
    <xdr:sp macro="" textlink="">
      <xdr:nvSpPr>
        <xdr:cNvPr id="14" name="TextBox 13"/>
        <xdr:cNvSpPr txBox="1"/>
      </xdr:nvSpPr>
      <xdr:spPr>
        <a:xfrm>
          <a:off x="4867275" y="3667125"/>
          <a:ext cx="614363" cy="3018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i="0">
              <a:latin typeface="Cambria Math"/>
              <a:ea typeface="Cambria Math"/>
            </a:rPr>
            <a:t>𝝈_¯</a:t>
          </a:r>
          <a:r>
            <a:rPr lang="en-US" sz="1200" b="1" i="0">
              <a:latin typeface="Cambria Math"/>
            </a:rPr>
            <a:t>𝑿^ =</a:t>
          </a:r>
          <a:endParaRPr lang="en-US" sz="1200" b="1"/>
        </a:p>
      </xdr:txBody>
    </xdr:sp>
    <xdr:clientData/>
  </xdr:oneCellAnchor>
  <xdr:oneCellAnchor>
    <xdr:from>
      <xdr:col>8</xdr:col>
      <xdr:colOff>171450</xdr:colOff>
      <xdr:row>17</xdr:row>
      <xdr:rowOff>152400</xdr:rowOff>
    </xdr:from>
    <xdr:ext cx="614363" cy="301878"/>
    <xdr:sp macro="" textlink="">
      <xdr:nvSpPr>
        <xdr:cNvPr id="15" name="TextBox 14"/>
        <xdr:cNvSpPr txBox="1"/>
      </xdr:nvSpPr>
      <xdr:spPr>
        <a:xfrm>
          <a:off x="4867275" y="4400550"/>
          <a:ext cx="614363" cy="3018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i="0">
              <a:latin typeface="Cambria Math"/>
              <a:ea typeface="Cambria Math"/>
            </a:rPr>
            <a:t>𝝈_¯</a:t>
          </a:r>
          <a:r>
            <a:rPr lang="en-US" sz="1200" b="1" i="0">
              <a:latin typeface="Cambria Math"/>
            </a:rPr>
            <a:t>𝑿^ =</a:t>
          </a:r>
          <a:endParaRPr lang="en-US" sz="1200" b="1"/>
        </a:p>
      </xdr:txBody>
    </xdr:sp>
    <xdr:clientData/>
  </xdr:oneCellAnchor>
  <xdr:oneCellAnchor>
    <xdr:from>
      <xdr:col>8</xdr:col>
      <xdr:colOff>42862</xdr:colOff>
      <xdr:row>16</xdr:row>
      <xdr:rowOff>171450</xdr:rowOff>
    </xdr:from>
    <xdr:ext cx="709613" cy="271228"/>
    <xdr:sp macro="" textlink="">
      <xdr:nvSpPr>
        <xdr:cNvPr id="17" name="TextBox 16"/>
        <xdr:cNvSpPr txBox="1"/>
      </xdr:nvSpPr>
      <xdr:spPr>
        <a:xfrm>
          <a:off x="4738687" y="4229100"/>
          <a:ext cx="709613" cy="2712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i="0">
              <a:solidFill>
                <a:schemeClr val="tx1"/>
              </a:solidFill>
              <a:effectLst/>
              <a:latin typeface="+mn-lt"/>
              <a:ea typeface="+mn-ea"/>
              <a:cs typeface="+mn-cs"/>
            </a:rPr>
            <a:t>𝝈∕√𝒏</a:t>
          </a:r>
          <a:r>
            <a:rPr lang="en-US" sz="1100" b="1" i="0">
              <a:latin typeface="Cambria Math"/>
            </a:rPr>
            <a:t>=</a:t>
          </a:r>
          <a:endParaRPr lang="en-US" sz="1100" b="1"/>
        </a:p>
      </xdr:txBody>
    </xdr:sp>
    <xdr:clientData/>
  </xdr:oneCellAnchor>
  <xdr:twoCellAnchor>
    <xdr:from>
      <xdr:col>10</xdr:col>
      <xdr:colOff>0</xdr:colOff>
      <xdr:row>15</xdr:row>
      <xdr:rowOff>9525</xdr:rowOff>
    </xdr:from>
    <xdr:to>
      <xdr:col>10</xdr:col>
      <xdr:colOff>609600</xdr:colOff>
      <xdr:row>18</xdr:row>
      <xdr:rowOff>76200</xdr:rowOff>
    </xdr:to>
    <xdr:cxnSp macro="">
      <xdr:nvCxnSpPr>
        <xdr:cNvPr id="28" name="Straight Arrow Connector 27"/>
        <xdr:cNvCxnSpPr/>
      </xdr:nvCxnSpPr>
      <xdr:spPr>
        <a:xfrm flipH="1">
          <a:off x="6362700" y="3876675"/>
          <a:ext cx="609600" cy="638175"/>
        </a:xfrm>
        <a:prstGeom prst="straightConnector1">
          <a:avLst/>
        </a:prstGeom>
        <a:ln>
          <a:headEnd type="arrow"/>
          <a:tailEnd type="arrow"/>
        </a:ln>
      </xdr:spPr>
      <xdr:style>
        <a:lnRef idx="3">
          <a:schemeClr val="dk1"/>
        </a:lnRef>
        <a:fillRef idx="0">
          <a:schemeClr val="dk1"/>
        </a:fillRef>
        <a:effectRef idx="2">
          <a:schemeClr val="dk1"/>
        </a:effectRef>
        <a:fontRef idx="minor">
          <a:schemeClr val="tx1"/>
        </a:fontRef>
      </xdr:style>
    </xdr:cxnSp>
    <xdr:clientData/>
  </xdr:twoCellAnchor>
  <xdr:twoCellAnchor>
    <xdr:from>
      <xdr:col>9</xdr:col>
      <xdr:colOff>1000125</xdr:colOff>
      <xdr:row>15</xdr:row>
      <xdr:rowOff>9525</xdr:rowOff>
    </xdr:from>
    <xdr:to>
      <xdr:col>10</xdr:col>
      <xdr:colOff>304800</xdr:colOff>
      <xdr:row>16</xdr:row>
      <xdr:rowOff>104775</xdr:rowOff>
    </xdr:to>
    <xdr:cxnSp macro="">
      <xdr:nvCxnSpPr>
        <xdr:cNvPr id="30" name="Straight Arrow Connector 29"/>
        <xdr:cNvCxnSpPr/>
      </xdr:nvCxnSpPr>
      <xdr:spPr>
        <a:xfrm flipH="1" flipV="1">
          <a:off x="6343650" y="3876675"/>
          <a:ext cx="323850" cy="285750"/>
        </a:xfrm>
        <a:prstGeom prst="straightConnector1">
          <a:avLst/>
        </a:prstGeom>
        <a:ln>
          <a:tailEnd type="arrow"/>
        </a:ln>
      </xdr:spPr>
      <xdr:style>
        <a:lnRef idx="3">
          <a:schemeClr val="dk1"/>
        </a:lnRef>
        <a:fillRef idx="0">
          <a:schemeClr val="dk1"/>
        </a:fillRef>
        <a:effectRef idx="2">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15</xdr:col>
      <xdr:colOff>171450</xdr:colOff>
      <xdr:row>3</xdr:row>
      <xdr:rowOff>19050</xdr:rowOff>
    </xdr:from>
    <xdr:to>
      <xdr:col>22</xdr:col>
      <xdr:colOff>476250</xdr:colOff>
      <xdr:row>15</xdr:row>
      <xdr:rowOff>66675</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600075</xdr:colOff>
      <xdr:row>15</xdr:row>
      <xdr:rowOff>133351</xdr:rowOff>
    </xdr:from>
    <xdr:to>
      <xdr:col>3</xdr:col>
      <xdr:colOff>142874</xdr:colOff>
      <xdr:row>17</xdr:row>
      <xdr:rowOff>156581</xdr:rowOff>
    </xdr:to>
    <xdr:sp macro="" textlink="">
      <xdr:nvSpPr>
        <xdr:cNvPr id="2" name="TextBox 1"/>
        <xdr:cNvSpPr txBox="1">
          <a:spLocks noChangeAspect="1"/>
        </xdr:cNvSpPr>
      </xdr:nvSpPr>
      <xdr:spPr>
        <a:xfrm>
          <a:off x="600075" y="3867151"/>
          <a:ext cx="1371599" cy="4518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square" rtlCol="0" anchor="t">
          <a:noAutofit/>
        </a:bodyPr>
        <a:lstStyle/>
        <a:p>
          <a:r>
            <a:rPr lang="en-US" sz="1100" b="1" i="0">
              <a:latin typeface="Cambria Math"/>
            </a:rPr>
            <a:t>𝑭_(𝟏−</a:t>
          </a:r>
          <a:r>
            <a:rPr lang="en-US" sz="1100" b="1" i="0">
              <a:latin typeface="Cambria Math"/>
              <a:ea typeface="Cambria Math"/>
            </a:rPr>
            <a:t>𝜶,</a:t>
          </a:r>
          <a:r>
            <a:rPr lang="en-US" sz="1100" b="1" i="0">
              <a:latin typeface="Cambria Math"/>
            </a:rPr>
            <a:t>𝟏𝟐,𝟔)=𝟏/</a:t>
          </a:r>
          <a:r>
            <a:rPr lang="en-US" sz="1100" b="1" i="0">
              <a:solidFill>
                <a:schemeClr val="tx1"/>
              </a:solidFill>
              <a:effectLst/>
              <a:latin typeface="+mn-lt"/>
              <a:ea typeface="+mn-ea"/>
              <a:cs typeface="+mn-cs"/>
            </a:rPr>
            <a:t>𝑭_(𝜶,</a:t>
          </a:r>
          <a:r>
            <a:rPr lang="en-US" sz="1100" b="1" i="0">
              <a:solidFill>
                <a:schemeClr val="tx1"/>
              </a:solidFill>
              <a:effectLst/>
              <a:latin typeface="Cambria Math"/>
              <a:ea typeface="+mn-ea"/>
              <a:cs typeface="+mn-cs"/>
            </a:rPr>
            <a:t>𝟔,</a:t>
          </a:r>
          <a:r>
            <a:rPr lang="en-US" sz="1100" b="1" i="0">
              <a:solidFill>
                <a:schemeClr val="tx1"/>
              </a:solidFill>
              <a:effectLst/>
              <a:latin typeface="+mn-lt"/>
              <a:ea typeface="+mn-ea"/>
              <a:cs typeface="+mn-cs"/>
            </a:rPr>
            <a:t>𝟏𝟐)</a:t>
          </a:r>
          <a:r>
            <a:rPr lang="en-US" sz="1100" b="1" i="0">
              <a:solidFill>
                <a:schemeClr val="tx1"/>
              </a:solidFill>
              <a:effectLst/>
              <a:latin typeface="Cambria Math"/>
              <a:ea typeface="+mn-ea"/>
              <a:cs typeface="+mn-cs"/>
            </a:rPr>
            <a:t> </a:t>
          </a:r>
          <a:endParaRPr lang="en-US"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N30"/>
  <sheetViews>
    <sheetView tabSelected="1" topLeftCell="A2" zoomScale="90" zoomScaleNormal="90" workbookViewId="0">
      <selection activeCell="A2" sqref="A2:L22"/>
    </sheetView>
  </sheetViews>
  <sheetFormatPr defaultRowHeight="15"/>
  <cols>
    <col min="10" max="10" width="13.85546875" customWidth="1"/>
  </cols>
  <sheetData>
    <row r="1" spans="1:14" ht="18.75">
      <c r="A1" s="236" t="s">
        <v>30</v>
      </c>
      <c r="B1" s="236"/>
      <c r="C1" s="236"/>
      <c r="D1" s="236"/>
      <c r="E1" s="236"/>
      <c r="F1" s="1"/>
      <c r="G1" s="1"/>
      <c r="H1" s="1" t="s">
        <v>31</v>
      </c>
      <c r="I1" s="1"/>
      <c r="J1" s="1" t="s">
        <v>49</v>
      </c>
      <c r="K1" s="1" t="s">
        <v>48</v>
      </c>
      <c r="M1" s="1"/>
      <c r="N1" s="1"/>
    </row>
    <row r="2" spans="1:14" ht="18.75">
      <c r="A2" s="15">
        <v>511.6</v>
      </c>
      <c r="B2" s="15">
        <v>977.7</v>
      </c>
      <c r="C2" s="15">
        <v>600.20000000000005</v>
      </c>
      <c r="D2" s="15">
        <v>1099.7</v>
      </c>
      <c r="E2" s="15">
        <v>803.7</v>
      </c>
      <c r="H2" s="32">
        <v>510.5</v>
      </c>
      <c r="I2" s="109"/>
      <c r="J2" s="1">
        <f t="array" ref="J2:J14">FREQUENCY(A2:E21,H2:H13)</f>
        <v>0</v>
      </c>
      <c r="K2" s="1">
        <f>J2</f>
        <v>0</v>
      </c>
    </row>
    <row r="3" spans="1:14" ht="18.75">
      <c r="A3" s="15">
        <v>923.4</v>
      </c>
      <c r="B3" s="15">
        <v>1108.3</v>
      </c>
      <c r="C3" s="15">
        <v>906.7</v>
      </c>
      <c r="D3" s="15">
        <v>759.6</v>
      </c>
      <c r="E3" s="15">
        <v>1111.9000000000001</v>
      </c>
      <c r="G3" s="32">
        <v>510.6</v>
      </c>
      <c r="H3" s="32">
        <v>590.5</v>
      </c>
      <c r="I3" s="109"/>
      <c r="J3" s="1">
        <v>1</v>
      </c>
      <c r="K3" s="1">
        <f t="shared" ref="K3:K14" si="0">K2+J3</f>
        <v>1</v>
      </c>
      <c r="M3" s="111"/>
    </row>
    <row r="4" spans="1:14" ht="18.75">
      <c r="A4" s="15">
        <v>918.3</v>
      </c>
      <c r="B4" s="15">
        <v>1051.0999999999999</v>
      </c>
      <c r="C4" s="15">
        <v>992.5</v>
      </c>
      <c r="D4" s="15">
        <v>817.2</v>
      </c>
      <c r="E4" s="15">
        <v>665.3</v>
      </c>
      <c r="G4" s="32">
        <v>590.6</v>
      </c>
      <c r="H4" s="32">
        <v>670.5</v>
      </c>
      <c r="I4" s="109"/>
      <c r="J4" s="1">
        <v>2</v>
      </c>
      <c r="K4" s="1">
        <f t="shared" si="0"/>
        <v>3</v>
      </c>
    </row>
    <row r="5" spans="1:14" ht="18.75">
      <c r="A5" s="15">
        <v>1143.5999999999999</v>
      </c>
      <c r="B5" s="15">
        <v>848.4</v>
      </c>
      <c r="C5" s="15">
        <v>939.8</v>
      </c>
      <c r="D5" s="15">
        <v>1163</v>
      </c>
      <c r="E5" s="15">
        <v>715.2</v>
      </c>
      <c r="G5" s="32">
        <v>670.6</v>
      </c>
      <c r="H5" s="32">
        <v>750.5</v>
      </c>
      <c r="I5" s="109"/>
      <c r="J5" s="1">
        <v>5</v>
      </c>
      <c r="K5" s="1">
        <f t="shared" si="0"/>
        <v>8</v>
      </c>
    </row>
    <row r="6" spans="1:14" ht="18.75">
      <c r="A6" s="15">
        <v>936.1</v>
      </c>
      <c r="B6" s="15">
        <v>750.5</v>
      </c>
      <c r="C6" s="15">
        <v>991.2</v>
      </c>
      <c r="D6" s="15">
        <v>1199.5</v>
      </c>
      <c r="E6" s="15">
        <v>950.2</v>
      </c>
      <c r="G6" s="32">
        <v>750.6</v>
      </c>
      <c r="H6" s="32">
        <v>830.5</v>
      </c>
      <c r="I6" s="109"/>
      <c r="J6" s="1">
        <v>8</v>
      </c>
      <c r="K6" s="1">
        <f t="shared" si="0"/>
        <v>16</v>
      </c>
    </row>
    <row r="7" spans="1:14" ht="18.75">
      <c r="A7" s="15">
        <v>1161.7</v>
      </c>
      <c r="B7" s="15">
        <v>1027.7</v>
      </c>
      <c r="C7" s="15">
        <v>995.1</v>
      </c>
      <c r="D7" s="15">
        <v>966.5</v>
      </c>
      <c r="E7" s="21">
        <v>1146.5</v>
      </c>
      <c r="G7" s="32">
        <v>830.6</v>
      </c>
      <c r="H7" s="32">
        <v>910.5</v>
      </c>
      <c r="I7" s="109"/>
      <c r="J7" s="1">
        <v>13</v>
      </c>
      <c r="K7" s="1">
        <f t="shared" si="0"/>
        <v>29</v>
      </c>
    </row>
    <row r="8" spans="1:14" ht="18.75">
      <c r="A8" s="15">
        <v>848</v>
      </c>
      <c r="B8" s="15">
        <v>956.8</v>
      </c>
      <c r="C8" s="15">
        <v>1100</v>
      </c>
      <c r="D8" s="22">
        <v>955.2</v>
      </c>
      <c r="E8" s="15">
        <v>1023</v>
      </c>
      <c r="G8" s="32">
        <v>910.6</v>
      </c>
      <c r="H8" s="32">
        <v>990.5</v>
      </c>
      <c r="I8" s="109"/>
      <c r="J8" s="1">
        <v>26</v>
      </c>
      <c r="K8" s="1">
        <f t="shared" si="0"/>
        <v>55</v>
      </c>
    </row>
    <row r="9" spans="1:14" ht="18.75">
      <c r="A9" s="15">
        <v>900.5</v>
      </c>
      <c r="B9" s="15">
        <v>982.3</v>
      </c>
      <c r="C9" s="15">
        <v>699.2</v>
      </c>
      <c r="D9" s="22">
        <v>1069.8</v>
      </c>
      <c r="E9" s="15">
        <v>1245.3</v>
      </c>
      <c r="G9" s="32">
        <v>990.6</v>
      </c>
      <c r="H9" s="32">
        <v>1070.5</v>
      </c>
      <c r="I9" s="109"/>
      <c r="J9" s="1">
        <v>20</v>
      </c>
      <c r="K9" s="1">
        <f t="shared" si="0"/>
        <v>75</v>
      </c>
    </row>
    <row r="10" spans="1:14" ht="18.75">
      <c r="A10" s="15">
        <v>1059.5</v>
      </c>
      <c r="B10" s="15">
        <v>1091</v>
      </c>
      <c r="C10" s="15">
        <v>850.7</v>
      </c>
      <c r="D10" s="15">
        <v>1219.3</v>
      </c>
      <c r="E10" s="24">
        <v>1012.6</v>
      </c>
      <c r="G10" s="32">
        <v>1070.5999999999999</v>
      </c>
      <c r="H10" s="32">
        <v>1150.5</v>
      </c>
      <c r="I10" s="109"/>
      <c r="J10" s="1">
        <v>12</v>
      </c>
      <c r="K10" s="1">
        <f t="shared" si="0"/>
        <v>87</v>
      </c>
    </row>
    <row r="11" spans="1:14" ht="18.75">
      <c r="A11" s="15">
        <v>1053.2</v>
      </c>
      <c r="B11" s="15">
        <v>939.5</v>
      </c>
      <c r="C11" s="15">
        <v>777.8</v>
      </c>
      <c r="D11" s="15">
        <v>749.6</v>
      </c>
      <c r="E11" s="15">
        <v>980.8</v>
      </c>
      <c r="G11" s="32">
        <v>1150.5999999999999</v>
      </c>
      <c r="H11" s="32">
        <v>1230.5</v>
      </c>
      <c r="I11" s="109"/>
      <c r="J11" s="1">
        <v>6</v>
      </c>
      <c r="K11" s="1">
        <f t="shared" si="0"/>
        <v>93</v>
      </c>
    </row>
    <row r="12" spans="1:14" ht="18.75">
      <c r="A12" s="15">
        <v>1091.3</v>
      </c>
      <c r="B12" s="15">
        <v>1016.3</v>
      </c>
      <c r="C12" s="15">
        <v>930.4</v>
      </c>
      <c r="D12" s="15">
        <v>1242.2</v>
      </c>
      <c r="E12" s="15">
        <v>1131.4000000000001</v>
      </c>
      <c r="G12" s="32">
        <v>1230.5999999999999</v>
      </c>
      <c r="H12" s="32">
        <v>1310.5</v>
      </c>
      <c r="I12" s="109"/>
      <c r="J12" s="1">
        <v>6</v>
      </c>
      <c r="K12" s="1">
        <f t="shared" si="0"/>
        <v>99</v>
      </c>
    </row>
    <row r="13" spans="1:14" ht="18.75">
      <c r="A13" s="15">
        <v>1314.7</v>
      </c>
      <c r="B13" s="15">
        <v>1137.2</v>
      </c>
      <c r="C13" s="15">
        <v>763.1</v>
      </c>
      <c r="D13" s="15">
        <v>1294.4000000000001</v>
      </c>
      <c r="E13" s="15">
        <v>917.3</v>
      </c>
      <c r="G13" s="32">
        <v>1310.5999999999999</v>
      </c>
      <c r="H13" s="32">
        <v>1390.5</v>
      </c>
      <c r="I13" s="109"/>
      <c r="J13" s="1">
        <v>1</v>
      </c>
      <c r="K13" s="1">
        <f t="shared" si="0"/>
        <v>100</v>
      </c>
    </row>
    <row r="14" spans="1:14" ht="18.75">
      <c r="A14" s="15">
        <v>1204.0999999999999</v>
      </c>
      <c r="B14" s="15">
        <v>980.1</v>
      </c>
      <c r="C14" s="15">
        <v>922.3</v>
      </c>
      <c r="D14" s="15">
        <v>1057.7</v>
      </c>
      <c r="E14" s="15">
        <v>907.2</v>
      </c>
      <c r="G14" s="32">
        <v>1390.6</v>
      </c>
      <c r="I14" s="109"/>
      <c r="J14" s="1">
        <v>0</v>
      </c>
      <c r="K14" s="1">
        <f t="shared" si="0"/>
        <v>100</v>
      </c>
    </row>
    <row r="15" spans="1:14" ht="17.25">
      <c r="A15" s="15">
        <v>808</v>
      </c>
      <c r="B15" s="15">
        <v>857.7</v>
      </c>
      <c r="C15" s="15">
        <v>1127.0999999999999</v>
      </c>
      <c r="D15" s="15">
        <v>934.3</v>
      </c>
      <c r="E15" s="15">
        <v>1262.3</v>
      </c>
    </row>
    <row r="16" spans="1:14" ht="17.25">
      <c r="A16" s="15">
        <v>965.4</v>
      </c>
      <c r="B16" s="15">
        <v>873.4</v>
      </c>
      <c r="C16" s="15">
        <v>955.1</v>
      </c>
      <c r="D16" s="15">
        <v>806.5</v>
      </c>
      <c r="E16" s="15">
        <v>1033</v>
      </c>
    </row>
    <row r="17" spans="1:11" ht="17.25">
      <c r="A17" s="15">
        <v>1068.3</v>
      </c>
      <c r="B17" s="15">
        <v>950.3</v>
      </c>
      <c r="C17" s="15">
        <v>930.6</v>
      </c>
      <c r="D17" s="15">
        <v>1000.1</v>
      </c>
      <c r="E17" s="15">
        <v>898.5</v>
      </c>
      <c r="G17" s="109"/>
      <c r="H17" s="109"/>
    </row>
    <row r="18" spans="1:11" ht="17.25">
      <c r="A18" s="15">
        <v>1293.0999999999999</v>
      </c>
      <c r="B18" s="15">
        <v>940.9</v>
      </c>
      <c r="C18" s="15">
        <v>1293.8</v>
      </c>
      <c r="D18" s="15">
        <v>1035.2</v>
      </c>
      <c r="E18" s="15">
        <v>706</v>
      </c>
    </row>
    <row r="19" spans="1:11" ht="17.25">
      <c r="A19" s="15">
        <v>880.9</v>
      </c>
      <c r="B19" s="15">
        <v>912.2</v>
      </c>
      <c r="C19" s="15">
        <v>803.5</v>
      </c>
      <c r="D19" s="15">
        <v>922.6</v>
      </c>
      <c r="E19" s="15">
        <v>846.1</v>
      </c>
      <c r="G19" s="110"/>
      <c r="H19" s="110"/>
      <c r="J19" s="77"/>
      <c r="K19" s="77"/>
    </row>
    <row r="20" spans="1:11" ht="17.25">
      <c r="A20" s="15">
        <v>1092.3</v>
      </c>
      <c r="B20" s="15">
        <v>1182</v>
      </c>
      <c r="C20" s="15">
        <v>985.2</v>
      </c>
      <c r="D20" s="15">
        <v>945.3</v>
      </c>
      <c r="E20" s="15">
        <v>835</v>
      </c>
      <c r="G20" s="110"/>
      <c r="H20" s="110"/>
      <c r="I20" s="110"/>
    </row>
    <row r="21" spans="1:11" ht="17.25">
      <c r="A21" s="15">
        <v>1001.5</v>
      </c>
      <c r="B21" s="15">
        <v>1048.8</v>
      </c>
      <c r="C21" s="15">
        <v>895.1</v>
      </c>
      <c r="D21" s="15">
        <v>1067.2</v>
      </c>
      <c r="E21" s="15">
        <v>1062.8</v>
      </c>
      <c r="G21" s="110"/>
      <c r="H21" s="110"/>
      <c r="I21" s="110"/>
    </row>
    <row r="22" spans="1:11">
      <c r="A22" s="110"/>
      <c r="B22" s="110"/>
      <c r="C22" s="110"/>
    </row>
    <row r="23" spans="1:11">
      <c r="A23" s="110"/>
      <c r="B23" s="110"/>
      <c r="C23" s="110"/>
    </row>
    <row r="24" spans="1:11">
      <c r="A24" s="110"/>
      <c r="B24" s="110"/>
      <c r="C24" s="110"/>
    </row>
    <row r="25" spans="1:11">
      <c r="A25" s="110"/>
      <c r="B25" s="110"/>
      <c r="C25" s="110"/>
    </row>
    <row r="26" spans="1:11">
      <c r="A26" s="110"/>
      <c r="B26" s="110"/>
      <c r="C26" s="110"/>
    </row>
    <row r="27" spans="1:11">
      <c r="G27" s="110"/>
      <c r="H27" s="110"/>
      <c r="I27" s="110"/>
    </row>
    <row r="28" spans="1:11">
      <c r="G28" s="110"/>
      <c r="H28" s="110"/>
      <c r="I28" s="110"/>
    </row>
    <row r="29" spans="1:11">
      <c r="G29" s="110"/>
      <c r="H29" s="110"/>
      <c r="I29" s="110"/>
    </row>
    <row r="30" spans="1:11">
      <c r="G30" s="110"/>
      <c r="H30" s="110"/>
      <c r="I30" s="110"/>
    </row>
  </sheetData>
  <mergeCells count="1">
    <mergeCell ref="A1:E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N25"/>
  <sheetViews>
    <sheetView zoomScale="90" zoomScaleNormal="90" workbookViewId="0">
      <selection activeCell="F1" sqref="F1:G13"/>
    </sheetView>
  </sheetViews>
  <sheetFormatPr defaultRowHeight="15"/>
  <cols>
    <col min="6" max="6" width="11.42578125" customWidth="1"/>
    <col min="7" max="7" width="10.42578125" customWidth="1"/>
    <col min="10" max="10" width="12" customWidth="1"/>
  </cols>
  <sheetData>
    <row r="1" spans="1:10" ht="52.5" customHeight="1">
      <c r="A1" s="237" t="s">
        <v>30</v>
      </c>
      <c r="B1" s="238"/>
      <c r="C1" s="238"/>
      <c r="D1" s="238"/>
      <c r="E1" s="238"/>
      <c r="F1" s="239" t="s">
        <v>169</v>
      </c>
      <c r="G1" s="239"/>
      <c r="H1" s="19"/>
      <c r="I1" s="114" t="s">
        <v>46</v>
      </c>
      <c r="J1" s="114" t="s">
        <v>47</v>
      </c>
    </row>
    <row r="2" spans="1:10" ht="17.25">
      <c r="A2" s="15">
        <v>511.6</v>
      </c>
      <c r="B2" s="15">
        <v>977.7</v>
      </c>
      <c r="C2" s="15">
        <v>600.20000000000005</v>
      </c>
      <c r="D2" s="15">
        <v>1099.7</v>
      </c>
      <c r="E2" s="15">
        <v>803.7</v>
      </c>
      <c r="F2" s="115">
        <v>430.55</v>
      </c>
      <c r="G2" s="116">
        <f>F2+80</f>
        <v>510.55</v>
      </c>
      <c r="H2" s="14"/>
      <c r="I2" s="29">
        <v>510.55</v>
      </c>
      <c r="J2" s="30">
        <v>0</v>
      </c>
    </row>
    <row r="3" spans="1:10" ht="17.25">
      <c r="A3" s="15">
        <v>923.4</v>
      </c>
      <c r="B3" s="15">
        <v>1108.3</v>
      </c>
      <c r="C3" s="15">
        <v>906.7</v>
      </c>
      <c r="D3" s="15">
        <v>759.6</v>
      </c>
      <c r="E3" s="15">
        <v>1111.9000000000001</v>
      </c>
      <c r="F3" s="115">
        <f>G2</f>
        <v>510.55</v>
      </c>
      <c r="G3" s="116">
        <f t="shared" ref="G3:G13" si="0">F3+80</f>
        <v>590.54999999999995</v>
      </c>
      <c r="H3" s="14"/>
      <c r="I3" s="29">
        <v>590.54999999999995</v>
      </c>
      <c r="J3" s="30">
        <v>1</v>
      </c>
    </row>
    <row r="4" spans="1:10" ht="17.25">
      <c r="A4" s="15">
        <v>918.3</v>
      </c>
      <c r="B4" s="15">
        <v>1051.0999999999999</v>
      </c>
      <c r="C4" s="15">
        <v>992.5</v>
      </c>
      <c r="D4" s="15">
        <v>817.2</v>
      </c>
      <c r="E4" s="15">
        <v>665.3</v>
      </c>
      <c r="F4" s="115">
        <f t="shared" ref="F4:F13" si="1">G3</f>
        <v>590.54999999999995</v>
      </c>
      <c r="G4" s="116">
        <f t="shared" si="0"/>
        <v>670.55</v>
      </c>
      <c r="H4" s="14"/>
      <c r="I4" s="29">
        <v>670.55</v>
      </c>
      <c r="J4" s="30">
        <v>2</v>
      </c>
    </row>
    <row r="5" spans="1:10" ht="17.25">
      <c r="A5" s="15">
        <v>1143.5999999999999</v>
      </c>
      <c r="B5" s="15">
        <v>848.4</v>
      </c>
      <c r="C5" s="15">
        <v>939.8</v>
      </c>
      <c r="D5" s="15">
        <v>1163</v>
      </c>
      <c r="E5" s="15">
        <v>715.2</v>
      </c>
      <c r="F5" s="115">
        <f t="shared" si="1"/>
        <v>670.55</v>
      </c>
      <c r="G5" s="116">
        <f t="shared" si="0"/>
        <v>750.55</v>
      </c>
      <c r="H5" s="14"/>
      <c r="I5" s="29">
        <v>750.55</v>
      </c>
      <c r="J5" s="30">
        <v>5</v>
      </c>
    </row>
    <row r="6" spans="1:10" ht="17.25">
      <c r="A6" s="15">
        <v>936.1</v>
      </c>
      <c r="B6" s="15">
        <v>750.5</v>
      </c>
      <c r="C6" s="15">
        <v>991.2</v>
      </c>
      <c r="D6" s="15">
        <v>1199.5</v>
      </c>
      <c r="E6" s="15">
        <v>950.2</v>
      </c>
      <c r="F6" s="115">
        <f t="shared" si="1"/>
        <v>750.55</v>
      </c>
      <c r="G6" s="116">
        <f t="shared" si="0"/>
        <v>830.55</v>
      </c>
      <c r="H6" s="14"/>
      <c r="I6" s="29">
        <v>830.55</v>
      </c>
      <c r="J6" s="30">
        <v>8</v>
      </c>
    </row>
    <row r="7" spans="1:10" ht="17.25">
      <c r="A7" s="15">
        <v>1161.7</v>
      </c>
      <c r="B7" s="15">
        <v>1027.7</v>
      </c>
      <c r="C7" s="15">
        <v>995.1</v>
      </c>
      <c r="D7" s="15">
        <v>966.5</v>
      </c>
      <c r="E7" s="21">
        <v>1146.5</v>
      </c>
      <c r="F7" s="115">
        <f t="shared" si="1"/>
        <v>830.55</v>
      </c>
      <c r="G7" s="116">
        <f t="shared" si="0"/>
        <v>910.55</v>
      </c>
      <c r="H7" s="14"/>
      <c r="I7" s="29">
        <v>910.55</v>
      </c>
      <c r="J7" s="30">
        <v>13</v>
      </c>
    </row>
    <row r="8" spans="1:10" ht="17.25">
      <c r="A8" s="15">
        <v>848</v>
      </c>
      <c r="B8" s="15">
        <v>956.8</v>
      </c>
      <c r="C8" s="15">
        <v>1100</v>
      </c>
      <c r="D8" s="22">
        <v>955.2</v>
      </c>
      <c r="E8" s="15">
        <v>1023</v>
      </c>
      <c r="F8" s="115">
        <f t="shared" si="1"/>
        <v>910.55</v>
      </c>
      <c r="G8" s="116">
        <f t="shared" si="0"/>
        <v>990.55</v>
      </c>
      <c r="H8" s="14"/>
      <c r="I8" s="29">
        <v>990.55</v>
      </c>
      <c r="J8" s="30">
        <v>26</v>
      </c>
    </row>
    <row r="9" spans="1:10" ht="17.25">
      <c r="A9" s="15">
        <v>900.5</v>
      </c>
      <c r="B9" s="15">
        <v>982.3</v>
      </c>
      <c r="C9" s="15">
        <v>699.2</v>
      </c>
      <c r="D9" s="22">
        <v>1069.8</v>
      </c>
      <c r="E9" s="15">
        <v>1245.3</v>
      </c>
      <c r="F9" s="115">
        <f t="shared" si="1"/>
        <v>990.55</v>
      </c>
      <c r="G9" s="116">
        <f t="shared" si="0"/>
        <v>1070.55</v>
      </c>
      <c r="H9" s="14"/>
      <c r="I9" s="29">
        <v>1070.55</v>
      </c>
      <c r="J9" s="30">
        <v>20</v>
      </c>
    </row>
    <row r="10" spans="1:10" ht="17.25">
      <c r="A10" s="15">
        <v>1059.5</v>
      </c>
      <c r="B10" s="15">
        <v>1091</v>
      </c>
      <c r="C10" s="15">
        <v>850.7</v>
      </c>
      <c r="D10" s="15">
        <v>1219.3</v>
      </c>
      <c r="E10" s="24">
        <v>1012.6</v>
      </c>
      <c r="F10" s="115">
        <f t="shared" si="1"/>
        <v>1070.55</v>
      </c>
      <c r="G10" s="116">
        <f t="shared" si="0"/>
        <v>1150.55</v>
      </c>
      <c r="H10" s="14"/>
      <c r="I10" s="29">
        <v>1150.55</v>
      </c>
      <c r="J10" s="30">
        <v>12</v>
      </c>
    </row>
    <row r="11" spans="1:10" ht="17.25">
      <c r="A11" s="15">
        <v>1053.2</v>
      </c>
      <c r="B11" s="15">
        <v>939.5</v>
      </c>
      <c r="C11" s="15">
        <v>777.8</v>
      </c>
      <c r="D11" s="15">
        <v>749.6</v>
      </c>
      <c r="E11" s="15">
        <v>980.8</v>
      </c>
      <c r="F11" s="115">
        <f t="shared" si="1"/>
        <v>1150.55</v>
      </c>
      <c r="G11" s="116">
        <f t="shared" si="0"/>
        <v>1230.55</v>
      </c>
      <c r="H11" s="14"/>
      <c r="I11" s="29">
        <v>1230.55</v>
      </c>
      <c r="J11" s="30">
        <v>6</v>
      </c>
    </row>
    <row r="12" spans="1:10" ht="17.25">
      <c r="A12" s="15">
        <v>1091.3</v>
      </c>
      <c r="B12" s="15">
        <v>1016.3</v>
      </c>
      <c r="C12" s="15">
        <v>930.4</v>
      </c>
      <c r="D12" s="15">
        <v>1242.2</v>
      </c>
      <c r="E12" s="15">
        <v>1131.4000000000001</v>
      </c>
      <c r="F12" s="115">
        <f t="shared" si="1"/>
        <v>1230.55</v>
      </c>
      <c r="G12" s="116">
        <f t="shared" si="0"/>
        <v>1310.55</v>
      </c>
      <c r="H12" s="14"/>
      <c r="I12" s="29">
        <v>1310.55</v>
      </c>
      <c r="J12" s="30">
        <v>6</v>
      </c>
    </row>
    <row r="13" spans="1:10" ht="17.25">
      <c r="A13" s="15">
        <v>1314.7</v>
      </c>
      <c r="B13" s="15">
        <v>1137.2</v>
      </c>
      <c r="C13" s="15">
        <v>763.1</v>
      </c>
      <c r="D13" s="15">
        <v>1294.4000000000001</v>
      </c>
      <c r="E13" s="15">
        <v>917.3</v>
      </c>
      <c r="F13" s="115">
        <f t="shared" si="1"/>
        <v>1310.55</v>
      </c>
      <c r="G13" s="116">
        <f t="shared" si="0"/>
        <v>1390.55</v>
      </c>
      <c r="H13" s="14"/>
      <c r="I13" s="29">
        <v>1390.55</v>
      </c>
      <c r="J13" s="30">
        <v>1</v>
      </c>
    </row>
    <row r="14" spans="1:10" ht="18" thickBot="1">
      <c r="A14" s="15">
        <v>1204.0999999999999</v>
      </c>
      <c r="B14" s="15">
        <v>980.1</v>
      </c>
      <c r="C14" s="15">
        <v>922.3</v>
      </c>
      <c r="D14" s="15">
        <v>1057.7</v>
      </c>
      <c r="E14" s="15">
        <v>907.2</v>
      </c>
      <c r="F14" s="14"/>
      <c r="G14" s="14"/>
      <c r="H14" s="14"/>
      <c r="I14" s="31" t="s">
        <v>41</v>
      </c>
      <c r="J14" s="31">
        <v>0</v>
      </c>
    </row>
    <row r="15" spans="1:10" ht="17.25">
      <c r="A15" s="15">
        <v>808</v>
      </c>
      <c r="B15" s="15">
        <v>857.7</v>
      </c>
      <c r="C15" s="15">
        <v>1127.0999999999999</v>
      </c>
      <c r="D15" s="15">
        <v>934.3</v>
      </c>
      <c r="E15" s="15">
        <v>1262.3</v>
      </c>
      <c r="F15" s="14"/>
      <c r="G15" s="14"/>
      <c r="H15" s="14"/>
      <c r="I15" s="113"/>
    </row>
    <row r="16" spans="1:10" ht="17.25">
      <c r="A16" s="15">
        <v>965.4</v>
      </c>
      <c r="B16" s="15">
        <v>873.4</v>
      </c>
      <c r="C16" s="15">
        <v>955.1</v>
      </c>
      <c r="D16" s="15">
        <v>806.5</v>
      </c>
      <c r="E16" s="15">
        <v>1033</v>
      </c>
      <c r="F16" s="14"/>
      <c r="G16" s="14"/>
      <c r="H16" s="14"/>
      <c r="I16" s="113"/>
    </row>
    <row r="17" spans="1:14" ht="17.25">
      <c r="A17" s="15">
        <v>1068.3</v>
      </c>
      <c r="B17" s="15">
        <v>950.3</v>
      </c>
      <c r="C17" s="15">
        <v>930.6</v>
      </c>
      <c r="D17" s="15">
        <v>1000.1</v>
      </c>
      <c r="E17" s="15">
        <v>898.5</v>
      </c>
      <c r="F17" s="14"/>
      <c r="G17" s="14"/>
      <c r="H17" s="14"/>
      <c r="I17" s="113"/>
    </row>
    <row r="18" spans="1:14" ht="17.25">
      <c r="A18" s="15">
        <v>1293.0999999999999</v>
      </c>
      <c r="B18" s="15">
        <v>940.9</v>
      </c>
      <c r="C18" s="15">
        <v>1293.8</v>
      </c>
      <c r="D18" s="15">
        <v>1035.2</v>
      </c>
      <c r="E18" s="15">
        <v>706</v>
      </c>
      <c r="F18" s="14"/>
      <c r="G18" s="14"/>
      <c r="H18" s="14"/>
      <c r="I18" s="113"/>
      <c r="K18" s="14"/>
      <c r="L18" s="14"/>
      <c r="M18" s="14"/>
      <c r="N18" s="14"/>
    </row>
    <row r="19" spans="1:14" ht="17.25">
      <c r="A19" s="15">
        <v>880.9</v>
      </c>
      <c r="B19" s="15">
        <v>912.2</v>
      </c>
      <c r="C19" s="15">
        <v>803.5</v>
      </c>
      <c r="D19" s="15">
        <v>922.6</v>
      </c>
      <c r="E19" s="15">
        <v>846.1</v>
      </c>
      <c r="F19" s="14"/>
      <c r="G19" s="14"/>
      <c r="H19" s="14"/>
      <c r="I19" s="113"/>
      <c r="K19" s="14"/>
      <c r="L19" s="14"/>
      <c r="M19" s="14"/>
      <c r="N19" s="14"/>
    </row>
    <row r="20" spans="1:14" ht="17.25">
      <c r="A20" s="15">
        <v>1092.3</v>
      </c>
      <c r="B20" s="15">
        <v>1182</v>
      </c>
      <c r="C20" s="15">
        <v>985.2</v>
      </c>
      <c r="D20" s="15">
        <v>945.3</v>
      </c>
      <c r="E20" s="15">
        <v>835</v>
      </c>
      <c r="F20" s="14"/>
      <c r="G20" s="14"/>
      <c r="H20" s="14"/>
      <c r="I20" s="113"/>
      <c r="K20" s="14"/>
      <c r="L20" s="14"/>
      <c r="M20" s="14"/>
      <c r="N20" s="14"/>
    </row>
    <row r="21" spans="1:14" ht="17.25">
      <c r="A21" s="15">
        <v>1001.5</v>
      </c>
      <c r="B21" s="15">
        <v>1048.8</v>
      </c>
      <c r="C21" s="15">
        <v>895.1</v>
      </c>
      <c r="D21" s="15">
        <v>1067.2</v>
      </c>
      <c r="E21" s="15">
        <v>1062.8</v>
      </c>
      <c r="F21" s="14"/>
      <c r="G21" s="14"/>
      <c r="H21" s="14"/>
      <c r="I21" s="113"/>
      <c r="K21" s="14"/>
      <c r="L21" s="14"/>
      <c r="M21" s="14"/>
      <c r="N21" s="14"/>
    </row>
    <row r="22" spans="1:14">
      <c r="I22" s="113"/>
    </row>
    <row r="23" spans="1:14">
      <c r="I23" s="113"/>
    </row>
    <row r="24" spans="1:14">
      <c r="I24" s="113"/>
    </row>
    <row r="25" spans="1:14">
      <c r="I25" s="113"/>
    </row>
  </sheetData>
  <sortState ref="I2:I13">
    <sortCondition ref="I2"/>
  </sortState>
  <mergeCells count="2">
    <mergeCell ref="A1:E1"/>
    <mergeCell ref="F1:G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R22"/>
  <sheetViews>
    <sheetView zoomScale="90" zoomScaleNormal="90" workbookViewId="0">
      <selection activeCell="P16" sqref="P16"/>
    </sheetView>
  </sheetViews>
  <sheetFormatPr defaultRowHeight="15"/>
  <cols>
    <col min="8" max="8" width="11" customWidth="1"/>
    <col min="9" max="9" width="13.140625" customWidth="1"/>
    <col min="10" max="10" width="15.140625" customWidth="1"/>
    <col min="11" max="11" width="17.140625" customWidth="1"/>
    <col min="15" max="15" width="12.28515625" customWidth="1"/>
  </cols>
  <sheetData>
    <row r="1" spans="1:18" ht="51" customHeight="1">
      <c r="A1" s="240" t="s">
        <v>30</v>
      </c>
      <c r="B1" s="241"/>
      <c r="C1" s="241"/>
      <c r="D1" s="241"/>
      <c r="E1" s="241"/>
      <c r="F1" s="11"/>
      <c r="G1" s="239" t="s">
        <v>169</v>
      </c>
      <c r="H1" s="239"/>
      <c r="I1" s="12" t="s">
        <v>32</v>
      </c>
      <c r="J1" s="13" t="s">
        <v>33</v>
      </c>
      <c r="K1" s="12" t="s">
        <v>34</v>
      </c>
      <c r="L1" s="12" t="s">
        <v>35</v>
      </c>
      <c r="M1" s="12" t="s">
        <v>36</v>
      </c>
      <c r="N1" s="12"/>
      <c r="O1" s="14"/>
      <c r="P1" s="14"/>
      <c r="Q1" s="14"/>
      <c r="R1" s="14"/>
    </row>
    <row r="2" spans="1:18" ht="17.25">
      <c r="A2" s="15">
        <v>511.6</v>
      </c>
      <c r="B2" s="15">
        <v>977.7</v>
      </c>
      <c r="C2" s="15">
        <v>600.20000000000005</v>
      </c>
      <c r="D2" s="15">
        <v>1099.7</v>
      </c>
      <c r="E2" s="15">
        <v>803.7</v>
      </c>
      <c r="F2" s="14"/>
      <c r="G2" s="115">
        <v>430.55</v>
      </c>
      <c r="H2" s="116">
        <f>G2+80</f>
        <v>510.55</v>
      </c>
      <c r="I2" s="16">
        <f t="array" ref="I2:I14">FREQUENCY(A2:E21,H2:H13)</f>
        <v>0</v>
      </c>
      <c r="J2" s="14">
        <f>(G2+H2)/2</f>
        <v>470.55</v>
      </c>
      <c r="K2" s="17">
        <f>(J2-$J$8)/80</f>
        <v>-5.9999999999999991</v>
      </c>
      <c r="L2" s="17">
        <f>I2*K2</f>
        <v>0</v>
      </c>
      <c r="M2" s="17">
        <f>I2*K2*K2</f>
        <v>0</v>
      </c>
      <c r="N2" s="17"/>
      <c r="O2" s="18" t="s">
        <v>37</v>
      </c>
      <c r="P2" s="19"/>
      <c r="Q2" s="19"/>
      <c r="R2" s="14"/>
    </row>
    <row r="3" spans="1:18" ht="17.25">
      <c r="A3" s="15">
        <v>923.4</v>
      </c>
      <c r="B3" s="15">
        <v>1108.3</v>
      </c>
      <c r="C3" s="15">
        <v>906.7</v>
      </c>
      <c r="D3" s="15">
        <v>759.6</v>
      </c>
      <c r="E3" s="15">
        <v>1111.9000000000001</v>
      </c>
      <c r="F3" s="14"/>
      <c r="G3" s="115">
        <f>H2</f>
        <v>510.55</v>
      </c>
      <c r="H3" s="116">
        <f t="shared" ref="H3:H13" si="0">G3+80</f>
        <v>590.54999999999995</v>
      </c>
      <c r="I3" s="16">
        <v>1</v>
      </c>
      <c r="J3" s="14">
        <f>(G3+H3)/2</f>
        <v>550.54999999999995</v>
      </c>
      <c r="K3" s="17">
        <f t="shared" ref="K3:K14" si="1">(J3-$J$8)/80</f>
        <v>-5</v>
      </c>
      <c r="L3" s="17">
        <f t="shared" ref="L3:L14" si="2">I3*K3</f>
        <v>-5</v>
      </c>
      <c r="M3" s="17">
        <f t="shared" ref="M3:M14" si="3">I3*K3*K3</f>
        <v>25</v>
      </c>
      <c r="N3" s="17"/>
      <c r="O3" s="14"/>
      <c r="P3" s="14"/>
      <c r="Q3" s="14"/>
      <c r="R3" s="14"/>
    </row>
    <row r="4" spans="1:18" ht="17.25">
      <c r="A4" s="15">
        <v>918.3</v>
      </c>
      <c r="B4" s="15">
        <v>1051.0999999999999</v>
      </c>
      <c r="C4" s="15">
        <v>992.5</v>
      </c>
      <c r="D4" s="15">
        <v>817.2</v>
      </c>
      <c r="E4" s="15">
        <v>665.3</v>
      </c>
      <c r="F4" s="14"/>
      <c r="G4" s="115">
        <f t="shared" ref="G4:G13" si="4">H3</f>
        <v>590.54999999999995</v>
      </c>
      <c r="H4" s="116">
        <f t="shared" si="0"/>
        <v>670.55</v>
      </c>
      <c r="I4" s="16">
        <v>2</v>
      </c>
      <c r="J4" s="14">
        <f t="shared" ref="J4:J13" si="5">(G4+H4)/2</f>
        <v>630.54999999999995</v>
      </c>
      <c r="K4" s="17">
        <f t="shared" si="1"/>
        <v>-4</v>
      </c>
      <c r="L4" s="17">
        <f t="shared" si="2"/>
        <v>-8</v>
      </c>
      <c r="M4" s="17">
        <f t="shared" si="3"/>
        <v>32</v>
      </c>
      <c r="N4" s="242" t="s">
        <v>170</v>
      </c>
      <c r="O4" s="20" t="s">
        <v>38</v>
      </c>
      <c r="P4" s="20">
        <f>AVERAGE(A2:E21)</f>
        <v>978.26100000000031</v>
      </c>
      <c r="Q4" s="14"/>
      <c r="R4" s="14"/>
    </row>
    <row r="5" spans="1:18" ht="17.25">
      <c r="A5" s="15">
        <v>1143.5999999999999</v>
      </c>
      <c r="B5" s="15">
        <v>848.4</v>
      </c>
      <c r="C5" s="15">
        <v>939.8</v>
      </c>
      <c r="D5" s="15">
        <v>1163</v>
      </c>
      <c r="E5" s="15">
        <v>715.2</v>
      </c>
      <c r="F5" s="14"/>
      <c r="G5" s="115">
        <f t="shared" si="4"/>
        <v>670.55</v>
      </c>
      <c r="H5" s="116">
        <f t="shared" si="0"/>
        <v>750.55</v>
      </c>
      <c r="I5" s="16">
        <v>5</v>
      </c>
      <c r="J5" s="14">
        <f t="shared" si="5"/>
        <v>710.55</v>
      </c>
      <c r="K5" s="17">
        <f t="shared" si="1"/>
        <v>-3</v>
      </c>
      <c r="L5" s="17">
        <f t="shared" si="2"/>
        <v>-15</v>
      </c>
      <c r="M5" s="17">
        <f t="shared" si="3"/>
        <v>45</v>
      </c>
      <c r="N5" s="242"/>
      <c r="O5" s="20" t="s">
        <v>40</v>
      </c>
      <c r="P5" s="20">
        <f>STDEV(A2:E21)</f>
        <v>157.63258770336955</v>
      </c>
      <c r="Q5" s="14"/>
      <c r="R5" s="14"/>
    </row>
    <row r="6" spans="1:18" ht="19.5" customHeight="1">
      <c r="A6" s="15">
        <v>936.1</v>
      </c>
      <c r="B6" s="15">
        <v>750.5</v>
      </c>
      <c r="C6" s="15">
        <v>991.2</v>
      </c>
      <c r="D6" s="15">
        <v>1199.5</v>
      </c>
      <c r="E6" s="15">
        <v>950.2</v>
      </c>
      <c r="F6" s="14"/>
      <c r="G6" s="115">
        <f t="shared" si="4"/>
        <v>750.55</v>
      </c>
      <c r="H6" s="116">
        <f t="shared" si="0"/>
        <v>830.55</v>
      </c>
      <c r="I6" s="16">
        <v>8</v>
      </c>
      <c r="J6" s="14">
        <f t="shared" si="5"/>
        <v>790.55</v>
      </c>
      <c r="K6" s="17">
        <f t="shared" si="1"/>
        <v>-2</v>
      </c>
      <c r="L6" s="17">
        <f t="shared" si="2"/>
        <v>-16</v>
      </c>
      <c r="M6" s="17">
        <f t="shared" si="3"/>
        <v>32</v>
      </c>
      <c r="N6" s="242"/>
      <c r="O6" s="20" t="s">
        <v>39</v>
      </c>
      <c r="P6" s="20">
        <f>MEDIAN(A2:E21)</f>
        <v>972.1</v>
      </c>
      <c r="Q6" s="14"/>
      <c r="R6" s="14"/>
    </row>
    <row r="7" spans="1:18" ht="17.25">
      <c r="A7" s="15">
        <v>1161.7</v>
      </c>
      <c r="B7" s="15">
        <v>1027.7</v>
      </c>
      <c r="C7" s="15">
        <v>995.1</v>
      </c>
      <c r="D7" s="15">
        <v>966.5</v>
      </c>
      <c r="E7" s="21">
        <v>1146.5</v>
      </c>
      <c r="F7" s="14"/>
      <c r="G7" s="115">
        <f t="shared" si="4"/>
        <v>830.55</v>
      </c>
      <c r="H7" s="116">
        <f t="shared" si="0"/>
        <v>910.55</v>
      </c>
      <c r="I7" s="16">
        <v>13</v>
      </c>
      <c r="J7" s="14">
        <f t="shared" si="5"/>
        <v>870.55</v>
      </c>
      <c r="K7" s="17">
        <f t="shared" si="1"/>
        <v>-1</v>
      </c>
      <c r="L7" s="17">
        <f t="shared" si="2"/>
        <v>-13</v>
      </c>
      <c r="M7" s="17">
        <f t="shared" si="3"/>
        <v>13</v>
      </c>
      <c r="N7" s="17"/>
      <c r="Q7" s="14"/>
      <c r="R7" s="14"/>
    </row>
    <row r="8" spans="1:18" ht="17.25">
      <c r="A8" s="15">
        <v>848</v>
      </c>
      <c r="B8" s="15">
        <v>956.8</v>
      </c>
      <c r="C8" s="15">
        <v>1100</v>
      </c>
      <c r="D8" s="22">
        <v>955.2</v>
      </c>
      <c r="E8" s="15">
        <v>1023</v>
      </c>
      <c r="F8" s="23"/>
      <c r="G8" s="115">
        <f t="shared" si="4"/>
        <v>910.55</v>
      </c>
      <c r="H8" s="116">
        <f t="shared" si="0"/>
        <v>990.55</v>
      </c>
      <c r="I8" s="16">
        <v>26</v>
      </c>
      <c r="J8" s="14">
        <f t="shared" si="5"/>
        <v>950.55</v>
      </c>
      <c r="K8" s="17">
        <f t="shared" si="1"/>
        <v>0</v>
      </c>
      <c r="L8" s="17">
        <f t="shared" si="2"/>
        <v>0</v>
      </c>
      <c r="M8" s="17">
        <f t="shared" si="3"/>
        <v>0</v>
      </c>
      <c r="N8" s="17"/>
      <c r="O8" s="14"/>
      <c r="P8" s="14"/>
      <c r="Q8" s="14"/>
      <c r="R8" s="14"/>
    </row>
    <row r="9" spans="1:18" ht="17.25">
      <c r="A9" s="15">
        <v>900.5</v>
      </c>
      <c r="B9" s="15">
        <v>982.3</v>
      </c>
      <c r="C9" s="15">
        <v>699.2</v>
      </c>
      <c r="D9" s="22">
        <v>1069.8</v>
      </c>
      <c r="E9" s="15">
        <v>1245.3</v>
      </c>
      <c r="F9" s="23"/>
      <c r="G9" s="115">
        <f t="shared" si="4"/>
        <v>990.55</v>
      </c>
      <c r="H9" s="116">
        <f t="shared" si="0"/>
        <v>1070.55</v>
      </c>
      <c r="I9" s="16">
        <v>20</v>
      </c>
      <c r="J9" s="14">
        <f t="shared" si="5"/>
        <v>1030.55</v>
      </c>
      <c r="K9" s="17">
        <f t="shared" si="1"/>
        <v>1</v>
      </c>
      <c r="L9" s="17">
        <f t="shared" si="2"/>
        <v>20</v>
      </c>
      <c r="M9" s="17">
        <f t="shared" si="3"/>
        <v>20</v>
      </c>
      <c r="N9" s="17"/>
      <c r="O9" s="14"/>
      <c r="P9" s="14"/>
      <c r="Q9" s="14"/>
      <c r="R9" s="14"/>
    </row>
    <row r="10" spans="1:18" ht="17.25">
      <c r="A10" s="15">
        <v>1059.5</v>
      </c>
      <c r="B10" s="15">
        <v>1091</v>
      </c>
      <c r="C10" s="15">
        <v>850.7</v>
      </c>
      <c r="D10" s="15">
        <v>1219.3</v>
      </c>
      <c r="E10" s="24">
        <v>1012.6</v>
      </c>
      <c r="F10" s="14"/>
      <c r="G10" s="115">
        <f t="shared" si="4"/>
        <v>1070.55</v>
      </c>
      <c r="H10" s="116">
        <f t="shared" si="0"/>
        <v>1150.55</v>
      </c>
      <c r="I10" s="16">
        <v>12</v>
      </c>
      <c r="J10" s="14">
        <f t="shared" si="5"/>
        <v>1110.55</v>
      </c>
      <c r="K10" s="17">
        <f t="shared" si="1"/>
        <v>2</v>
      </c>
      <c r="L10" s="17">
        <f t="shared" si="2"/>
        <v>24</v>
      </c>
      <c r="M10" s="17">
        <f t="shared" si="3"/>
        <v>48</v>
      </c>
      <c r="N10" s="17"/>
      <c r="O10" s="14"/>
      <c r="P10" s="14"/>
      <c r="Q10" s="14"/>
      <c r="R10" s="14"/>
    </row>
    <row r="11" spans="1:18" ht="17.25">
      <c r="A11" s="15">
        <v>1053.2</v>
      </c>
      <c r="B11" s="15">
        <v>939.5</v>
      </c>
      <c r="C11" s="15">
        <v>777.8</v>
      </c>
      <c r="D11" s="15">
        <v>749.6</v>
      </c>
      <c r="E11" s="15">
        <v>980.8</v>
      </c>
      <c r="F11" s="14"/>
      <c r="G11" s="115">
        <f t="shared" si="4"/>
        <v>1150.55</v>
      </c>
      <c r="H11" s="116">
        <f t="shared" si="0"/>
        <v>1230.55</v>
      </c>
      <c r="I11" s="16">
        <v>6</v>
      </c>
      <c r="J11" s="14">
        <f t="shared" si="5"/>
        <v>1190.55</v>
      </c>
      <c r="K11" s="17">
        <f t="shared" si="1"/>
        <v>3</v>
      </c>
      <c r="L11" s="17">
        <f t="shared" si="2"/>
        <v>18</v>
      </c>
      <c r="M11" s="17">
        <f t="shared" si="3"/>
        <v>54</v>
      </c>
      <c r="N11" s="17"/>
      <c r="O11" s="14"/>
      <c r="P11" s="14"/>
      <c r="Q11" s="14"/>
      <c r="R11" s="14"/>
    </row>
    <row r="12" spans="1:18" ht="17.25">
      <c r="A12" s="15">
        <v>1091.3</v>
      </c>
      <c r="B12" s="15">
        <v>1016.3</v>
      </c>
      <c r="C12" s="15">
        <v>930.4</v>
      </c>
      <c r="D12" s="15">
        <v>1242.2</v>
      </c>
      <c r="E12" s="15">
        <v>1131.4000000000001</v>
      </c>
      <c r="F12" s="14"/>
      <c r="G12" s="115">
        <f t="shared" si="4"/>
        <v>1230.55</v>
      </c>
      <c r="H12" s="116">
        <f t="shared" si="0"/>
        <v>1310.55</v>
      </c>
      <c r="I12" s="16">
        <v>6</v>
      </c>
      <c r="J12" s="14">
        <f t="shared" si="5"/>
        <v>1270.55</v>
      </c>
      <c r="K12" s="17">
        <f t="shared" si="1"/>
        <v>4</v>
      </c>
      <c r="L12" s="17">
        <f t="shared" si="2"/>
        <v>24</v>
      </c>
      <c r="M12" s="17">
        <f t="shared" si="3"/>
        <v>96</v>
      </c>
      <c r="N12" s="17"/>
      <c r="O12" s="14"/>
      <c r="P12" s="14"/>
      <c r="Q12" s="14"/>
      <c r="R12" s="14"/>
    </row>
    <row r="13" spans="1:18" ht="17.25">
      <c r="A13" s="15">
        <v>1314.7</v>
      </c>
      <c r="B13" s="15">
        <v>1137.2</v>
      </c>
      <c r="C13" s="15">
        <v>763.1</v>
      </c>
      <c r="D13" s="15">
        <v>1294.4000000000001</v>
      </c>
      <c r="E13" s="15">
        <v>917.3</v>
      </c>
      <c r="F13" s="14"/>
      <c r="G13" s="115">
        <f t="shared" si="4"/>
        <v>1310.55</v>
      </c>
      <c r="H13" s="116">
        <f t="shared" si="0"/>
        <v>1390.55</v>
      </c>
      <c r="I13" s="16">
        <v>1</v>
      </c>
      <c r="J13" s="14">
        <f t="shared" si="5"/>
        <v>1350.55</v>
      </c>
      <c r="K13" s="17">
        <f t="shared" si="1"/>
        <v>5</v>
      </c>
      <c r="L13" s="17">
        <f t="shared" si="2"/>
        <v>5</v>
      </c>
      <c r="M13" s="17">
        <f t="shared" si="3"/>
        <v>25</v>
      </c>
      <c r="N13" s="17"/>
      <c r="O13" s="14"/>
      <c r="P13" s="14"/>
      <c r="Q13" s="14"/>
      <c r="R13" s="14"/>
    </row>
    <row r="14" spans="1:18" ht="17.25">
      <c r="A14" s="15">
        <v>1204.0999999999999</v>
      </c>
      <c r="B14" s="15">
        <v>980.1</v>
      </c>
      <c r="C14" s="15">
        <v>922.3</v>
      </c>
      <c r="D14" s="15">
        <v>1057.7</v>
      </c>
      <c r="E14" s="15">
        <v>907.2</v>
      </c>
      <c r="F14" s="14"/>
      <c r="G14" s="118" t="s">
        <v>41</v>
      </c>
      <c r="H14" s="116"/>
      <c r="I14" s="16">
        <v>0</v>
      </c>
      <c r="J14" s="14">
        <f>J13+(J13-J12)</f>
        <v>1430.55</v>
      </c>
      <c r="K14" s="17">
        <f t="shared" si="1"/>
        <v>6</v>
      </c>
      <c r="L14" s="17">
        <f t="shared" si="2"/>
        <v>0</v>
      </c>
      <c r="M14" s="17">
        <f t="shared" si="3"/>
        <v>0</v>
      </c>
      <c r="N14" s="17"/>
      <c r="O14" s="14"/>
      <c r="P14" s="14"/>
      <c r="Q14" s="14"/>
      <c r="R14" s="14"/>
    </row>
    <row r="15" spans="1:18" ht="17.25">
      <c r="A15" s="15">
        <v>808</v>
      </c>
      <c r="B15" s="15">
        <v>857.7</v>
      </c>
      <c r="C15" s="15">
        <v>1127.0999999999999</v>
      </c>
      <c r="D15" s="15">
        <v>934.3</v>
      </c>
      <c r="E15" s="15">
        <v>1262.3</v>
      </c>
      <c r="F15" s="14"/>
      <c r="G15" s="14"/>
      <c r="H15" s="14"/>
      <c r="I15" s="25">
        <f>SUM(I2:I14)</f>
        <v>100</v>
      </c>
      <c r="J15" s="14"/>
      <c r="K15" s="20"/>
      <c r="L15" s="26">
        <f>SUM(L2:L14)</f>
        <v>34</v>
      </c>
      <c r="M15" s="26">
        <f>SUM(M2:M14)</f>
        <v>390</v>
      </c>
      <c r="N15" s="26"/>
      <c r="O15" s="14"/>
      <c r="P15" s="14"/>
      <c r="Q15" s="14"/>
      <c r="R15" s="14"/>
    </row>
    <row r="16" spans="1:18" ht="17.25">
      <c r="A16" s="15">
        <v>965.4</v>
      </c>
      <c r="B16" s="15">
        <v>873.4</v>
      </c>
      <c r="C16" s="15">
        <v>955.1</v>
      </c>
      <c r="D16" s="15">
        <v>806.5</v>
      </c>
      <c r="E16" s="15">
        <v>1033</v>
      </c>
      <c r="F16" s="14"/>
      <c r="G16" s="14"/>
      <c r="H16" s="243" t="s">
        <v>171</v>
      </c>
      <c r="I16" s="117" t="s">
        <v>42</v>
      </c>
      <c r="J16" s="14"/>
      <c r="K16" s="20">
        <f>L15/I15</f>
        <v>0.34</v>
      </c>
      <c r="L16" s="19"/>
      <c r="M16" s="27"/>
      <c r="N16" s="27"/>
      <c r="O16" s="14"/>
      <c r="P16" s="14"/>
      <c r="Q16" s="14"/>
      <c r="R16" s="14"/>
    </row>
    <row r="17" spans="1:18" ht="17.25">
      <c r="A17" s="15">
        <v>1068.3</v>
      </c>
      <c r="B17" s="15">
        <v>950.3</v>
      </c>
      <c r="C17" s="15">
        <v>930.6</v>
      </c>
      <c r="D17" s="15">
        <v>1000.1</v>
      </c>
      <c r="E17" s="15">
        <v>898.5</v>
      </c>
      <c r="F17" s="14"/>
      <c r="G17" s="14"/>
      <c r="H17" s="243"/>
      <c r="I17" s="117" t="s">
        <v>43</v>
      </c>
      <c r="J17" s="19"/>
      <c r="K17" s="20">
        <f>J8+80*K16</f>
        <v>977.75</v>
      </c>
      <c r="L17" s="14"/>
      <c r="M17" s="27"/>
      <c r="N17" s="27"/>
      <c r="O17" s="14"/>
      <c r="P17" s="14"/>
      <c r="Q17" s="14"/>
      <c r="R17" s="14"/>
    </row>
    <row r="18" spans="1:18" ht="18.75">
      <c r="A18" s="15">
        <v>1293.0999999999999</v>
      </c>
      <c r="B18" s="15">
        <v>940.9</v>
      </c>
      <c r="C18" s="15">
        <v>1293.8</v>
      </c>
      <c r="D18" s="15">
        <v>1035.2</v>
      </c>
      <c r="E18" s="15">
        <v>706</v>
      </c>
      <c r="F18" s="14"/>
      <c r="G18" s="14"/>
      <c r="H18" s="243"/>
      <c r="I18" s="117" t="s">
        <v>44</v>
      </c>
      <c r="J18" s="14"/>
      <c r="K18" s="20">
        <f>(M15/I15 -K16*K16)* 80*80</f>
        <v>24220.159999999996</v>
      </c>
      <c r="L18" s="14"/>
      <c r="M18" s="27"/>
      <c r="N18" s="27"/>
      <c r="O18" s="14"/>
      <c r="P18" s="14"/>
      <c r="Q18" s="14"/>
      <c r="R18" s="14"/>
    </row>
    <row r="19" spans="1:18" ht="18.75" customHeight="1">
      <c r="A19" s="15">
        <v>880.9</v>
      </c>
      <c r="B19" s="15">
        <v>912.2</v>
      </c>
      <c r="C19" s="15">
        <v>803.5</v>
      </c>
      <c r="D19" s="15">
        <v>922.6</v>
      </c>
      <c r="E19" s="15">
        <v>846.1</v>
      </c>
      <c r="F19" s="14"/>
      <c r="G19" s="14"/>
      <c r="H19" s="243"/>
      <c r="I19" s="117" t="s">
        <v>45</v>
      </c>
      <c r="J19" s="14"/>
      <c r="K19" s="20">
        <f>SQRT(K18)</f>
        <v>155.62827506594036</v>
      </c>
      <c r="L19" s="14"/>
      <c r="M19" s="27"/>
      <c r="N19" s="27"/>
      <c r="O19" s="14"/>
      <c r="P19" s="14"/>
      <c r="Q19" s="14"/>
      <c r="R19" s="14"/>
    </row>
    <row r="20" spans="1:18" ht="17.25">
      <c r="A20" s="15">
        <v>1092.3</v>
      </c>
      <c r="B20" s="15">
        <v>1182</v>
      </c>
      <c r="C20" s="15">
        <v>985.2</v>
      </c>
      <c r="D20" s="15">
        <v>945.3</v>
      </c>
      <c r="E20" s="15">
        <v>835</v>
      </c>
      <c r="F20" s="14"/>
      <c r="G20" s="14"/>
      <c r="H20" s="14"/>
      <c r="I20" s="16"/>
      <c r="J20" s="14"/>
      <c r="K20" s="14"/>
      <c r="L20" s="14"/>
      <c r="M20" s="27"/>
      <c r="N20" s="27"/>
      <c r="O20" s="14"/>
      <c r="P20" s="14"/>
      <c r="Q20" s="14"/>
      <c r="R20" s="14"/>
    </row>
    <row r="21" spans="1:18" ht="17.25">
      <c r="A21" s="15">
        <v>1001.5</v>
      </c>
      <c r="B21" s="15">
        <v>1048.8</v>
      </c>
      <c r="C21" s="15">
        <v>895.1</v>
      </c>
      <c r="D21" s="15">
        <v>1067.2</v>
      </c>
      <c r="E21" s="15">
        <v>1062.8</v>
      </c>
      <c r="F21" s="14"/>
      <c r="I21" s="28"/>
      <c r="L21" s="14"/>
      <c r="M21" s="14"/>
      <c r="N21" s="14"/>
      <c r="O21" s="14"/>
      <c r="P21" s="14"/>
    </row>
    <row r="22" spans="1:18">
      <c r="I22" s="28"/>
    </row>
  </sheetData>
  <mergeCells count="4">
    <mergeCell ref="A1:E1"/>
    <mergeCell ref="G1:H1"/>
    <mergeCell ref="N4:N6"/>
    <mergeCell ref="H16:H19"/>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M20"/>
  <sheetViews>
    <sheetView workbookViewId="0">
      <selection activeCell="I17" sqref="I17"/>
    </sheetView>
  </sheetViews>
  <sheetFormatPr defaultRowHeight="15"/>
  <cols>
    <col min="1" max="1" width="11" customWidth="1"/>
    <col min="2" max="2" width="9.42578125" customWidth="1"/>
    <col min="3" max="3" width="7" customWidth="1"/>
    <col min="4" max="4" width="6.42578125" customWidth="1"/>
    <col min="5" max="5" width="8" customWidth="1"/>
    <col min="6" max="6" width="9.85546875" customWidth="1"/>
    <col min="7" max="7" width="11" customWidth="1"/>
    <col min="8" max="8" width="9" customWidth="1"/>
    <col min="9" max="9" width="9.7109375" customWidth="1"/>
    <col min="10" max="10" width="15.28515625" customWidth="1"/>
    <col min="11" max="11" width="14.140625" customWidth="1"/>
  </cols>
  <sheetData>
    <row r="1" spans="1:13" ht="22.5" customHeight="1">
      <c r="A1" s="3" t="s">
        <v>0</v>
      </c>
      <c r="I1" s="244" t="s">
        <v>178</v>
      </c>
      <c r="J1" s="244"/>
      <c r="K1" s="244"/>
    </row>
    <row r="2" spans="1:13" ht="57.75" customHeight="1">
      <c r="A2" s="5" t="s">
        <v>2</v>
      </c>
      <c r="B2" s="5" t="s">
        <v>179</v>
      </c>
      <c r="C2" s="6"/>
      <c r="D2" s="6"/>
      <c r="E2" s="5" t="s">
        <v>174</v>
      </c>
      <c r="F2" s="5" t="s">
        <v>7</v>
      </c>
      <c r="G2" s="5" t="s">
        <v>8</v>
      </c>
      <c r="H2" s="6"/>
      <c r="I2" s="120" t="s">
        <v>176</v>
      </c>
      <c r="J2" s="5" t="s">
        <v>177</v>
      </c>
      <c r="K2" s="121" t="s">
        <v>175</v>
      </c>
      <c r="L2" s="4"/>
      <c r="M2" s="4"/>
    </row>
    <row r="3" spans="1:13" ht="15.75">
      <c r="A3" s="125" t="s">
        <v>1</v>
      </c>
      <c r="B3" s="2">
        <v>100</v>
      </c>
      <c r="E3" s="119">
        <v>1</v>
      </c>
      <c r="F3" s="119" t="s">
        <v>9</v>
      </c>
      <c r="G3" s="119">
        <f>AVERAGE(B3,B4)</f>
        <v>150</v>
      </c>
      <c r="H3" s="119"/>
      <c r="I3" s="119">
        <v>150</v>
      </c>
      <c r="J3" s="122">
        <f t="array" ref="J3:J7">FREQUENCY(G3:G8,I3:I7)</f>
        <v>1</v>
      </c>
      <c r="K3" s="123">
        <f>J3/$J$8</f>
        <v>0.16666666666666666</v>
      </c>
    </row>
    <row r="4" spans="1:13" ht="15.75">
      <c r="A4" s="125" t="s">
        <v>3</v>
      </c>
      <c r="B4" s="2">
        <v>200</v>
      </c>
      <c r="E4" s="119">
        <v>2</v>
      </c>
      <c r="F4" s="119" t="s">
        <v>10</v>
      </c>
      <c r="G4" s="119">
        <f>AVERAGE(B3,B5)</f>
        <v>200</v>
      </c>
      <c r="H4" s="119"/>
      <c r="I4" s="119">
        <v>200</v>
      </c>
      <c r="J4" s="122">
        <v>1</v>
      </c>
      <c r="K4" s="123">
        <f>J4/$J$8</f>
        <v>0.16666666666666666</v>
      </c>
    </row>
    <row r="5" spans="1:13" ht="15.75">
      <c r="A5" s="125" t="s">
        <v>4</v>
      </c>
      <c r="B5" s="2">
        <v>300</v>
      </c>
      <c r="E5" s="119">
        <v>3</v>
      </c>
      <c r="F5" s="119" t="s">
        <v>11</v>
      </c>
      <c r="G5" s="119">
        <f>AVERAGE(B3,B6)</f>
        <v>250</v>
      </c>
      <c r="H5" s="119"/>
      <c r="I5" s="119">
        <v>250</v>
      </c>
      <c r="J5" s="122">
        <v>2</v>
      </c>
      <c r="K5" s="123">
        <f>J5/$J$8</f>
        <v>0.33333333333333331</v>
      </c>
    </row>
    <row r="6" spans="1:13" ht="15.75">
      <c r="A6" s="125" t="s">
        <v>5</v>
      </c>
      <c r="B6" s="2">
        <v>400</v>
      </c>
      <c r="E6" s="119">
        <v>4</v>
      </c>
      <c r="F6" s="119" t="s">
        <v>12</v>
      </c>
      <c r="G6" s="119">
        <f>AVERAGE(B4,B5)</f>
        <v>250</v>
      </c>
      <c r="H6" s="119"/>
      <c r="I6" s="119">
        <v>300</v>
      </c>
      <c r="J6" s="122">
        <v>1</v>
      </c>
      <c r="K6" s="123">
        <f>J6/$J$8</f>
        <v>0.16666666666666666</v>
      </c>
    </row>
    <row r="7" spans="1:13">
      <c r="E7" s="119">
        <v>5</v>
      </c>
      <c r="F7" s="119" t="s">
        <v>13</v>
      </c>
      <c r="G7" s="119">
        <f>AVERAGE(B4,B6)</f>
        <v>300</v>
      </c>
      <c r="H7" s="119"/>
      <c r="I7" s="119">
        <v>350</v>
      </c>
      <c r="J7" s="122">
        <v>1</v>
      </c>
      <c r="K7" s="123">
        <f>J7/$J$8</f>
        <v>0.16666666666666666</v>
      </c>
    </row>
    <row r="8" spans="1:13" ht="18.75">
      <c r="A8" s="248" t="s">
        <v>172</v>
      </c>
      <c r="B8" s="249"/>
      <c r="E8" s="119">
        <v>6</v>
      </c>
      <c r="F8" s="119" t="s">
        <v>14</v>
      </c>
      <c r="G8" s="122">
        <f>AVERAGE(B5,B6)</f>
        <v>350</v>
      </c>
      <c r="I8" s="75" t="s">
        <v>15</v>
      </c>
      <c r="J8" s="112">
        <f>SUM(J3:J7)</f>
        <v>6</v>
      </c>
      <c r="K8" s="112">
        <f>SUM(K3:K7)</f>
        <v>0.99999999999999989</v>
      </c>
    </row>
    <row r="9" spans="1:13" ht="18.75">
      <c r="A9" s="142" t="s">
        <v>173</v>
      </c>
      <c r="B9" s="144">
        <f>AVERAGE(B3:B6)</f>
        <v>250</v>
      </c>
      <c r="H9" s="1"/>
    </row>
    <row r="10" spans="1:13" ht="15.75">
      <c r="A10" s="143" t="s">
        <v>181</v>
      </c>
      <c r="B10" s="145">
        <f>_xlfn.STDEV.P(B3:B6)</f>
        <v>111.80339887498948</v>
      </c>
      <c r="E10" s="3" t="s">
        <v>180</v>
      </c>
      <c r="F10" s="3"/>
      <c r="G10" s="124">
        <f>AVERAGE(G3:G8)</f>
        <v>250</v>
      </c>
    </row>
    <row r="11" spans="1:13">
      <c r="E11" t="s">
        <v>16</v>
      </c>
    </row>
    <row r="12" spans="1:13" ht="18.75">
      <c r="E12" s="245" t="s">
        <v>183</v>
      </c>
      <c r="F12" s="246"/>
      <c r="G12" s="246"/>
      <c r="H12" s="246"/>
      <c r="I12" s="246"/>
      <c r="J12" s="246"/>
      <c r="K12" s="247"/>
    </row>
    <row r="13" spans="1:13" ht="28.5" customHeight="1">
      <c r="A13" s="126"/>
      <c r="C13" s="126"/>
      <c r="D13" s="126"/>
      <c r="E13" s="127" t="s">
        <v>6</v>
      </c>
      <c r="F13" s="128" t="s">
        <v>8</v>
      </c>
      <c r="G13" s="129" t="s">
        <v>184</v>
      </c>
      <c r="H13" s="130"/>
      <c r="I13" s="130"/>
      <c r="J13" s="130"/>
      <c r="K13" s="131" t="s">
        <v>182</v>
      </c>
    </row>
    <row r="14" spans="1:13">
      <c r="A14" s="126"/>
      <c r="B14" s="126"/>
      <c r="C14" s="126"/>
      <c r="D14" s="126"/>
      <c r="E14" s="132">
        <v>1</v>
      </c>
      <c r="F14" s="130">
        <v>150</v>
      </c>
      <c r="G14" s="130">
        <f>(F14-$G$10)*(F14-$G$10)</f>
        <v>10000</v>
      </c>
      <c r="H14" s="130"/>
      <c r="I14" s="133"/>
      <c r="J14" s="134">
        <f>G20/E19</f>
        <v>4166.666666666667</v>
      </c>
      <c r="K14" s="135">
        <f>_xlfn.VAR.P(F14:F19)</f>
        <v>4166.666666666667</v>
      </c>
    </row>
    <row r="15" spans="1:13">
      <c r="A15" s="126"/>
      <c r="B15" s="126"/>
      <c r="C15" s="126"/>
      <c r="D15" s="126"/>
      <c r="E15" s="132">
        <v>2</v>
      </c>
      <c r="F15" s="130">
        <v>200</v>
      </c>
      <c r="G15" s="130">
        <f t="shared" ref="G15:G19" si="0">(F15-$G$10)*(F15-$G$10)</f>
        <v>2500</v>
      </c>
      <c r="H15" s="130"/>
      <c r="I15" s="133"/>
      <c r="J15" s="134">
        <f>SQRT(J14)</f>
        <v>64.54972243679029</v>
      </c>
      <c r="K15" s="135">
        <f>_xlfn.STDEV.P(F14:F19)</f>
        <v>64.54972243679029</v>
      </c>
    </row>
    <row r="16" spans="1:13">
      <c r="A16" s="126"/>
      <c r="B16" s="126"/>
      <c r="C16" s="126"/>
      <c r="D16" s="126"/>
      <c r="E16" s="132">
        <v>3</v>
      </c>
      <c r="F16" s="130">
        <v>250</v>
      </c>
      <c r="G16" s="130">
        <f t="shared" si="0"/>
        <v>0</v>
      </c>
      <c r="H16" s="130"/>
      <c r="I16" s="136"/>
      <c r="J16" s="134"/>
      <c r="K16" s="135"/>
    </row>
    <row r="17" spans="1:11">
      <c r="A17" s="126"/>
      <c r="B17" s="126"/>
      <c r="C17" s="126"/>
      <c r="D17" s="126"/>
      <c r="E17" s="132">
        <v>4</v>
      </c>
      <c r="F17" s="130">
        <v>250</v>
      </c>
      <c r="G17" s="130">
        <f t="shared" si="0"/>
        <v>0</v>
      </c>
      <c r="H17" s="130"/>
      <c r="I17" s="137" t="s">
        <v>185</v>
      </c>
      <c r="J17" s="134">
        <f>SQRT((4-2)/(4-1))</f>
        <v>0.81649658092772603</v>
      </c>
      <c r="K17" s="135"/>
    </row>
    <row r="18" spans="1:11">
      <c r="A18" s="126"/>
      <c r="B18" s="126"/>
      <c r="C18" s="126"/>
      <c r="D18" s="126"/>
      <c r="E18" s="132">
        <v>5</v>
      </c>
      <c r="F18" s="130">
        <v>300</v>
      </c>
      <c r="G18" s="130">
        <f t="shared" si="0"/>
        <v>2500</v>
      </c>
      <c r="H18" s="130"/>
      <c r="I18" s="130"/>
      <c r="J18" s="134">
        <f>B10/SQRT(2)</f>
        <v>79.056941504209476</v>
      </c>
      <c r="K18" s="135"/>
    </row>
    <row r="19" spans="1:11">
      <c r="A19" s="126"/>
      <c r="B19" s="126"/>
      <c r="C19" s="126"/>
      <c r="D19" s="126"/>
      <c r="E19" s="132">
        <v>6</v>
      </c>
      <c r="F19" s="130">
        <v>350</v>
      </c>
      <c r="G19" s="130">
        <f t="shared" si="0"/>
        <v>10000</v>
      </c>
      <c r="H19" s="130"/>
      <c r="I19" s="130"/>
      <c r="J19" s="134">
        <f>J17*J18</f>
        <v>64.549722436790276</v>
      </c>
      <c r="K19" s="135"/>
    </row>
    <row r="20" spans="1:11">
      <c r="A20" s="126"/>
      <c r="B20" s="126"/>
      <c r="C20" s="7"/>
      <c r="E20" s="138" t="s">
        <v>17</v>
      </c>
      <c r="F20" s="139"/>
      <c r="G20" s="139">
        <f>SUM(G14:G19)</f>
        <v>25000</v>
      </c>
      <c r="H20" s="139"/>
      <c r="I20" s="139"/>
      <c r="J20" s="140"/>
      <c r="K20" s="141"/>
    </row>
  </sheetData>
  <mergeCells count="3">
    <mergeCell ref="I1:K1"/>
    <mergeCell ref="E12:K12"/>
    <mergeCell ref="A8:B8"/>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dimension ref="A1:T24"/>
  <sheetViews>
    <sheetView zoomScale="90" zoomScaleNormal="90" workbookViewId="0">
      <selection activeCell="M2" sqref="M2"/>
    </sheetView>
  </sheetViews>
  <sheetFormatPr defaultRowHeight="15"/>
  <cols>
    <col min="1" max="1" width="8.140625" customWidth="1"/>
    <col min="3" max="3" width="8.140625" customWidth="1"/>
    <col min="4" max="4" width="9.140625" customWidth="1"/>
    <col min="6" max="6" width="2.140625" customWidth="1"/>
    <col min="7" max="8" width="8.140625" customWidth="1"/>
    <col min="9" max="9" width="7.140625" customWidth="1"/>
    <col min="10" max="10" width="7.5703125" customWidth="1"/>
    <col min="11" max="11" width="7.28515625" customWidth="1"/>
    <col min="12" max="12" width="8.140625" customWidth="1"/>
    <col min="14" max="14" width="9.140625" customWidth="1"/>
    <col min="15" max="15" width="10.85546875" customWidth="1"/>
    <col min="20" max="20" width="11" customWidth="1"/>
  </cols>
  <sheetData>
    <row r="1" spans="1:15" ht="18.75">
      <c r="A1" s="236" t="s">
        <v>30</v>
      </c>
      <c r="B1" s="236"/>
      <c r="C1" s="236"/>
      <c r="D1" s="236"/>
      <c r="E1" s="236"/>
      <c r="G1" s="36" t="s">
        <v>58</v>
      </c>
      <c r="H1" s="236" t="s">
        <v>59</v>
      </c>
      <c r="I1" s="236"/>
      <c r="J1" s="236"/>
      <c r="K1" s="236"/>
      <c r="L1" s="236"/>
      <c r="M1" s="38" t="s">
        <v>46</v>
      </c>
      <c r="N1" s="38" t="s">
        <v>60</v>
      </c>
      <c r="O1" s="38" t="s">
        <v>47</v>
      </c>
    </row>
    <row r="2" spans="1:15" ht="17.25">
      <c r="A2" s="15">
        <v>511.6</v>
      </c>
      <c r="B2" s="15">
        <v>977.7</v>
      </c>
      <c r="C2" s="15">
        <v>600.20000000000005</v>
      </c>
      <c r="D2" s="15">
        <v>1099.7</v>
      </c>
      <c r="E2" s="15">
        <v>803.7</v>
      </c>
      <c r="G2" s="14">
        <v>-3</v>
      </c>
      <c r="H2" s="37">
        <f t="shared" ref="H2:H21" si="0">(A2-$O$17)/$O$18</f>
        <v>-2.9604348110947427</v>
      </c>
      <c r="I2" s="37">
        <f t="shared" ref="I2:I21" si="1">(B2-$O$17)/$O$18</f>
        <v>-3.5589087775171435E-3</v>
      </c>
      <c r="J2" s="37">
        <f t="shared" ref="J2:J21" si="2">(C2-$O$17)/$O$18</f>
        <v>-2.3983682911520132</v>
      </c>
      <c r="K2" s="37">
        <f t="shared" ref="K2:K21" si="3">(D2-$O$17)/$O$18</f>
        <v>0.7703927326786113</v>
      </c>
      <c r="L2" s="37">
        <f t="shared" ref="L2:L21" si="4">(E2-$O$17)/$O$18</f>
        <v>-1.1073915777395364</v>
      </c>
      <c r="M2" s="39">
        <v>-3</v>
      </c>
      <c r="N2" s="39">
        <v>-3.25</v>
      </c>
      <c r="O2" s="40">
        <v>1</v>
      </c>
    </row>
    <row r="3" spans="1:15" ht="17.25">
      <c r="A3" s="15">
        <v>923.4</v>
      </c>
      <c r="B3" s="15">
        <v>1108.3</v>
      </c>
      <c r="C3" s="15">
        <v>906.7</v>
      </c>
      <c r="D3" s="15">
        <v>759.6</v>
      </c>
      <c r="E3" s="15">
        <v>1111.9000000000001</v>
      </c>
      <c r="G3" s="14">
        <v>-2.5</v>
      </c>
      <c r="H3" s="37">
        <f t="shared" si="0"/>
        <v>-0.34803082788463052</v>
      </c>
      <c r="I3" s="37">
        <f t="shared" si="1"/>
        <v>0.82494997953535421</v>
      </c>
      <c r="J3" s="37">
        <f t="shared" si="2"/>
        <v>-0.45397338864132963</v>
      </c>
      <c r="K3" s="37">
        <f t="shared" si="3"/>
        <v>-1.3871560645281864</v>
      </c>
      <c r="L3" s="37">
        <f t="shared" si="4"/>
        <v>0.84778789682422451</v>
      </c>
      <c r="M3" s="39">
        <v>-2.5</v>
      </c>
      <c r="N3" s="39">
        <f>(M2+M3)/2</f>
        <v>-2.75</v>
      </c>
      <c r="O3" s="40">
        <v>1</v>
      </c>
    </row>
    <row r="4" spans="1:15" ht="17.25">
      <c r="A4" s="15">
        <v>918.3</v>
      </c>
      <c r="B4" s="15">
        <v>1051.0999999999999</v>
      </c>
      <c r="C4" s="15">
        <v>992.5</v>
      </c>
      <c r="D4" s="15">
        <v>817.2</v>
      </c>
      <c r="E4" s="15">
        <v>665.3</v>
      </c>
      <c r="G4" s="14">
        <v>-2</v>
      </c>
      <c r="H4" s="37">
        <f t="shared" si="0"/>
        <v>-0.38038454404386224</v>
      </c>
      <c r="I4" s="37">
        <f t="shared" si="1"/>
        <v>0.46208084927887405</v>
      </c>
      <c r="J4" s="37">
        <f t="shared" si="2"/>
        <v>9.033030674338996E-2</v>
      </c>
      <c r="K4" s="37">
        <f t="shared" si="3"/>
        <v>-1.0217493879062765</v>
      </c>
      <c r="L4" s="37">
        <f t="shared" si="4"/>
        <v>-1.9853826201782927</v>
      </c>
      <c r="M4" s="39">
        <v>-2</v>
      </c>
      <c r="N4" s="39">
        <f t="shared" ref="N4:N14" si="5">(M3+M4)/2</f>
        <v>-2.25</v>
      </c>
      <c r="O4" s="40">
        <v>1</v>
      </c>
    </row>
    <row r="5" spans="1:15" ht="17.25">
      <c r="A5" s="15">
        <v>1143.5999999999999</v>
      </c>
      <c r="B5" s="15">
        <v>848.4</v>
      </c>
      <c r="C5" s="15">
        <v>939.8</v>
      </c>
      <c r="D5" s="15">
        <v>1163</v>
      </c>
      <c r="E5" s="15">
        <v>715.2</v>
      </c>
      <c r="G5" s="14">
        <v>-1.5</v>
      </c>
      <c r="H5" s="37">
        <f t="shared" si="0"/>
        <v>1.0488884462845451</v>
      </c>
      <c r="I5" s="37">
        <f t="shared" si="1"/>
        <v>-0.82382077140274224</v>
      </c>
      <c r="J5" s="37">
        <f t="shared" si="2"/>
        <v>-0.24399142690200354</v>
      </c>
      <c r="K5" s="37">
        <f t="shared" si="3"/>
        <v>1.1719594450078974</v>
      </c>
      <c r="L5" s="37">
        <f t="shared" si="4"/>
        <v>-1.6688237110909083</v>
      </c>
      <c r="M5" s="39">
        <v>-1.5</v>
      </c>
      <c r="N5" s="39">
        <f t="shared" si="5"/>
        <v>-1.75</v>
      </c>
      <c r="O5" s="40">
        <v>2</v>
      </c>
    </row>
    <row r="6" spans="1:15" ht="17.25">
      <c r="A6" s="15">
        <v>936.1</v>
      </c>
      <c r="B6" s="15">
        <v>750.5</v>
      </c>
      <c r="C6" s="15">
        <v>991.2</v>
      </c>
      <c r="D6" s="15">
        <v>1199.5</v>
      </c>
      <c r="E6" s="15">
        <v>950.2</v>
      </c>
      <c r="G6" s="14">
        <v>-1</v>
      </c>
      <c r="H6" s="37">
        <f t="shared" si="0"/>
        <v>-0.26746373078222996</v>
      </c>
      <c r="I6" s="37">
        <f t="shared" si="1"/>
        <v>-1.4448852443417173</v>
      </c>
      <c r="J6" s="37">
        <f t="shared" si="2"/>
        <v>8.2083281055742974E-2</v>
      </c>
      <c r="K6" s="37">
        <f t="shared" si="3"/>
        <v>1.4035105508533785</v>
      </c>
      <c r="L6" s="37">
        <f t="shared" si="4"/>
        <v>-0.17801522140082479</v>
      </c>
      <c r="M6" s="39">
        <v>-1</v>
      </c>
      <c r="N6" s="39">
        <f t="shared" si="5"/>
        <v>-1.25</v>
      </c>
      <c r="O6" s="40">
        <v>7</v>
      </c>
    </row>
    <row r="7" spans="1:15" ht="17.25">
      <c r="A7" s="15">
        <v>1161.7</v>
      </c>
      <c r="B7" s="15">
        <v>1027.7</v>
      </c>
      <c r="C7" s="15">
        <v>995.1</v>
      </c>
      <c r="D7" s="15">
        <v>966.5</v>
      </c>
      <c r="E7" s="21">
        <v>1146.5</v>
      </c>
      <c r="G7" s="14">
        <v>-0.5</v>
      </c>
      <c r="H7" s="37">
        <f t="shared" si="0"/>
        <v>1.1637124193202504</v>
      </c>
      <c r="I7" s="37">
        <f t="shared" si="1"/>
        <v>0.31363438690122403</v>
      </c>
      <c r="J7" s="37">
        <f t="shared" si="2"/>
        <v>0.10682435811868464</v>
      </c>
      <c r="K7" s="37">
        <f t="shared" si="3"/>
        <v>-7.4610207009555451E-2</v>
      </c>
      <c r="L7" s="37">
        <f t="shared" si="4"/>
        <v>1.0672856574339129</v>
      </c>
      <c r="M7" s="39">
        <v>-0.5</v>
      </c>
      <c r="N7" s="39">
        <f t="shared" si="5"/>
        <v>-0.75</v>
      </c>
      <c r="O7" s="40">
        <v>11</v>
      </c>
    </row>
    <row r="8" spans="1:15" ht="17.25">
      <c r="A8" s="15">
        <v>848</v>
      </c>
      <c r="B8" s="15">
        <v>956.8</v>
      </c>
      <c r="C8" s="15">
        <v>1100</v>
      </c>
      <c r="D8" s="22">
        <v>955.2</v>
      </c>
      <c r="E8" s="15">
        <v>1023</v>
      </c>
      <c r="G8" s="14">
        <v>0</v>
      </c>
      <c r="H8" s="37">
        <f t="shared" si="0"/>
        <v>-0.82635831776817203</v>
      </c>
      <c r="I8" s="37">
        <f t="shared" si="1"/>
        <v>-0.13614570637123152</v>
      </c>
      <c r="J8" s="37">
        <f t="shared" si="2"/>
        <v>0.77229589245268349</v>
      </c>
      <c r="K8" s="37">
        <f t="shared" si="3"/>
        <v>-0.14629589183295066</v>
      </c>
      <c r="L8" s="37">
        <f t="shared" si="4"/>
        <v>0.28381821710742206</v>
      </c>
      <c r="M8" s="39">
        <v>0</v>
      </c>
      <c r="N8" s="39">
        <f t="shared" si="5"/>
        <v>-0.25</v>
      </c>
      <c r="O8" s="40">
        <v>27</v>
      </c>
    </row>
    <row r="9" spans="1:15" ht="17.25">
      <c r="A9" s="15">
        <v>900.5</v>
      </c>
      <c r="B9" s="15">
        <v>982.3</v>
      </c>
      <c r="C9" s="15">
        <v>699.2</v>
      </c>
      <c r="D9" s="22">
        <v>1069.8</v>
      </c>
      <c r="E9" s="15">
        <v>1245.3</v>
      </c>
      <c r="G9" s="14">
        <v>0.5</v>
      </c>
      <c r="H9" s="37">
        <f t="shared" si="0"/>
        <v>-0.4933053573054938</v>
      </c>
      <c r="I9" s="37">
        <f t="shared" si="1"/>
        <v>2.5622874424926469E-2</v>
      </c>
      <c r="J9" s="37">
        <f t="shared" si="2"/>
        <v>-1.7703255657081056</v>
      </c>
      <c r="K9" s="37">
        <f t="shared" si="3"/>
        <v>0.58071114186272355</v>
      </c>
      <c r="L9" s="37">
        <f t="shared" si="4"/>
        <v>1.6940596096951051</v>
      </c>
      <c r="M9" s="39">
        <v>0.5</v>
      </c>
      <c r="N9" s="39">
        <f t="shared" si="5"/>
        <v>0.25</v>
      </c>
      <c r="O9" s="40">
        <v>22</v>
      </c>
    </row>
    <row r="10" spans="1:15" ht="17.25">
      <c r="A10" s="15">
        <v>1059.5</v>
      </c>
      <c r="B10" s="15">
        <v>1091</v>
      </c>
      <c r="C10" s="15">
        <v>850.7</v>
      </c>
      <c r="D10" s="15">
        <v>1219.3</v>
      </c>
      <c r="E10" s="24">
        <v>1012.6</v>
      </c>
      <c r="G10" s="14">
        <v>1</v>
      </c>
      <c r="H10" s="37">
        <f t="shared" si="0"/>
        <v>0.51536932295290316</v>
      </c>
      <c r="I10" s="37">
        <f t="shared" si="1"/>
        <v>0.71520109923051012</v>
      </c>
      <c r="J10" s="37">
        <f t="shared" si="2"/>
        <v>-0.80922987980151972</v>
      </c>
      <c r="K10" s="37">
        <f t="shared" si="3"/>
        <v>1.5291190959421597</v>
      </c>
      <c r="L10" s="37">
        <f t="shared" si="4"/>
        <v>0.21784201160624406</v>
      </c>
      <c r="M10" s="39">
        <v>1</v>
      </c>
      <c r="N10" s="39">
        <f t="shared" si="5"/>
        <v>0.75</v>
      </c>
      <c r="O10" s="40">
        <v>16</v>
      </c>
    </row>
    <row r="11" spans="1:15" ht="17.25">
      <c r="A11" s="15">
        <v>1053.2</v>
      </c>
      <c r="B11" s="15">
        <v>939.5</v>
      </c>
      <c r="C11" s="15">
        <v>777.8</v>
      </c>
      <c r="D11" s="15">
        <v>749.6</v>
      </c>
      <c r="E11" s="15">
        <v>980.8</v>
      </c>
      <c r="G11" s="14">
        <v>1.5</v>
      </c>
      <c r="H11" s="37">
        <f t="shared" si="0"/>
        <v>0.47540296769738205</v>
      </c>
      <c r="I11" s="37">
        <f t="shared" si="1"/>
        <v>-0.24589458667607569</v>
      </c>
      <c r="J11" s="37">
        <f t="shared" si="2"/>
        <v>-1.2716977049011249</v>
      </c>
      <c r="K11" s="37">
        <f t="shared" si="3"/>
        <v>-1.4505947236639345</v>
      </c>
      <c r="L11" s="37">
        <f t="shared" si="4"/>
        <v>1.6107075554564233E-2</v>
      </c>
      <c r="M11" s="39">
        <v>1.5</v>
      </c>
      <c r="N11" s="39">
        <f t="shared" si="5"/>
        <v>1.25</v>
      </c>
      <c r="O11" s="40">
        <v>5</v>
      </c>
    </row>
    <row r="12" spans="1:15" ht="17.25">
      <c r="A12" s="15">
        <v>1091.3</v>
      </c>
      <c r="B12" s="15">
        <v>1016.3</v>
      </c>
      <c r="C12" s="15">
        <v>930.4</v>
      </c>
      <c r="D12" s="15">
        <v>1242.2</v>
      </c>
      <c r="E12" s="15">
        <v>1131.4000000000001</v>
      </c>
      <c r="G12" s="14">
        <v>2</v>
      </c>
      <c r="H12" s="37">
        <f t="shared" si="0"/>
        <v>0.7171042590045823</v>
      </c>
      <c r="I12" s="37">
        <f t="shared" si="1"/>
        <v>0.24131431548647048</v>
      </c>
      <c r="J12" s="37">
        <f t="shared" si="2"/>
        <v>-0.30362376648960676</v>
      </c>
      <c r="K12" s="37">
        <f t="shared" si="3"/>
        <v>1.6743936253630238</v>
      </c>
      <c r="L12" s="37">
        <f t="shared" si="4"/>
        <v>0.97149328213893349</v>
      </c>
      <c r="M12" s="39">
        <v>2</v>
      </c>
      <c r="N12" s="39">
        <f t="shared" si="5"/>
        <v>1.75</v>
      </c>
      <c r="O12" s="40">
        <v>6</v>
      </c>
    </row>
    <row r="13" spans="1:15" ht="17.25">
      <c r="A13" s="15">
        <v>1314.7</v>
      </c>
      <c r="B13" s="15">
        <v>1137.2</v>
      </c>
      <c r="C13" s="15">
        <v>763.1</v>
      </c>
      <c r="D13" s="15">
        <v>1294.4000000000001</v>
      </c>
      <c r="E13" s="15">
        <v>917.3</v>
      </c>
      <c r="G13" s="14">
        <v>2.5</v>
      </c>
      <c r="H13" s="37">
        <f t="shared" si="0"/>
        <v>2.1343239040971986</v>
      </c>
      <c r="I13" s="37">
        <f t="shared" si="1"/>
        <v>1.0082877044376672</v>
      </c>
      <c r="J13" s="37">
        <f t="shared" si="2"/>
        <v>-1.3649525338306745</v>
      </c>
      <c r="K13" s="37">
        <f t="shared" si="3"/>
        <v>2.0055434260516298</v>
      </c>
      <c r="L13" s="37">
        <f t="shared" si="4"/>
        <v>-0.38672840995743707</v>
      </c>
      <c r="M13" s="39">
        <v>2.5</v>
      </c>
      <c r="N13" s="39">
        <f t="shared" si="5"/>
        <v>2.25</v>
      </c>
      <c r="O13" s="40">
        <v>1</v>
      </c>
    </row>
    <row r="14" spans="1:15" ht="17.25">
      <c r="A14" s="15">
        <v>1204.0999999999999</v>
      </c>
      <c r="B14" s="15">
        <v>980.1</v>
      </c>
      <c r="C14" s="15">
        <v>922.3</v>
      </c>
      <c r="D14" s="15">
        <v>1057.7</v>
      </c>
      <c r="E14" s="15">
        <v>907.2</v>
      </c>
      <c r="G14" s="14">
        <v>3</v>
      </c>
      <c r="H14" s="37">
        <f t="shared" si="0"/>
        <v>1.432692334055822</v>
      </c>
      <c r="I14" s="37">
        <f t="shared" si="1"/>
        <v>1.1666369415062289E-2</v>
      </c>
      <c r="J14" s="37">
        <f t="shared" si="2"/>
        <v>-0.35500908038956297</v>
      </c>
      <c r="K14" s="37">
        <f t="shared" si="3"/>
        <v>0.50395036430846873</v>
      </c>
      <c r="L14" s="37">
        <f t="shared" si="4"/>
        <v>-0.45080145568454222</v>
      </c>
      <c r="M14" s="39">
        <v>3</v>
      </c>
      <c r="N14" s="39">
        <f t="shared" si="5"/>
        <v>2.75</v>
      </c>
      <c r="O14" s="40">
        <v>0</v>
      </c>
    </row>
    <row r="15" spans="1:15" ht="18" thickBot="1">
      <c r="A15" s="15">
        <v>808</v>
      </c>
      <c r="B15" s="15">
        <v>857.7</v>
      </c>
      <c r="C15" s="15">
        <v>1127.0999999999999</v>
      </c>
      <c r="D15" s="15">
        <v>934.3</v>
      </c>
      <c r="E15" s="15">
        <v>1262.3</v>
      </c>
      <c r="G15" s="14"/>
      <c r="H15" s="37">
        <f t="shared" si="0"/>
        <v>-1.0801129543111649</v>
      </c>
      <c r="I15" s="37">
        <f t="shared" si="1"/>
        <v>-0.76482281840649602</v>
      </c>
      <c r="J15" s="37">
        <f t="shared" si="2"/>
        <v>0.94421465871056065</v>
      </c>
      <c r="K15" s="37">
        <f t="shared" si="3"/>
        <v>-0.27888268942666505</v>
      </c>
      <c r="L15" s="37">
        <f t="shared" si="4"/>
        <v>1.8019053302258772</v>
      </c>
      <c r="M15" s="42" t="s">
        <v>41</v>
      </c>
      <c r="N15" s="41">
        <v>3.25</v>
      </c>
      <c r="O15" s="41">
        <v>0</v>
      </c>
    </row>
    <row r="16" spans="1:15" ht="17.25">
      <c r="A16" s="15">
        <v>965.4</v>
      </c>
      <c r="B16" s="15">
        <v>873.4</v>
      </c>
      <c r="C16" s="15">
        <v>955.1</v>
      </c>
      <c r="D16" s="15">
        <v>806.5</v>
      </c>
      <c r="E16" s="15">
        <v>1033</v>
      </c>
      <c r="H16" s="37">
        <f t="shared" si="0"/>
        <v>-8.1588459514487913E-2</v>
      </c>
      <c r="I16" s="37">
        <f t="shared" si="1"/>
        <v>-0.66522412356337168</v>
      </c>
      <c r="J16" s="37">
        <f t="shared" si="2"/>
        <v>-0.14693027842430831</v>
      </c>
      <c r="K16" s="37">
        <f t="shared" si="3"/>
        <v>-1.0896287531815272</v>
      </c>
      <c r="L16" s="37">
        <f t="shared" si="4"/>
        <v>0.34725687624317031</v>
      </c>
      <c r="N16" s="19" t="s">
        <v>6</v>
      </c>
    </row>
    <row r="17" spans="1:20" ht="17.25">
      <c r="A17" s="15">
        <v>1068.3</v>
      </c>
      <c r="B17" s="15">
        <v>950.3</v>
      </c>
      <c r="C17" s="15">
        <v>930.6</v>
      </c>
      <c r="D17" s="15">
        <v>1000.1</v>
      </c>
      <c r="E17" s="15">
        <v>898.5</v>
      </c>
      <c r="H17" s="37">
        <f t="shared" si="0"/>
        <v>0.5711953429923613</v>
      </c>
      <c r="I17" s="37">
        <f t="shared" si="1"/>
        <v>-0.1773808348094679</v>
      </c>
      <c r="J17" s="37">
        <f t="shared" si="2"/>
        <v>-0.30235499330689147</v>
      </c>
      <c r="K17" s="37">
        <f t="shared" si="3"/>
        <v>0.13854368768655875</v>
      </c>
      <c r="L17" s="37">
        <f t="shared" si="4"/>
        <v>-0.50599308913264351</v>
      </c>
      <c r="N17" s="35" t="s">
        <v>56</v>
      </c>
      <c r="O17" s="27">
        <f>AVERAGE(A2:E21)</f>
        <v>978.26100000000031</v>
      </c>
    </row>
    <row r="18" spans="1:20" ht="17.25">
      <c r="A18" s="15">
        <v>1293.0999999999999</v>
      </c>
      <c r="B18" s="15">
        <v>940.9</v>
      </c>
      <c r="C18" s="15">
        <v>1293.8</v>
      </c>
      <c r="D18" s="15">
        <v>1035.2</v>
      </c>
      <c r="E18" s="15">
        <v>706</v>
      </c>
      <c r="H18" s="37">
        <f t="shared" si="0"/>
        <v>1.9972964003639815</v>
      </c>
      <c r="I18" s="37">
        <f t="shared" si="1"/>
        <v>-0.23701317439707109</v>
      </c>
      <c r="J18" s="37">
        <f t="shared" si="2"/>
        <v>2.0017371065034841</v>
      </c>
      <c r="K18" s="37">
        <f t="shared" si="3"/>
        <v>0.3612133812530352</v>
      </c>
      <c r="L18" s="37">
        <f t="shared" si="4"/>
        <v>-1.727187277495797</v>
      </c>
      <c r="N18" s="35" t="s">
        <v>40</v>
      </c>
      <c r="O18" s="14">
        <f>STDEV(A2:E21)</f>
        <v>157.63258770336955</v>
      </c>
    </row>
    <row r="19" spans="1:20" ht="18.75" customHeight="1">
      <c r="A19" s="15">
        <v>880.9</v>
      </c>
      <c r="B19" s="15">
        <v>912.2</v>
      </c>
      <c r="C19" s="15">
        <v>803.5</v>
      </c>
      <c r="D19" s="15">
        <v>922.6</v>
      </c>
      <c r="E19" s="15">
        <v>846.1</v>
      </c>
      <c r="H19" s="37">
        <f t="shared" si="0"/>
        <v>-0.61764512921156056</v>
      </c>
      <c r="I19" s="37">
        <f t="shared" si="1"/>
        <v>-0.41908212611666812</v>
      </c>
      <c r="J19" s="37">
        <f t="shared" si="2"/>
        <v>-1.1086603509222517</v>
      </c>
      <c r="K19" s="37">
        <f t="shared" si="3"/>
        <v>-0.35310592061549007</v>
      </c>
      <c r="L19" s="37">
        <f t="shared" si="4"/>
        <v>-0.83841166300396408</v>
      </c>
      <c r="N19" s="19" t="s">
        <v>57</v>
      </c>
    </row>
    <row r="20" spans="1:20" ht="17.25">
      <c r="A20" s="15">
        <v>1092.3</v>
      </c>
      <c r="B20" s="15">
        <v>1182</v>
      </c>
      <c r="C20" s="15">
        <v>985.2</v>
      </c>
      <c r="D20" s="15">
        <v>945.3</v>
      </c>
      <c r="E20" s="15">
        <v>835</v>
      </c>
      <c r="H20" s="37">
        <f t="shared" si="0"/>
        <v>0.72344812491815702</v>
      </c>
      <c r="I20" s="37">
        <f t="shared" si="1"/>
        <v>1.292492897365819</v>
      </c>
      <c r="J20" s="37">
        <f t="shared" si="2"/>
        <v>4.4020085574294036E-2</v>
      </c>
      <c r="K20" s="37">
        <f t="shared" si="3"/>
        <v>-0.209100164377342</v>
      </c>
      <c r="L20" s="37">
        <f t="shared" si="4"/>
        <v>-0.90882857464464473</v>
      </c>
      <c r="N20" s="35" t="s">
        <v>56</v>
      </c>
      <c r="O20" s="27">
        <f>AVERAGE(H2:L20)</f>
        <v>-1.2293410477470989E-2</v>
      </c>
    </row>
    <row r="21" spans="1:20" ht="18.75">
      <c r="A21" s="15">
        <v>1001.5</v>
      </c>
      <c r="B21" s="15">
        <v>1048.8</v>
      </c>
      <c r="C21" s="15">
        <v>895.1</v>
      </c>
      <c r="D21" s="15">
        <v>1067.2</v>
      </c>
      <c r="E21" s="15">
        <v>1062.8</v>
      </c>
      <c r="H21" s="37">
        <f t="shared" si="0"/>
        <v>0.14742509996556338</v>
      </c>
      <c r="I21" s="37">
        <f t="shared" si="1"/>
        <v>0.44748995767765226</v>
      </c>
      <c r="J21" s="37">
        <f t="shared" si="2"/>
        <v>-0.5275622332387977</v>
      </c>
      <c r="K21" s="37">
        <f t="shared" si="3"/>
        <v>0.56421709048742963</v>
      </c>
      <c r="L21" s="37">
        <f t="shared" si="4"/>
        <v>0.53630408046769973</v>
      </c>
      <c r="N21" s="35" t="s">
        <v>40</v>
      </c>
      <c r="O21" s="14">
        <f>STDEV(H2:L21)</f>
        <v>1.0000000000000022</v>
      </c>
      <c r="R21" s="250" t="s">
        <v>190</v>
      </c>
      <c r="S21" s="250"/>
    </row>
    <row r="22" spans="1:20" ht="38.25" customHeight="1">
      <c r="Q22" s="146"/>
      <c r="R22" s="146"/>
      <c r="S22" s="148" t="s">
        <v>186</v>
      </c>
      <c r="T22" s="149" t="s">
        <v>189</v>
      </c>
    </row>
    <row r="23" spans="1:20" ht="15.75">
      <c r="Q23" s="147" t="s">
        <v>187</v>
      </c>
      <c r="R23" s="150">
        <v>-1</v>
      </c>
      <c r="S23" s="151">
        <f>_xlfn.NORM.DIST(R23,0,1,TRUE)</f>
        <v>0.15865525393145699</v>
      </c>
      <c r="T23" s="151"/>
    </row>
    <row r="24" spans="1:20" ht="15.75">
      <c r="Q24" s="147" t="s">
        <v>188</v>
      </c>
      <c r="R24" s="150">
        <v>1</v>
      </c>
      <c r="S24" s="151">
        <f>_xlfn.NORM.DIST(R24,0,1,TRUE)</f>
        <v>0.84134474606854304</v>
      </c>
      <c r="T24" s="151">
        <f>S24-S23</f>
        <v>0.68268949213708607</v>
      </c>
    </row>
  </sheetData>
  <sortState ref="N2:N14">
    <sortCondition ref="N2"/>
  </sortState>
  <mergeCells count="3">
    <mergeCell ref="A1:E1"/>
    <mergeCell ref="H1:L1"/>
    <mergeCell ref="R21:S21"/>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dimension ref="A1:I18"/>
  <sheetViews>
    <sheetView workbookViewId="0">
      <selection activeCell="F18" sqref="F18"/>
    </sheetView>
  </sheetViews>
  <sheetFormatPr defaultRowHeight="15"/>
  <cols>
    <col min="5" max="5" width="48.5703125" customWidth="1"/>
    <col min="12" max="12" width="11.5703125" bestFit="1" customWidth="1"/>
    <col min="13" max="13" width="31" customWidth="1"/>
  </cols>
  <sheetData>
    <row r="1" spans="1:9" ht="21">
      <c r="A1" s="9" t="s">
        <v>24</v>
      </c>
    </row>
    <row r="2" spans="1:9" ht="18.75">
      <c r="A2" s="8"/>
      <c r="F2" s="10" t="s">
        <v>21</v>
      </c>
      <c r="G2" s="10" t="s">
        <v>22</v>
      </c>
      <c r="H2" s="10" t="s">
        <v>25</v>
      </c>
      <c r="I2" s="10" t="s">
        <v>26</v>
      </c>
    </row>
    <row r="3" spans="1:9" ht="18.75">
      <c r="A3" s="251" t="s">
        <v>192</v>
      </c>
      <c r="B3" s="8" t="s">
        <v>23</v>
      </c>
      <c r="G3" s="8"/>
      <c r="H3" s="8">
        <v>0.99</v>
      </c>
    </row>
    <row r="4" spans="1:9" ht="18.75">
      <c r="A4" s="251"/>
      <c r="B4" s="8" t="s">
        <v>19</v>
      </c>
      <c r="C4" s="8"/>
      <c r="D4" s="8"/>
      <c r="E4" s="8"/>
      <c r="F4" s="8">
        <v>0.05</v>
      </c>
      <c r="G4" s="8"/>
      <c r="H4" s="8"/>
      <c r="I4" s="8">
        <v>0.01</v>
      </c>
    </row>
    <row r="5" spans="1:9" ht="18.75">
      <c r="A5" s="251"/>
      <c r="B5" s="8" t="s">
        <v>29</v>
      </c>
      <c r="C5" s="8"/>
      <c r="D5" s="8"/>
      <c r="E5" s="8"/>
      <c r="F5" s="8">
        <v>2</v>
      </c>
      <c r="G5" s="8"/>
      <c r="H5" s="8"/>
      <c r="I5" s="8">
        <v>2</v>
      </c>
    </row>
    <row r="6" spans="1:9" ht="18.75">
      <c r="A6" s="251"/>
      <c r="B6" s="8" t="s">
        <v>191</v>
      </c>
      <c r="C6" s="8"/>
      <c r="D6" s="8"/>
      <c r="E6" s="8"/>
      <c r="F6" s="8">
        <f>F4*F5</f>
        <v>0.1</v>
      </c>
      <c r="G6" s="8">
        <v>0.05</v>
      </c>
      <c r="H6" s="8">
        <f>(1-H3)</f>
        <v>1.0000000000000009E-2</v>
      </c>
      <c r="I6" s="8">
        <f>I4*I5</f>
        <v>0.02</v>
      </c>
    </row>
    <row r="7" spans="1:9" ht="21.75" customHeight="1">
      <c r="A7" s="251"/>
      <c r="B7" s="8" t="s">
        <v>18</v>
      </c>
      <c r="C7" s="8"/>
      <c r="D7" s="8"/>
      <c r="E7" s="8"/>
      <c r="F7" s="8">
        <v>9</v>
      </c>
      <c r="G7" s="8">
        <v>9</v>
      </c>
      <c r="H7" s="8">
        <v>9</v>
      </c>
      <c r="I7" s="8">
        <v>9</v>
      </c>
    </row>
    <row r="8" spans="1:9" ht="18.75">
      <c r="A8" s="8"/>
      <c r="C8" s="8"/>
      <c r="D8" s="8"/>
      <c r="E8" s="8"/>
    </row>
    <row r="9" spans="1:9" ht="18.75">
      <c r="A9" s="8"/>
      <c r="B9" s="1" t="s">
        <v>20</v>
      </c>
      <c r="C9" s="1"/>
      <c r="D9" s="1"/>
      <c r="E9" s="1"/>
      <c r="F9" s="1">
        <f>TINV(F6, F7)</f>
        <v>1.8331129326562374</v>
      </c>
      <c r="G9" s="1">
        <f t="shared" ref="G9:I9" si="0">TINV(G6, G7)</f>
        <v>2.2621571627982053</v>
      </c>
      <c r="H9" s="1">
        <f t="shared" si="0"/>
        <v>3.2498355415921263</v>
      </c>
      <c r="I9" s="1">
        <f t="shared" si="0"/>
        <v>2.8214379250258084</v>
      </c>
    </row>
    <row r="11" spans="1:9" ht="21">
      <c r="A11" s="9" t="s">
        <v>66</v>
      </c>
    </row>
    <row r="12" spans="1:9" ht="18.75">
      <c r="A12" s="8"/>
      <c r="F12" s="10" t="s">
        <v>21</v>
      </c>
      <c r="G12" s="10" t="s">
        <v>22</v>
      </c>
      <c r="H12" s="8"/>
    </row>
    <row r="13" spans="1:9" ht="18.75">
      <c r="A13" s="8"/>
      <c r="B13" s="8" t="s">
        <v>28</v>
      </c>
      <c r="F13" s="8">
        <v>26</v>
      </c>
      <c r="G13" s="8">
        <v>14</v>
      </c>
      <c r="H13" s="8"/>
    </row>
    <row r="14" spans="1:9" ht="18.75">
      <c r="A14" s="8"/>
      <c r="B14" s="8" t="s">
        <v>18</v>
      </c>
      <c r="F14" s="8">
        <f>F13-1</f>
        <v>25</v>
      </c>
      <c r="G14" s="8">
        <f>G13-1</f>
        <v>13</v>
      </c>
      <c r="H14" s="8"/>
    </row>
    <row r="15" spans="1:9" ht="18.75">
      <c r="A15" s="8"/>
      <c r="B15" s="8" t="s">
        <v>27</v>
      </c>
      <c r="C15" s="8"/>
      <c r="D15" s="8"/>
      <c r="E15" s="8"/>
      <c r="F15" s="8">
        <v>2.4849999999999999</v>
      </c>
      <c r="G15" s="8">
        <v>1.7709999999999999</v>
      </c>
      <c r="H15" s="8"/>
      <c r="I15" s="8"/>
    </row>
    <row r="16" spans="1:9" ht="18.75">
      <c r="A16" s="8"/>
      <c r="B16" s="8" t="s">
        <v>61</v>
      </c>
      <c r="C16" s="8"/>
      <c r="D16" s="8"/>
      <c r="E16" s="8"/>
      <c r="F16" s="8">
        <v>1</v>
      </c>
      <c r="G16" s="8">
        <v>1</v>
      </c>
      <c r="H16" s="8"/>
      <c r="I16" s="8"/>
    </row>
    <row r="17" spans="1:9" ht="18.75">
      <c r="A17" s="8"/>
      <c r="C17" s="8"/>
      <c r="D17" s="8"/>
      <c r="E17" s="8"/>
    </row>
    <row r="18" spans="1:9" ht="18.75">
      <c r="A18" s="8"/>
      <c r="B18" s="1" t="s">
        <v>67</v>
      </c>
      <c r="C18" s="1"/>
      <c r="D18" s="1"/>
      <c r="E18" s="1"/>
      <c r="F18" s="1">
        <f>TDIST(F15, F14, F16)</f>
        <v>1.0002400548908941E-2</v>
      </c>
      <c r="G18" s="1">
        <f>TDIST(G15, G14, G16)</f>
        <v>4.9994258329926287E-2</v>
      </c>
      <c r="H18" s="1"/>
      <c r="I18" s="1"/>
    </row>
  </sheetData>
  <mergeCells count="1">
    <mergeCell ref="A3:A7"/>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D19"/>
  <sheetViews>
    <sheetView workbookViewId="0">
      <selection activeCell="B19" sqref="B19"/>
    </sheetView>
  </sheetViews>
  <sheetFormatPr defaultRowHeight="15"/>
  <cols>
    <col min="1" max="1" width="68.140625" customWidth="1"/>
    <col min="2" max="2" width="16.42578125" customWidth="1"/>
    <col min="3" max="4" width="17.140625" customWidth="1"/>
  </cols>
  <sheetData>
    <row r="1" spans="1:4" ht="18.75">
      <c r="A1" s="1" t="s">
        <v>50</v>
      </c>
    </row>
    <row r="3" spans="1:4" ht="18.75">
      <c r="A3" s="8" t="s">
        <v>51</v>
      </c>
      <c r="B3" s="33">
        <v>10.63</v>
      </c>
      <c r="C3" s="33">
        <v>10.63</v>
      </c>
      <c r="D3" s="33">
        <v>10.63</v>
      </c>
    </row>
    <row r="4" spans="1:4" ht="18.75">
      <c r="A4" s="8" t="s">
        <v>52</v>
      </c>
      <c r="B4" s="33">
        <v>2.48</v>
      </c>
      <c r="C4" s="33">
        <v>2.48</v>
      </c>
      <c r="D4" s="33">
        <v>2.48</v>
      </c>
    </row>
    <row r="5" spans="1:4" ht="18.75">
      <c r="A5" s="8" t="s">
        <v>55</v>
      </c>
      <c r="B5" s="33">
        <v>12.4</v>
      </c>
      <c r="C5" s="33">
        <v>12.4</v>
      </c>
      <c r="D5" s="33">
        <v>12.4</v>
      </c>
    </row>
    <row r="6" spans="1:4" ht="18.75">
      <c r="A6" s="8" t="s">
        <v>53</v>
      </c>
      <c r="B6" s="34">
        <v>20</v>
      </c>
      <c r="C6" s="34">
        <v>20</v>
      </c>
      <c r="D6" s="34">
        <v>20</v>
      </c>
    </row>
    <row r="7" spans="1:4" ht="18.75">
      <c r="A7" s="8"/>
      <c r="B7" s="33"/>
      <c r="C7" s="33"/>
      <c r="D7" s="33"/>
    </row>
    <row r="8" spans="1:4" ht="20.25">
      <c r="A8" s="8" t="s">
        <v>62</v>
      </c>
      <c r="B8" s="43">
        <f>((B3-B5)/(B4/SQRT(B6)))</f>
        <v>-3.1918067098182474</v>
      </c>
      <c r="C8" s="43">
        <f>((C3-C5)/(C4/SQRT(C6)))</f>
        <v>-3.1918067098182474</v>
      </c>
      <c r="D8" s="43">
        <f>((D3-D5)/(D4/SQRT(D6)))</f>
        <v>-3.1918067098182474</v>
      </c>
    </row>
    <row r="9" spans="1:4" ht="18.75">
      <c r="A9" s="8"/>
      <c r="B9" s="43"/>
      <c r="C9" s="43"/>
      <c r="D9" s="43"/>
    </row>
    <row r="10" spans="1:4" ht="18.75">
      <c r="A10" s="8" t="s">
        <v>63</v>
      </c>
      <c r="B10" s="44">
        <f>2*B16</f>
        <v>0.1</v>
      </c>
      <c r="C10" s="44">
        <f>2*C16</f>
        <v>0.02</v>
      </c>
      <c r="D10" s="44">
        <f>2*D16</f>
        <v>2E-3</v>
      </c>
    </row>
    <row r="11" spans="1:4" ht="18.75">
      <c r="A11" s="8" t="s">
        <v>54</v>
      </c>
      <c r="B11" s="34">
        <v>19</v>
      </c>
      <c r="C11" s="34">
        <v>19</v>
      </c>
      <c r="D11" s="34">
        <v>19</v>
      </c>
    </row>
    <row r="12" spans="1:4" ht="18.75">
      <c r="A12" s="8"/>
      <c r="B12" s="8"/>
      <c r="C12" s="8"/>
      <c r="D12" s="8"/>
    </row>
    <row r="13" spans="1:4" ht="20.25">
      <c r="A13" s="8" t="s">
        <v>194</v>
      </c>
      <c r="B13" s="45">
        <f>-TINV(B10,B11)</f>
        <v>-1.7291328115213698</v>
      </c>
      <c r="C13" s="45">
        <f>-TINV(C10,C11)</f>
        <v>-2.5394831906239612</v>
      </c>
      <c r="D13" s="45">
        <f>-TINV(D10,D11)</f>
        <v>-3.5794001489547163</v>
      </c>
    </row>
    <row r="14" spans="1:4" ht="18.75">
      <c r="A14" s="8"/>
      <c r="B14" s="8"/>
      <c r="C14" s="8"/>
      <c r="D14" s="8"/>
    </row>
    <row r="15" spans="1:4" ht="20.25">
      <c r="A15" s="8" t="s">
        <v>195</v>
      </c>
      <c r="B15" s="3" t="str">
        <f>IF(B8 &lt; B13, "REJECT CLAIM", "ACCEPT CLAIM")</f>
        <v>REJECT CLAIM</v>
      </c>
      <c r="C15" s="3" t="str">
        <f>IF(C8 &lt; C13, "REJECT CLAIM", "ACCEPT CLAIM")</f>
        <v>REJECT CLAIM</v>
      </c>
      <c r="D15" s="3" t="str">
        <f>IF(D8 &lt; D13, "REJECT CLAIM", "ACCEPT CLAIM")</f>
        <v>ACCEPT CLAIM</v>
      </c>
    </row>
    <row r="16" spans="1:4" ht="18.75">
      <c r="A16" s="8" t="s">
        <v>196</v>
      </c>
      <c r="B16" s="8">
        <v>0.05</v>
      </c>
      <c r="C16" s="8">
        <v>0.01</v>
      </c>
      <c r="D16" s="8">
        <v>1E-3</v>
      </c>
    </row>
    <row r="17" spans="1:4" ht="18.75">
      <c r="A17" s="8"/>
      <c r="B17" s="153"/>
      <c r="C17" s="152"/>
      <c r="D17" s="152"/>
    </row>
    <row r="19" spans="1:4" ht="18.75">
      <c r="A19" s="8" t="s">
        <v>193</v>
      </c>
      <c r="B19">
        <f>TDIST(ABS(B8),B11,1)</f>
        <v>2.4007780664494741E-3</v>
      </c>
    </row>
  </sheetData>
  <pageMargins left="0.70866141732283472" right="0.70866141732283472" top="0.74803149606299213" bottom="0.74803149606299213" header="0.31496062992125984" footer="0.31496062992125984"/>
  <pageSetup paperSize="9" orientation="landscape" r:id="rId1"/>
  <legacyDrawing r:id="rId2"/>
</worksheet>
</file>

<file path=xl/worksheets/sheet8.xml><?xml version="1.0" encoding="utf-8"?>
<worksheet xmlns="http://schemas.openxmlformats.org/spreadsheetml/2006/main" xmlns:r="http://schemas.openxmlformats.org/officeDocument/2006/relationships">
  <dimension ref="A1:N16"/>
  <sheetViews>
    <sheetView workbookViewId="0">
      <selection activeCell="M15" sqref="M15"/>
    </sheetView>
  </sheetViews>
  <sheetFormatPr defaultRowHeight="15"/>
  <cols>
    <col min="5" max="5" width="10" customWidth="1"/>
    <col min="6" max="6" width="11.7109375" bestFit="1" customWidth="1"/>
    <col min="7" max="7" width="13.28515625" customWidth="1"/>
    <col min="10" max="10" width="15.28515625" customWidth="1"/>
  </cols>
  <sheetData>
    <row r="1" spans="1:14" ht="34.5" customHeight="1">
      <c r="B1" s="255" t="s">
        <v>70</v>
      </c>
      <c r="C1" s="256"/>
      <c r="D1" s="256"/>
      <c r="E1" s="256"/>
      <c r="F1" s="256"/>
      <c r="G1" s="256"/>
      <c r="H1" s="257"/>
    </row>
    <row r="2" spans="1:14" ht="18.75">
      <c r="A2" s="8"/>
      <c r="B2" s="162"/>
      <c r="C2" s="161"/>
      <c r="D2" s="161"/>
      <c r="E2" s="161"/>
      <c r="F2" s="175" t="s">
        <v>21</v>
      </c>
      <c r="G2" s="175" t="s">
        <v>22</v>
      </c>
      <c r="H2" s="176"/>
      <c r="I2" s="10"/>
    </row>
    <row r="3" spans="1:14" ht="18.75">
      <c r="A3" s="8"/>
      <c r="B3" s="163" t="s">
        <v>68</v>
      </c>
      <c r="C3" s="86"/>
      <c r="D3" s="86"/>
      <c r="E3" s="86"/>
      <c r="F3" s="86">
        <v>0.05</v>
      </c>
      <c r="G3" s="86">
        <v>0.01</v>
      </c>
      <c r="H3" s="164"/>
      <c r="I3" s="8"/>
    </row>
    <row r="4" spans="1:14" ht="18.75">
      <c r="A4" s="8"/>
      <c r="B4" s="163" t="s">
        <v>18</v>
      </c>
      <c r="C4" s="86"/>
      <c r="D4" s="86"/>
      <c r="E4" s="86"/>
      <c r="F4" s="86">
        <v>5</v>
      </c>
      <c r="G4" s="86">
        <v>5</v>
      </c>
      <c r="H4" s="164"/>
      <c r="I4" s="8"/>
    </row>
    <row r="5" spans="1:14" ht="18.75">
      <c r="A5" s="8"/>
      <c r="B5" s="162"/>
      <c r="C5" s="86"/>
      <c r="D5" s="86"/>
      <c r="E5" s="86"/>
      <c r="F5" s="161"/>
      <c r="G5" s="161"/>
      <c r="H5" s="166"/>
    </row>
    <row r="6" spans="1:14" ht="19.5" thickBot="1">
      <c r="A6" s="8"/>
      <c r="B6" s="171" t="s">
        <v>69</v>
      </c>
      <c r="C6" s="177"/>
      <c r="D6" s="177"/>
      <c r="E6" s="177"/>
      <c r="F6" s="178">
        <f>CHIINV(F3, F4)</f>
        <v>11.070497693516353</v>
      </c>
      <c r="G6" s="178">
        <f>CHIINV(G3, G4)</f>
        <v>15.086272469388991</v>
      </c>
      <c r="H6" s="179"/>
      <c r="I6" s="1"/>
    </row>
    <row r="7" spans="1:14" ht="19.5" thickBot="1">
      <c r="J7" s="166"/>
      <c r="K7" s="252" t="s">
        <v>203</v>
      </c>
      <c r="L7" s="253"/>
      <c r="M7" s="253"/>
      <c r="N7" s="254"/>
    </row>
    <row r="8" spans="1:14" ht="39" customHeight="1" thickBot="1">
      <c r="B8" s="255" t="s">
        <v>71</v>
      </c>
      <c r="C8" s="256"/>
      <c r="D8" s="256"/>
      <c r="E8" s="256"/>
      <c r="F8" s="256"/>
      <c r="G8" s="256"/>
      <c r="H8" s="257"/>
      <c r="J8" s="166"/>
      <c r="K8" s="189" t="s">
        <v>199</v>
      </c>
      <c r="L8" s="190" t="s">
        <v>200</v>
      </c>
      <c r="M8" s="190" t="s">
        <v>199</v>
      </c>
      <c r="N8" s="191" t="s">
        <v>200</v>
      </c>
    </row>
    <row r="9" spans="1:14" ht="19.5" thickBot="1">
      <c r="A9" s="8"/>
      <c r="B9" s="163" t="s">
        <v>72</v>
      </c>
      <c r="C9" s="161"/>
      <c r="D9" s="161"/>
      <c r="E9" s="161"/>
      <c r="F9" s="86">
        <v>20</v>
      </c>
      <c r="G9" s="86"/>
      <c r="H9" s="164"/>
      <c r="J9" s="174"/>
      <c r="K9" s="185">
        <v>0.05</v>
      </c>
      <c r="L9" s="186">
        <v>0.05</v>
      </c>
      <c r="M9" s="192">
        <v>2.5000000000000001E-2</v>
      </c>
      <c r="N9" s="193">
        <v>2.5000000000000001E-2</v>
      </c>
    </row>
    <row r="10" spans="1:14" ht="18.75">
      <c r="A10" s="8"/>
      <c r="B10" s="163" t="s">
        <v>18</v>
      </c>
      <c r="C10" s="161"/>
      <c r="D10" s="161"/>
      <c r="E10" s="161"/>
      <c r="F10" s="161"/>
      <c r="G10" s="86">
        <f>F9-1</f>
        <v>19</v>
      </c>
      <c r="H10" s="164"/>
      <c r="J10" s="180" t="s">
        <v>201</v>
      </c>
      <c r="K10" s="187">
        <f>1-K9</f>
        <v>0.95</v>
      </c>
      <c r="L10" s="187">
        <f>L9</f>
        <v>0.05</v>
      </c>
      <c r="M10" s="194">
        <f>1-M9</f>
        <v>0.97499999999999998</v>
      </c>
      <c r="N10" s="195">
        <f>N9</f>
        <v>2.5000000000000001E-2</v>
      </c>
    </row>
    <row r="11" spans="1:14" ht="21">
      <c r="A11" s="8"/>
      <c r="B11" s="163" t="s">
        <v>73</v>
      </c>
      <c r="C11" s="86"/>
      <c r="D11" s="86"/>
      <c r="E11" s="86"/>
      <c r="F11" s="165">
        <v>1.26E-4</v>
      </c>
      <c r="G11" s="86"/>
      <c r="H11" s="164"/>
      <c r="I11" s="8"/>
      <c r="J11" s="181" t="s">
        <v>202</v>
      </c>
      <c r="K11" s="187">
        <v>9</v>
      </c>
      <c r="L11" s="187">
        <v>9</v>
      </c>
      <c r="M11" s="187">
        <v>9</v>
      </c>
      <c r="N11" s="188">
        <v>9</v>
      </c>
    </row>
    <row r="12" spans="1:14" ht="21.75" thickBot="1">
      <c r="A12" s="8"/>
      <c r="B12" s="163" t="s">
        <v>74</v>
      </c>
      <c r="C12" s="86"/>
      <c r="D12" s="86"/>
      <c r="E12" s="86"/>
      <c r="F12" s="165">
        <v>2.0000000000000001E-4</v>
      </c>
      <c r="G12" s="86"/>
      <c r="H12" s="164"/>
      <c r="I12" s="8"/>
      <c r="J12" s="182" t="s">
        <v>198</v>
      </c>
      <c r="K12" s="183">
        <f>CHIINV(K10,K11)</f>
        <v>3.3251128430668162</v>
      </c>
      <c r="L12" s="183">
        <f>CHIINV(L10,L11)</f>
        <v>16.918977604620451</v>
      </c>
      <c r="M12" s="183">
        <f>CHIINV(M10,M11)</f>
        <v>2.7003894999803584</v>
      </c>
      <c r="N12" s="184">
        <f>CHIINV(N10,N11)</f>
        <v>19.022767798641635</v>
      </c>
    </row>
    <row r="13" spans="1:14" ht="18.75">
      <c r="A13" s="8"/>
      <c r="B13" s="162"/>
      <c r="C13" s="86"/>
      <c r="D13" s="86"/>
      <c r="E13" s="86"/>
      <c r="F13" s="161"/>
      <c r="G13" s="161"/>
      <c r="H13" s="166"/>
    </row>
    <row r="14" spans="1:14" ht="18.75">
      <c r="A14" s="8"/>
      <c r="B14" s="167" t="s">
        <v>75</v>
      </c>
      <c r="C14" s="168"/>
      <c r="D14" s="168"/>
      <c r="E14" s="168"/>
      <c r="F14" s="169">
        <f>((F9-1)*F12)/F11</f>
        <v>30.158730158730158</v>
      </c>
      <c r="G14" s="168"/>
      <c r="H14" s="170"/>
      <c r="I14" s="1"/>
    </row>
    <row r="15" spans="1:14">
      <c r="B15" s="162"/>
      <c r="C15" s="161"/>
      <c r="D15" s="161"/>
      <c r="E15" s="161"/>
      <c r="F15" s="161"/>
      <c r="G15" s="161"/>
      <c r="H15" s="166"/>
    </row>
    <row r="16" spans="1:14" ht="19.5" thickBot="1">
      <c r="B16" s="171" t="s">
        <v>76</v>
      </c>
      <c r="C16" s="172"/>
      <c r="D16" s="172"/>
      <c r="E16" s="172"/>
      <c r="F16" s="172"/>
      <c r="G16" s="173">
        <f>CHIDIST(F14,G10)</f>
        <v>4.9812769701130459E-2</v>
      </c>
      <c r="H16" s="174"/>
    </row>
  </sheetData>
  <mergeCells count="3">
    <mergeCell ref="K7:N7"/>
    <mergeCell ref="B8:H8"/>
    <mergeCell ref="B1:H1"/>
  </mergeCells>
  <pageMargins left="0.7" right="0.7" top="0.75" bottom="0.75" header="0.3" footer="0.3"/>
  <pageSetup paperSize="9" orientation="portrait" r:id="rId1"/>
  <ignoredErrors>
    <ignoredError sqref="L10" formula="1"/>
  </ignoredErrors>
  <legacyDrawing r:id="rId2"/>
</worksheet>
</file>

<file path=xl/worksheets/sheet9.xml><?xml version="1.0" encoding="utf-8"?>
<worksheet xmlns="http://schemas.openxmlformats.org/spreadsheetml/2006/main" xmlns:r="http://schemas.openxmlformats.org/officeDocument/2006/relationships">
  <dimension ref="A1:K17"/>
  <sheetViews>
    <sheetView workbookViewId="0">
      <selection activeCell="H17" sqref="H17"/>
    </sheetView>
  </sheetViews>
  <sheetFormatPr defaultRowHeight="15"/>
  <cols>
    <col min="6" max="6" width="11.7109375" bestFit="1" customWidth="1"/>
  </cols>
  <sheetData>
    <row r="1" spans="1:11" ht="21">
      <c r="A1" s="9" t="s">
        <v>77</v>
      </c>
    </row>
    <row r="2" spans="1:11" ht="18.75">
      <c r="A2" s="8"/>
      <c r="F2" s="10" t="s">
        <v>21</v>
      </c>
      <c r="G2" s="10" t="s">
        <v>22</v>
      </c>
      <c r="H2" s="10"/>
      <c r="I2" s="10"/>
    </row>
    <row r="3" spans="1:11" ht="20.25">
      <c r="A3" s="8"/>
      <c r="B3" s="8" t="s">
        <v>78</v>
      </c>
      <c r="C3" s="8"/>
      <c r="D3" s="8"/>
      <c r="E3" s="8"/>
      <c r="F3" s="8">
        <v>40</v>
      </c>
      <c r="G3" s="8">
        <v>40</v>
      </c>
      <c r="H3" s="8"/>
      <c r="I3" s="8"/>
    </row>
    <row r="4" spans="1:11" ht="20.25">
      <c r="A4" s="8"/>
      <c r="B4" s="8" t="s">
        <v>79</v>
      </c>
      <c r="C4" s="8"/>
      <c r="D4" s="8"/>
      <c r="E4" s="8"/>
      <c r="F4" s="8">
        <v>30</v>
      </c>
      <c r="G4" s="8">
        <v>30</v>
      </c>
    </row>
    <row r="5" spans="1:11" ht="18.75">
      <c r="A5" s="8"/>
      <c r="B5" s="8" t="s">
        <v>80</v>
      </c>
      <c r="C5" s="8"/>
      <c r="D5" s="8"/>
      <c r="E5" s="8"/>
      <c r="F5" s="8">
        <v>1.79</v>
      </c>
      <c r="G5" s="8">
        <v>2.2999999999999998</v>
      </c>
    </row>
    <row r="6" spans="1:11" ht="18.75">
      <c r="A6" s="8"/>
      <c r="B6" s="1" t="s">
        <v>81</v>
      </c>
      <c r="C6" s="1"/>
      <c r="D6" s="1"/>
      <c r="E6" s="1"/>
      <c r="F6" s="45">
        <f>FDIST(F5,F3,F4)</f>
        <v>5.0286589363507696E-2</v>
      </c>
      <c r="G6" s="45">
        <f>FDIST(G5,G3,G4)</f>
        <v>9.9754244336051501E-3</v>
      </c>
      <c r="H6" s="1"/>
      <c r="I6" s="1"/>
    </row>
    <row r="8" spans="1:11" ht="21">
      <c r="A8" s="9" t="s">
        <v>82</v>
      </c>
    </row>
    <row r="9" spans="1:11" ht="20.25">
      <c r="A9" s="8"/>
      <c r="B9" s="8" t="s">
        <v>83</v>
      </c>
      <c r="F9" s="8">
        <v>7</v>
      </c>
      <c r="G9" s="8"/>
      <c r="H9" s="8"/>
      <c r="K9" s="8">
        <v>7</v>
      </c>
    </row>
    <row r="10" spans="1:11" ht="20.25">
      <c r="A10" s="8"/>
      <c r="B10" s="8" t="s">
        <v>84</v>
      </c>
      <c r="F10" s="8">
        <v>13</v>
      </c>
      <c r="G10" s="8"/>
      <c r="H10" s="8"/>
      <c r="K10" s="8">
        <v>13</v>
      </c>
    </row>
    <row r="11" spans="1:11" ht="20.25">
      <c r="A11" s="8"/>
      <c r="B11" s="8" t="s">
        <v>78</v>
      </c>
      <c r="C11" s="8"/>
      <c r="D11" s="8"/>
      <c r="E11" s="8"/>
      <c r="F11" s="8">
        <f>F9-1</f>
        <v>6</v>
      </c>
      <c r="G11" s="8"/>
      <c r="H11" s="8"/>
      <c r="K11" s="8">
        <f>K9-1</f>
        <v>6</v>
      </c>
    </row>
    <row r="12" spans="1:11" ht="21" thickBot="1">
      <c r="A12" s="8"/>
      <c r="B12" s="8" t="s">
        <v>79</v>
      </c>
      <c r="C12" s="8"/>
      <c r="D12" s="8"/>
      <c r="E12" s="8"/>
      <c r="F12" s="8">
        <f>F10-1</f>
        <v>12</v>
      </c>
      <c r="G12" s="8"/>
      <c r="H12" s="8"/>
      <c r="K12" s="8">
        <f>K10-1</f>
        <v>12</v>
      </c>
    </row>
    <row r="13" spans="1:11" ht="19.5" thickBot="1">
      <c r="A13" s="8"/>
      <c r="B13" s="8" t="s">
        <v>80</v>
      </c>
      <c r="C13" s="8"/>
      <c r="D13" s="8"/>
      <c r="E13" s="8"/>
      <c r="F13" s="33">
        <v>3</v>
      </c>
      <c r="H13" s="46" t="s">
        <v>85</v>
      </c>
      <c r="I13" s="47"/>
      <c r="J13" s="48"/>
      <c r="K13" s="49">
        <f>FINV(K15,K11,K12)</f>
        <v>4.8205735018803084</v>
      </c>
    </row>
    <row r="14" spans="1:11" ht="19.5" thickBot="1">
      <c r="A14" s="8"/>
      <c r="C14" s="8"/>
      <c r="D14" s="8"/>
      <c r="E14" s="8"/>
    </row>
    <row r="15" spans="1:11" ht="19.5" thickBot="1">
      <c r="A15" s="8"/>
      <c r="B15" s="46" t="s">
        <v>197</v>
      </c>
      <c r="C15" s="47"/>
      <c r="D15" s="47"/>
      <c r="E15" s="47"/>
      <c r="F15" s="49">
        <f>FDIST(F13,F11,F12)</f>
        <v>4.980736000000003E-2</v>
      </c>
      <c r="G15" s="1"/>
      <c r="H15" s="1"/>
      <c r="I15" s="1"/>
      <c r="K15" s="8">
        <v>0.01</v>
      </c>
    </row>
    <row r="17" spans="2:7" ht="18.75">
      <c r="B17" s="1"/>
      <c r="F17" s="8">
        <f>1/FINV(1-F15,F12,F11)</f>
        <v>2.9999999999999982</v>
      </c>
      <c r="G17" s="43"/>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K21"/>
  <sheetViews>
    <sheetView zoomScale="90" zoomScaleNormal="90" workbookViewId="0">
      <selection activeCell="I9" sqref="I9"/>
    </sheetView>
  </sheetViews>
  <sheetFormatPr defaultRowHeight="15"/>
  <cols>
    <col min="1" max="1" width="35" customWidth="1"/>
    <col min="2" max="3" width="12.85546875" customWidth="1"/>
    <col min="7" max="7" width="9" customWidth="1"/>
    <col min="12" max="12" width="9.140625" customWidth="1"/>
  </cols>
  <sheetData>
    <row r="1" spans="1:11" ht="16.5" thickBot="1">
      <c r="A1" s="154" t="s">
        <v>104</v>
      </c>
      <c r="B1" s="154"/>
      <c r="C1" s="154"/>
      <c r="D1" s="154"/>
      <c r="E1" s="154"/>
      <c r="F1" s="154"/>
      <c r="G1" s="154"/>
      <c r="H1" s="154"/>
      <c r="I1" s="154"/>
      <c r="J1" s="154"/>
      <c r="K1" s="154"/>
    </row>
    <row r="2" spans="1:11" ht="16.5" thickBot="1">
      <c r="A2" s="155" t="s">
        <v>105</v>
      </c>
      <c r="B2" s="156">
        <v>9.4</v>
      </c>
      <c r="C2" s="156">
        <v>10.3</v>
      </c>
      <c r="D2" s="156">
        <v>8.4</v>
      </c>
      <c r="E2" s="156">
        <v>6.8</v>
      </c>
      <c r="F2" s="156">
        <v>7.8</v>
      </c>
      <c r="G2" s="156">
        <v>9.8000000000000007</v>
      </c>
      <c r="H2" s="156">
        <v>9.1999999999999993</v>
      </c>
      <c r="I2" s="156">
        <v>11.2</v>
      </c>
      <c r="J2" s="156">
        <v>9.4</v>
      </c>
      <c r="K2" s="156">
        <v>9</v>
      </c>
    </row>
    <row r="3" spans="1:11" ht="16.5" thickBot="1">
      <c r="A3" s="157" t="s">
        <v>106</v>
      </c>
      <c r="B3" s="158">
        <v>9.3000000000000007</v>
      </c>
      <c r="C3" s="158">
        <v>10.6</v>
      </c>
      <c r="D3" s="158">
        <v>8.8000000000000007</v>
      </c>
      <c r="E3" s="158">
        <v>7</v>
      </c>
      <c r="F3" s="158">
        <v>7.7</v>
      </c>
      <c r="G3" s="158">
        <v>10</v>
      </c>
      <c r="H3" s="158">
        <v>9.8000000000000007</v>
      </c>
      <c r="I3" s="158">
        <v>11.7</v>
      </c>
      <c r="J3" s="158">
        <v>9.6999999999999993</v>
      </c>
      <c r="K3" s="158">
        <v>9</v>
      </c>
    </row>
    <row r="4" spans="1:11" ht="18.75">
      <c r="A4" s="50"/>
      <c r="B4" s="51"/>
      <c r="C4" s="51"/>
      <c r="D4" s="51"/>
      <c r="E4" s="51"/>
      <c r="F4" s="51"/>
      <c r="G4" s="51"/>
      <c r="H4" s="51"/>
      <c r="I4" s="51"/>
      <c r="J4" s="51"/>
      <c r="K4" s="51"/>
    </row>
    <row r="5" spans="1:11" ht="36.75" customHeight="1">
      <c r="A5" s="259" t="s">
        <v>86</v>
      </c>
      <c r="B5" s="259"/>
      <c r="C5" s="259"/>
      <c r="D5" s="259"/>
      <c r="E5" s="159"/>
      <c r="F5" s="159"/>
      <c r="G5" s="159"/>
      <c r="H5" s="159"/>
      <c r="I5" s="159"/>
      <c r="J5" s="159"/>
      <c r="K5" s="159"/>
    </row>
    <row r="7" spans="1:11" ht="37.5" customHeight="1">
      <c r="A7" s="258" t="s">
        <v>87</v>
      </c>
      <c r="B7" s="258"/>
      <c r="C7" s="154"/>
      <c r="D7" s="154"/>
      <c r="F7" s="258" t="s">
        <v>88</v>
      </c>
      <c r="G7" s="258"/>
      <c r="H7" s="258"/>
      <c r="I7" s="258"/>
    </row>
    <row r="8" spans="1:11" ht="15" customHeight="1" thickBot="1">
      <c r="A8" s="8"/>
      <c r="B8" s="8"/>
      <c r="C8" s="8"/>
    </row>
    <row r="9" spans="1:11" ht="18.75">
      <c r="A9" s="52"/>
      <c r="B9" s="52" t="s">
        <v>89</v>
      </c>
      <c r="C9" s="52" t="s">
        <v>90</v>
      </c>
      <c r="F9" s="154" t="s">
        <v>91</v>
      </c>
      <c r="H9" s="8"/>
      <c r="I9" s="45">
        <f>TTEST(B2:K2,B3:K3,1,1)</f>
        <v>7.2052029947245137E-3</v>
      </c>
    </row>
    <row r="10" spans="1:11" ht="18.75">
      <c r="A10" s="53" t="s">
        <v>56</v>
      </c>
      <c r="B10" s="54">
        <v>9.1300000000000008</v>
      </c>
      <c r="C10" s="54">
        <v>9.3600000000000012</v>
      </c>
      <c r="G10" s="8"/>
      <c r="H10" s="8"/>
      <c r="I10" s="8"/>
    </row>
    <row r="11" spans="1:11" ht="18.75">
      <c r="A11" s="53" t="s">
        <v>92</v>
      </c>
      <c r="B11" s="54">
        <v>1.5556666666666388</v>
      </c>
      <c r="C11" s="54">
        <v>1.8337777777777799</v>
      </c>
      <c r="F11" s="1" t="s">
        <v>94</v>
      </c>
      <c r="H11" s="1"/>
      <c r="I11" s="43">
        <v>0.05</v>
      </c>
    </row>
    <row r="12" spans="1:11" ht="18.75">
      <c r="A12" s="53" t="s">
        <v>93</v>
      </c>
      <c r="B12" s="55">
        <v>10</v>
      </c>
      <c r="C12" s="55">
        <v>10</v>
      </c>
    </row>
    <row r="13" spans="1:11" ht="18.75">
      <c r="A13" s="53" t="s">
        <v>95</v>
      </c>
      <c r="B13" s="54">
        <v>0.98624641658129342</v>
      </c>
      <c r="C13" s="54"/>
    </row>
    <row r="14" spans="1:11" ht="18.75">
      <c r="A14" s="53" t="s">
        <v>96</v>
      </c>
      <c r="B14" s="55">
        <v>0</v>
      </c>
      <c r="C14" s="54"/>
    </row>
    <row r="15" spans="1:11" ht="18.75">
      <c r="A15" s="53" t="s">
        <v>98</v>
      </c>
      <c r="B15" s="55">
        <v>9</v>
      </c>
      <c r="C15" s="54"/>
    </row>
    <row r="16" spans="1:11" ht="18.75">
      <c r="A16" s="53" t="s">
        <v>99</v>
      </c>
      <c r="B16" s="54">
        <v>-3.0229448849344314</v>
      </c>
      <c r="C16" s="54"/>
    </row>
    <row r="17" spans="1:3" ht="18.75">
      <c r="A17" s="53" t="s">
        <v>100</v>
      </c>
      <c r="B17" s="54">
        <v>7.2052029793566131E-3</v>
      </c>
      <c r="C17" s="54"/>
    </row>
    <row r="18" spans="1:3" ht="18.75">
      <c r="A18" s="53" t="s">
        <v>101</v>
      </c>
      <c r="B18" s="54">
        <v>1.83311292255007</v>
      </c>
      <c r="C18" s="54"/>
    </row>
    <row r="19" spans="1:3" ht="18.75">
      <c r="A19" s="56" t="s">
        <v>102</v>
      </c>
      <c r="B19" s="57">
        <v>1.4410405958713226E-2</v>
      </c>
      <c r="C19" s="54"/>
    </row>
    <row r="20" spans="1:3" ht="19.5" thickBot="1">
      <c r="A20" s="58" t="s">
        <v>103</v>
      </c>
      <c r="B20" s="59">
        <v>2.2621571581735829</v>
      </c>
      <c r="C20" s="59"/>
    </row>
    <row r="21" spans="1:3" ht="18.75">
      <c r="A21" s="8"/>
      <c r="B21" s="8"/>
      <c r="C21" s="8"/>
    </row>
  </sheetData>
  <mergeCells count="3">
    <mergeCell ref="A7:B7"/>
    <mergeCell ref="A5:D5"/>
    <mergeCell ref="F7:I7"/>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J16"/>
  <sheetViews>
    <sheetView workbookViewId="0">
      <selection activeCell="C13" sqref="C13"/>
    </sheetView>
  </sheetViews>
  <sheetFormatPr defaultRowHeight="15"/>
  <cols>
    <col min="1" max="1" width="11.28515625" customWidth="1"/>
    <col min="2" max="2" width="15.85546875" customWidth="1"/>
    <col min="3" max="3" width="10.5703125" customWidth="1"/>
    <col min="4" max="4" width="11.140625" customWidth="1"/>
    <col min="5" max="5" width="11.42578125" customWidth="1"/>
    <col min="6" max="6" width="14.7109375" customWidth="1"/>
  </cols>
  <sheetData>
    <row r="1" spans="1:10" ht="15.75" thickBot="1"/>
    <row r="2" spans="1:10" ht="97.5" thickBot="1">
      <c r="A2" s="60" t="s">
        <v>107</v>
      </c>
      <c r="B2" s="61" t="s">
        <v>108</v>
      </c>
      <c r="C2" s="61" t="s">
        <v>109</v>
      </c>
      <c r="D2" s="61" t="s">
        <v>110</v>
      </c>
      <c r="E2" s="62" t="s">
        <v>111</v>
      </c>
      <c r="F2" s="62" t="s">
        <v>112</v>
      </c>
    </row>
    <row r="3" spans="1:10" ht="18.75">
      <c r="A3" s="63" t="s">
        <v>113</v>
      </c>
      <c r="B3" s="64">
        <v>84</v>
      </c>
      <c r="C3" s="64">
        <v>9</v>
      </c>
      <c r="D3" s="65">
        <f>C3/$C$7</f>
        <v>0.5625</v>
      </c>
      <c r="E3" s="64">
        <f>$B$7*D3</f>
        <v>90</v>
      </c>
      <c r="F3" s="66">
        <f>(B3-E3)*(B3-E3)/E3</f>
        <v>0.4</v>
      </c>
    </row>
    <row r="4" spans="1:10" ht="18.75">
      <c r="A4" s="67" t="s">
        <v>114</v>
      </c>
      <c r="B4" s="68">
        <v>35</v>
      </c>
      <c r="C4" s="68">
        <v>3</v>
      </c>
      <c r="D4" s="65">
        <f t="shared" ref="D4:D6" si="0">C4/$C$7</f>
        <v>0.1875</v>
      </c>
      <c r="E4" s="64">
        <f t="shared" ref="E4:E6" si="1">$B$7*D4</f>
        <v>30</v>
      </c>
      <c r="F4" s="66">
        <f t="shared" ref="F4:F6" si="2">(B4-E4)*(B4-E4)/E4</f>
        <v>0.83333333333333337</v>
      </c>
    </row>
    <row r="5" spans="1:10" ht="18.75">
      <c r="A5" s="67" t="s">
        <v>115</v>
      </c>
      <c r="B5" s="68">
        <v>28</v>
      </c>
      <c r="C5" s="68">
        <v>3</v>
      </c>
      <c r="D5" s="65">
        <f t="shared" si="0"/>
        <v>0.1875</v>
      </c>
      <c r="E5" s="64">
        <f t="shared" si="1"/>
        <v>30</v>
      </c>
      <c r="F5" s="66">
        <f t="shared" si="2"/>
        <v>0.13333333333333333</v>
      </c>
    </row>
    <row r="6" spans="1:10" ht="19.5" thickBot="1">
      <c r="A6" s="69" t="s">
        <v>116</v>
      </c>
      <c r="B6" s="70">
        <v>13</v>
      </c>
      <c r="C6" s="70">
        <v>1</v>
      </c>
      <c r="D6" s="65">
        <f t="shared" si="0"/>
        <v>6.25E-2</v>
      </c>
      <c r="E6" s="64">
        <f t="shared" si="1"/>
        <v>10</v>
      </c>
      <c r="F6" s="66">
        <f t="shared" si="2"/>
        <v>0.9</v>
      </c>
    </row>
    <row r="7" spans="1:10" ht="19.5" thickBot="1">
      <c r="A7" s="71" t="s">
        <v>15</v>
      </c>
      <c r="B7" s="72">
        <f>SUM(B3:B6)</f>
        <v>160</v>
      </c>
      <c r="C7" s="72">
        <f>SUM(C3:C6)</f>
        <v>16</v>
      </c>
      <c r="D7" s="73">
        <f>SUM(D3:D6)</f>
        <v>1</v>
      </c>
      <c r="E7" s="72">
        <f>SUM(E3:E6)</f>
        <v>160</v>
      </c>
      <c r="F7" s="74">
        <f>SUM(F3:F6)</f>
        <v>2.2666666666666666</v>
      </c>
    </row>
    <row r="8" spans="1:10" ht="18.75">
      <c r="A8" s="8"/>
      <c r="B8" s="75" t="s">
        <v>117</v>
      </c>
      <c r="C8" s="8"/>
      <c r="D8" s="8"/>
      <c r="E8" s="8"/>
      <c r="F8" s="75" t="s">
        <v>118</v>
      </c>
    </row>
    <row r="10" spans="1:10" ht="18.75">
      <c r="A10" s="1" t="s">
        <v>119</v>
      </c>
      <c r="C10" s="76">
        <v>4</v>
      </c>
    </row>
    <row r="11" spans="1:10" ht="18.75">
      <c r="A11" s="1" t="s">
        <v>120</v>
      </c>
      <c r="B11" s="1"/>
      <c r="C11" s="76">
        <f>C10-1</f>
        <v>3</v>
      </c>
    </row>
    <row r="12" spans="1:10" ht="18.75">
      <c r="A12" s="1" t="s">
        <v>94</v>
      </c>
      <c r="C12" s="43">
        <v>0.05</v>
      </c>
      <c r="E12" s="77"/>
    </row>
    <row r="13" spans="1:10" ht="18.75">
      <c r="A13" s="1" t="s">
        <v>121</v>
      </c>
      <c r="C13" s="43">
        <f>CHIINV(C12,C11)</f>
        <v>7.8147279032511792</v>
      </c>
      <c r="D13" t="s">
        <v>122</v>
      </c>
      <c r="E13" s="77"/>
    </row>
    <row r="14" spans="1:10" ht="18.75">
      <c r="A14" s="1"/>
      <c r="B14" s="1"/>
    </row>
    <row r="15" spans="1:10" ht="20.25">
      <c r="A15" s="1" t="s">
        <v>97</v>
      </c>
      <c r="C15" s="1" t="str">
        <f>IF(F7 &gt;= C13,"Reject Ho", "Do not Reject Ho")</f>
        <v>Do not Reject Ho</v>
      </c>
      <c r="F15" s="1" t="s">
        <v>204</v>
      </c>
      <c r="G15" s="7"/>
      <c r="H15" s="7"/>
      <c r="I15" s="7"/>
      <c r="J15" s="7"/>
    </row>
    <row r="16" spans="1:10" ht="18.75">
      <c r="A16" s="1"/>
      <c r="C16" s="4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24"/>
  <sheetViews>
    <sheetView zoomScale="90" zoomScaleNormal="90" workbookViewId="0">
      <selection activeCell="N17" sqref="N17"/>
    </sheetView>
  </sheetViews>
  <sheetFormatPr defaultRowHeight="15"/>
  <cols>
    <col min="1" max="1" width="30.28515625" customWidth="1"/>
    <col min="2" max="2" width="12.28515625" customWidth="1"/>
    <col min="3" max="3" width="14.42578125" customWidth="1"/>
    <col min="4" max="4" width="11.42578125" customWidth="1"/>
    <col min="5" max="5" width="13" customWidth="1"/>
    <col min="6" max="6" width="12.7109375" customWidth="1"/>
    <col min="7" max="7" width="11.5703125" customWidth="1"/>
    <col min="8" max="8" width="12.85546875" customWidth="1"/>
    <col min="9" max="9" width="16.28515625" customWidth="1"/>
    <col min="10" max="10" width="11.7109375" customWidth="1"/>
    <col min="11" max="11" width="18.7109375" customWidth="1"/>
    <col min="12" max="12" width="12.7109375" customWidth="1"/>
    <col min="13" max="13" width="14" customWidth="1"/>
    <col min="14" max="14" width="12" customWidth="1"/>
  </cols>
  <sheetData>
    <row r="1" spans="1:14" ht="83.25" customHeight="1">
      <c r="A1" s="78" t="s">
        <v>123</v>
      </c>
      <c r="B1" s="78" t="s">
        <v>124</v>
      </c>
      <c r="C1" s="84" t="s">
        <v>149</v>
      </c>
      <c r="D1" s="78" t="s">
        <v>141</v>
      </c>
      <c r="E1" s="196" t="s">
        <v>142</v>
      </c>
      <c r="F1" s="78" t="s">
        <v>144</v>
      </c>
      <c r="G1" s="78" t="s">
        <v>143</v>
      </c>
      <c r="H1" s="78" t="s">
        <v>214</v>
      </c>
      <c r="I1" s="78" t="s">
        <v>125</v>
      </c>
      <c r="J1" s="78" t="s">
        <v>126</v>
      </c>
      <c r="K1" s="78" t="s">
        <v>127</v>
      </c>
      <c r="L1" s="78" t="s">
        <v>128</v>
      </c>
      <c r="M1" s="78" t="s">
        <v>129</v>
      </c>
      <c r="N1" s="78" t="s">
        <v>215</v>
      </c>
    </row>
    <row r="2" spans="1:14" ht="18.75">
      <c r="A2" s="64" t="s">
        <v>130</v>
      </c>
      <c r="B2" s="160">
        <v>34</v>
      </c>
      <c r="C2" s="160">
        <v>0</v>
      </c>
      <c r="D2" s="198">
        <f>D3-1.5</f>
        <v>33.25</v>
      </c>
      <c r="E2" s="198">
        <f t="shared" ref="E2:E11" si="0">(D2-$C$13)/$C$14</f>
        <v>-4.5</v>
      </c>
      <c r="F2" s="200">
        <f>E2*C2</f>
        <v>0</v>
      </c>
      <c r="G2" s="200">
        <f>F2*E2</f>
        <v>0</v>
      </c>
      <c r="H2" s="160">
        <f t="shared" ref="H2:H10" si="1">(B2-$B$19)/$C$19</f>
        <v>-2.4</v>
      </c>
      <c r="I2" s="201">
        <f>NORMSDIST(H2)</f>
        <v>8.1975359245961311E-3</v>
      </c>
      <c r="J2" s="201">
        <f>I2</f>
        <v>8.1975359245961311E-3</v>
      </c>
      <c r="K2" s="202">
        <f>$C$12*J2</f>
        <v>1.6395071849192262</v>
      </c>
      <c r="L2" s="203"/>
      <c r="M2" s="204"/>
      <c r="N2" s="216">
        <f t="shared" ref="N2:N11" si="2">ROUND(K2,0)</f>
        <v>2</v>
      </c>
    </row>
    <row r="3" spans="1:14" ht="18.75">
      <c r="A3" s="68" t="s">
        <v>131</v>
      </c>
      <c r="B3" s="199">
        <v>35.5</v>
      </c>
      <c r="C3" s="199">
        <v>13</v>
      </c>
      <c r="D3" s="205">
        <f t="shared" ref="D3:D10" si="3">(B3+B2)/2</f>
        <v>34.75</v>
      </c>
      <c r="E3" s="198">
        <f t="shared" si="0"/>
        <v>-3.5</v>
      </c>
      <c r="F3" s="200">
        <f t="shared" ref="F3:F11" si="4">E3*C3</f>
        <v>-45.5</v>
      </c>
      <c r="G3" s="200">
        <f t="shared" ref="G3:G11" si="5">F3*E3</f>
        <v>159.25</v>
      </c>
      <c r="H3" s="160">
        <f t="shared" si="1"/>
        <v>-1.8</v>
      </c>
      <c r="I3" s="206">
        <f t="shared" ref="I3:I9" si="6">NORMSDIST(H3)</f>
        <v>3.5930319112925789E-2</v>
      </c>
      <c r="J3" s="206">
        <f t="shared" ref="J3:J11" si="7">I3-I2</f>
        <v>2.7732783188329658E-2</v>
      </c>
      <c r="K3" s="207">
        <f t="shared" ref="K3:K12" si="8">$C$12*J3</f>
        <v>5.5465566376659314</v>
      </c>
      <c r="L3" s="202">
        <f>K2+K3</f>
        <v>7.1860638225851581</v>
      </c>
      <c r="M3" s="201">
        <f t="shared" ref="M3:M10" si="9">(C3-L3)*(C3-L3)/L3</f>
        <v>4.7038065218425826</v>
      </c>
      <c r="N3" s="217">
        <f t="shared" si="2"/>
        <v>6</v>
      </c>
    </row>
    <row r="4" spans="1:14" ht="18.75">
      <c r="A4" s="68" t="s">
        <v>132</v>
      </c>
      <c r="B4" s="199">
        <v>37</v>
      </c>
      <c r="C4" s="199">
        <v>20</v>
      </c>
      <c r="D4" s="199">
        <f t="shared" si="3"/>
        <v>36.25</v>
      </c>
      <c r="E4" s="198">
        <f t="shared" si="0"/>
        <v>-2.5</v>
      </c>
      <c r="F4" s="200">
        <f t="shared" si="4"/>
        <v>-50</v>
      </c>
      <c r="G4" s="200">
        <f t="shared" si="5"/>
        <v>125</v>
      </c>
      <c r="H4" s="160">
        <f t="shared" si="1"/>
        <v>-1.2</v>
      </c>
      <c r="I4" s="206">
        <f t="shared" si="6"/>
        <v>0.11506967022170828</v>
      </c>
      <c r="J4" s="206">
        <f t="shared" si="7"/>
        <v>7.913935110878248E-2</v>
      </c>
      <c r="K4" s="206">
        <f t="shared" si="8"/>
        <v>15.827870221756497</v>
      </c>
      <c r="L4" s="201">
        <f>K4</f>
        <v>15.827870221756497</v>
      </c>
      <c r="M4" s="201">
        <f t="shared" si="9"/>
        <v>1.0997478904381919</v>
      </c>
      <c r="N4" s="217">
        <f t="shared" si="2"/>
        <v>16</v>
      </c>
    </row>
    <row r="5" spans="1:14" ht="18.75">
      <c r="A5" s="68" t="s">
        <v>133</v>
      </c>
      <c r="B5" s="199">
        <v>38.5</v>
      </c>
      <c r="C5" s="199">
        <v>35</v>
      </c>
      <c r="D5" s="199">
        <f t="shared" si="3"/>
        <v>37.75</v>
      </c>
      <c r="E5" s="198">
        <f t="shared" si="0"/>
        <v>-1.5</v>
      </c>
      <c r="F5" s="200">
        <f t="shared" si="4"/>
        <v>-52.5</v>
      </c>
      <c r="G5" s="200">
        <f t="shared" si="5"/>
        <v>78.75</v>
      </c>
      <c r="H5" s="160">
        <f t="shared" si="1"/>
        <v>-0.6</v>
      </c>
      <c r="I5" s="206">
        <f t="shared" si="6"/>
        <v>0.27425311775007355</v>
      </c>
      <c r="J5" s="206">
        <f t="shared" si="7"/>
        <v>0.15918344752836527</v>
      </c>
      <c r="K5" s="206">
        <f t="shared" si="8"/>
        <v>31.836689505673053</v>
      </c>
      <c r="L5" s="206">
        <f t="shared" ref="L5:L9" si="10">K5</f>
        <v>31.836689505673053</v>
      </c>
      <c r="M5" s="206">
        <f t="shared" si="9"/>
        <v>0.31430822233372924</v>
      </c>
      <c r="N5" s="217">
        <f t="shared" si="2"/>
        <v>32</v>
      </c>
    </row>
    <row r="6" spans="1:14" ht="18.75">
      <c r="A6" s="68" t="s">
        <v>134</v>
      </c>
      <c r="B6" s="199">
        <v>40</v>
      </c>
      <c r="C6" s="199">
        <v>43</v>
      </c>
      <c r="D6" s="199">
        <f t="shared" si="3"/>
        <v>39.25</v>
      </c>
      <c r="E6" s="198">
        <f t="shared" si="0"/>
        <v>-0.5</v>
      </c>
      <c r="F6" s="200">
        <f t="shared" si="4"/>
        <v>-21.5</v>
      </c>
      <c r="G6" s="200">
        <f t="shared" si="5"/>
        <v>10.75</v>
      </c>
      <c r="H6" s="160">
        <f t="shared" si="1"/>
        <v>0</v>
      </c>
      <c r="I6" s="206">
        <f t="shared" si="6"/>
        <v>0.5</v>
      </c>
      <c r="J6" s="206">
        <f t="shared" si="7"/>
        <v>0.22574688224992645</v>
      </c>
      <c r="K6" s="206">
        <f t="shared" si="8"/>
        <v>45.14937644998529</v>
      </c>
      <c r="L6" s="206">
        <f t="shared" si="10"/>
        <v>45.14937644998529</v>
      </c>
      <c r="M6" s="206">
        <f t="shared" si="9"/>
        <v>0.10232298842197793</v>
      </c>
      <c r="N6" s="217">
        <f t="shared" si="2"/>
        <v>45</v>
      </c>
    </row>
    <row r="7" spans="1:14" ht="18.75">
      <c r="A7" s="68" t="s">
        <v>135</v>
      </c>
      <c r="B7" s="199">
        <v>41.5</v>
      </c>
      <c r="C7" s="199">
        <v>51</v>
      </c>
      <c r="D7" s="199">
        <f t="shared" si="3"/>
        <v>40.75</v>
      </c>
      <c r="E7" s="198">
        <f t="shared" si="0"/>
        <v>0.5</v>
      </c>
      <c r="F7" s="200">
        <f t="shared" si="4"/>
        <v>25.5</v>
      </c>
      <c r="G7" s="200">
        <f t="shared" si="5"/>
        <v>12.75</v>
      </c>
      <c r="H7" s="160">
        <f t="shared" si="1"/>
        <v>0.6</v>
      </c>
      <c r="I7" s="206">
        <f t="shared" si="6"/>
        <v>0.72574688224992645</v>
      </c>
      <c r="J7" s="206">
        <f t="shared" si="7"/>
        <v>0.22574688224992645</v>
      </c>
      <c r="K7" s="206">
        <f t="shared" si="8"/>
        <v>45.14937644998529</v>
      </c>
      <c r="L7" s="206">
        <f t="shared" si="10"/>
        <v>45.14937644998529</v>
      </c>
      <c r="M7" s="206">
        <f t="shared" si="9"/>
        <v>0.75814548539568771</v>
      </c>
      <c r="N7" s="217">
        <f t="shared" si="2"/>
        <v>45</v>
      </c>
    </row>
    <row r="8" spans="1:14" ht="18.75">
      <c r="A8" s="68" t="s">
        <v>136</v>
      </c>
      <c r="B8" s="199">
        <v>43</v>
      </c>
      <c r="C8" s="199">
        <v>27</v>
      </c>
      <c r="D8" s="199">
        <f t="shared" si="3"/>
        <v>42.25</v>
      </c>
      <c r="E8" s="198">
        <f t="shared" si="0"/>
        <v>1.5</v>
      </c>
      <c r="F8" s="200">
        <f t="shared" si="4"/>
        <v>40.5</v>
      </c>
      <c r="G8" s="200">
        <f t="shared" si="5"/>
        <v>60.75</v>
      </c>
      <c r="H8" s="160">
        <f t="shared" si="1"/>
        <v>1.2</v>
      </c>
      <c r="I8" s="206">
        <f t="shared" si="6"/>
        <v>0.88493032977829178</v>
      </c>
      <c r="J8" s="206">
        <f t="shared" si="7"/>
        <v>0.15918344752836533</v>
      </c>
      <c r="K8" s="206">
        <f t="shared" si="8"/>
        <v>31.836689505673064</v>
      </c>
      <c r="L8" s="206">
        <f t="shared" si="10"/>
        <v>31.836689505673064</v>
      </c>
      <c r="M8" s="206">
        <f t="shared" si="9"/>
        <v>0.73479892971030758</v>
      </c>
      <c r="N8" s="217">
        <f t="shared" si="2"/>
        <v>32</v>
      </c>
    </row>
    <row r="9" spans="1:14" ht="18.75">
      <c r="A9" s="68" t="s">
        <v>137</v>
      </c>
      <c r="B9" s="199">
        <v>44.5</v>
      </c>
      <c r="C9" s="199">
        <v>10</v>
      </c>
      <c r="D9" s="199">
        <f t="shared" si="3"/>
        <v>43.75</v>
      </c>
      <c r="E9" s="198">
        <f t="shared" si="0"/>
        <v>2.5</v>
      </c>
      <c r="F9" s="200">
        <f t="shared" si="4"/>
        <v>25</v>
      </c>
      <c r="G9" s="200">
        <f t="shared" si="5"/>
        <v>62.5</v>
      </c>
      <c r="H9" s="160">
        <f t="shared" si="1"/>
        <v>1.8</v>
      </c>
      <c r="I9" s="206">
        <f t="shared" si="6"/>
        <v>0.96406968088707423</v>
      </c>
      <c r="J9" s="206">
        <f t="shared" si="7"/>
        <v>7.9139351108782452E-2</v>
      </c>
      <c r="K9" s="206">
        <f t="shared" si="8"/>
        <v>15.827870221756491</v>
      </c>
      <c r="L9" s="208">
        <f t="shared" si="10"/>
        <v>15.827870221756491</v>
      </c>
      <c r="M9" s="208">
        <f t="shared" si="9"/>
        <v>2.1458396389269172</v>
      </c>
      <c r="N9" s="217">
        <f t="shared" si="2"/>
        <v>16</v>
      </c>
    </row>
    <row r="10" spans="1:14" ht="18.75">
      <c r="A10" s="68" t="s">
        <v>138</v>
      </c>
      <c r="B10" s="199">
        <v>46</v>
      </c>
      <c r="C10" s="199">
        <v>1</v>
      </c>
      <c r="D10" s="205">
        <f t="shared" si="3"/>
        <v>45.25</v>
      </c>
      <c r="E10" s="198">
        <f t="shared" si="0"/>
        <v>3.5</v>
      </c>
      <c r="F10" s="200">
        <f t="shared" si="4"/>
        <v>3.5</v>
      </c>
      <c r="G10" s="200">
        <f t="shared" si="5"/>
        <v>12.25</v>
      </c>
      <c r="H10" s="160">
        <f t="shared" si="1"/>
        <v>2.4</v>
      </c>
      <c r="I10" s="206">
        <f>NORMSDIST(H10)</f>
        <v>0.99180246407540384</v>
      </c>
      <c r="J10" s="206">
        <f t="shared" si="7"/>
        <v>2.7732783188329613E-2</v>
      </c>
      <c r="K10" s="207">
        <f>$C$12*J10</f>
        <v>5.5465566376659226</v>
      </c>
      <c r="L10" s="209">
        <f>K10+K11</f>
        <v>7.1860638225851536</v>
      </c>
      <c r="M10" s="208">
        <f t="shared" si="9"/>
        <v>5.3252220634091616</v>
      </c>
      <c r="N10" s="217">
        <f t="shared" si="2"/>
        <v>6</v>
      </c>
    </row>
    <row r="11" spans="1:14" ht="18.75">
      <c r="A11" s="68" t="s">
        <v>139</v>
      </c>
      <c r="B11" s="199" t="s">
        <v>41</v>
      </c>
      <c r="C11" s="199">
        <v>0</v>
      </c>
      <c r="D11" s="205">
        <f>D10+1.5</f>
        <v>46.75</v>
      </c>
      <c r="E11" s="198">
        <f t="shared" si="0"/>
        <v>4.5</v>
      </c>
      <c r="F11" s="200">
        <f t="shared" si="4"/>
        <v>0</v>
      </c>
      <c r="G11" s="200">
        <f t="shared" si="5"/>
        <v>0</v>
      </c>
      <c r="H11" s="160" t="s">
        <v>41</v>
      </c>
      <c r="I11" s="206">
        <v>1</v>
      </c>
      <c r="J11" s="206">
        <f t="shared" si="7"/>
        <v>8.1975359245961554E-3</v>
      </c>
      <c r="K11" s="207">
        <f t="shared" si="8"/>
        <v>1.6395071849192311</v>
      </c>
      <c r="L11" s="202"/>
      <c r="M11" s="201"/>
      <c r="N11" s="217">
        <f t="shared" si="2"/>
        <v>2</v>
      </c>
    </row>
    <row r="12" spans="1:14" ht="18.75">
      <c r="B12" s="10" t="s">
        <v>205</v>
      </c>
      <c r="C12" s="210">
        <f>SUM(C2:C11)</f>
        <v>200</v>
      </c>
      <c r="D12" s="211"/>
      <c r="E12" s="211"/>
      <c r="F12" s="211">
        <f>SUM(F2:F11)</f>
        <v>-75</v>
      </c>
      <c r="G12" s="211">
        <f>SUM(G2:G11)</f>
        <v>522</v>
      </c>
      <c r="H12" s="210"/>
      <c r="I12" s="210"/>
      <c r="J12" s="215">
        <f>SUM(J2:J11)</f>
        <v>1</v>
      </c>
      <c r="K12" s="212">
        <f t="shared" si="8"/>
        <v>200</v>
      </c>
      <c r="L12" s="213" t="s">
        <v>140</v>
      </c>
      <c r="M12" s="214">
        <f>SUM(M3:M10)</f>
        <v>15.184191740478557</v>
      </c>
    </row>
    <row r="13" spans="1:14" ht="19.5" thickBot="1">
      <c r="A13" s="81"/>
      <c r="B13" s="10" t="s">
        <v>206</v>
      </c>
      <c r="C13" s="197">
        <f>D2+(D11-D2)/2</f>
        <v>40</v>
      </c>
      <c r="E13" s="83" t="s">
        <v>146</v>
      </c>
      <c r="F13" s="33">
        <f>F12/C12</f>
        <v>-0.375</v>
      </c>
      <c r="G13" s="33"/>
      <c r="I13" s="1" t="s">
        <v>119</v>
      </c>
      <c r="K13" s="232">
        <v>10</v>
      </c>
      <c r="L13" s="7"/>
    </row>
    <row r="14" spans="1:14" ht="18.75">
      <c r="B14" s="10" t="s">
        <v>207</v>
      </c>
      <c r="C14" s="10">
        <f>B4-B3</f>
        <v>1.5</v>
      </c>
      <c r="E14" s="83" t="s">
        <v>145</v>
      </c>
      <c r="F14" s="82">
        <f>C13+C14*F13</f>
        <v>39.4375</v>
      </c>
      <c r="G14" s="10"/>
      <c r="I14" s="1" t="s">
        <v>120</v>
      </c>
      <c r="J14" s="1"/>
      <c r="K14" s="232">
        <f>K13-1-$N$18</f>
        <v>7</v>
      </c>
      <c r="M14" s="260" t="s">
        <v>218</v>
      </c>
      <c r="N14" s="261"/>
    </row>
    <row r="15" spans="1:14" ht="19.5" thickBot="1">
      <c r="F15" s="82" t="s">
        <v>147</v>
      </c>
      <c r="G15" s="33">
        <f>(G12/C12)-(F13*F13)</f>
        <v>2.4693749999999999</v>
      </c>
      <c r="H15" s="33"/>
      <c r="I15" s="1" t="s">
        <v>94</v>
      </c>
      <c r="K15" s="233">
        <v>0.05</v>
      </c>
      <c r="M15" s="162" t="s">
        <v>216</v>
      </c>
      <c r="N15" s="219">
        <v>0</v>
      </c>
    </row>
    <row r="16" spans="1:14" ht="21">
      <c r="A16" s="221" t="s">
        <v>210</v>
      </c>
      <c r="B16" s="222" t="s">
        <v>212</v>
      </c>
      <c r="C16" s="223" t="s">
        <v>211</v>
      </c>
      <c r="F16" s="82" t="s">
        <v>148</v>
      </c>
      <c r="G16" s="33">
        <f>G15*(C14*C14)</f>
        <v>5.5560937499999996</v>
      </c>
      <c r="I16" s="1" t="s">
        <v>121</v>
      </c>
      <c r="K16" s="233">
        <f>CHIINV(K15,K14)</f>
        <v>14.067140449340167</v>
      </c>
      <c r="M16" s="162" t="s">
        <v>217</v>
      </c>
      <c r="N16" s="219">
        <v>0</v>
      </c>
    </row>
    <row r="17" spans="1:14" ht="21" thickBot="1">
      <c r="A17" s="224" t="s">
        <v>208</v>
      </c>
      <c r="B17" s="225">
        <f>$F$14</f>
        <v>39.4375</v>
      </c>
      <c r="C17" s="226">
        <f>$G$17</f>
        <v>2.3571367694726582</v>
      </c>
      <c r="F17" s="82" t="s">
        <v>40</v>
      </c>
      <c r="G17" s="33">
        <f>SQRT(G16)</f>
        <v>2.3571367694726582</v>
      </c>
      <c r="I17" s="1" t="s">
        <v>97</v>
      </c>
      <c r="K17" s="75" t="str">
        <f>IF(M12 &gt;= K16,"Rejected", "Not Rejected")</f>
        <v>Rejected</v>
      </c>
      <c r="M17" s="162" t="s">
        <v>219</v>
      </c>
      <c r="N17" s="219">
        <v>2</v>
      </c>
    </row>
    <row r="18" spans="1:14" ht="16.5" thickBot="1">
      <c r="A18" s="224" t="s">
        <v>209</v>
      </c>
      <c r="B18" s="227">
        <v>40</v>
      </c>
      <c r="C18" s="228">
        <v>2.5</v>
      </c>
      <c r="D18" s="111"/>
      <c r="E18" s="111"/>
      <c r="M18" s="218" t="s">
        <v>220</v>
      </c>
      <c r="N18" s="220">
        <f>SUM(N15:N17)</f>
        <v>2</v>
      </c>
    </row>
    <row r="19" spans="1:14" ht="16.5" thickBot="1">
      <c r="A19" s="229" t="s">
        <v>213</v>
      </c>
      <c r="B19" s="230">
        <v>40</v>
      </c>
      <c r="C19" s="231">
        <v>2.5</v>
      </c>
      <c r="D19" s="111"/>
      <c r="E19" s="111"/>
    </row>
    <row r="20" spans="1:14">
      <c r="C20" s="111"/>
      <c r="D20" s="111"/>
      <c r="E20" s="111"/>
    </row>
    <row r="21" spans="1:14">
      <c r="C21" s="111"/>
      <c r="D21" s="111"/>
      <c r="E21" s="111"/>
    </row>
    <row r="22" spans="1:14">
      <c r="C22" s="111"/>
      <c r="D22" s="111"/>
      <c r="E22" s="111"/>
    </row>
    <row r="23" spans="1:14">
      <c r="C23" s="111"/>
      <c r="D23" s="111"/>
      <c r="E23" s="111"/>
    </row>
    <row r="24" spans="1:14">
      <c r="C24" s="111"/>
      <c r="D24" s="111"/>
      <c r="E24" s="111"/>
    </row>
  </sheetData>
  <mergeCells count="1">
    <mergeCell ref="M14:N14"/>
  </mergeCells>
  <pageMargins left="0.7" right="0.7" top="0.75" bottom="0.75" header="0.3" footer="0.3"/>
  <pageSetup paperSize="9" orientation="portrait" r:id="rId1"/>
  <legacyDrawing r:id="rId2"/>
</worksheet>
</file>

<file path=xl/worksheets/sheet13.xml><?xml version="1.0" encoding="utf-8"?>
<worksheet xmlns="http://schemas.openxmlformats.org/spreadsheetml/2006/main" xmlns:r="http://schemas.openxmlformats.org/officeDocument/2006/relationships">
  <dimension ref="A1:S19"/>
  <sheetViews>
    <sheetView workbookViewId="0">
      <selection activeCell="E17" sqref="E17"/>
    </sheetView>
  </sheetViews>
  <sheetFormatPr defaultRowHeight="15"/>
  <cols>
    <col min="1" max="1" width="26.140625" customWidth="1"/>
    <col min="8" max="8" width="11" customWidth="1"/>
    <col min="10" max="10" width="1.28515625" customWidth="1"/>
    <col min="12" max="12" width="1" customWidth="1"/>
    <col min="14" max="14" width="6.42578125" customWidth="1"/>
    <col min="15" max="15" width="14.42578125" customWidth="1"/>
    <col min="16" max="16" width="16.85546875" customWidth="1"/>
  </cols>
  <sheetData>
    <row r="1" spans="1:19" ht="21.75" thickBot="1">
      <c r="A1" s="262" t="s">
        <v>221</v>
      </c>
      <c r="B1" s="262"/>
      <c r="C1" s="262"/>
      <c r="D1" s="262"/>
      <c r="E1" s="262"/>
      <c r="F1" s="262"/>
      <c r="G1" s="262"/>
      <c r="H1" s="262"/>
      <c r="I1" s="262"/>
      <c r="J1" s="262"/>
      <c r="K1" s="262"/>
      <c r="L1" s="262"/>
      <c r="M1" s="262"/>
      <c r="O1" s="262" t="s">
        <v>222</v>
      </c>
      <c r="P1" s="262"/>
      <c r="Q1" s="262"/>
      <c r="R1" s="262"/>
      <c r="S1" s="262"/>
    </row>
    <row r="2" spans="1:19" ht="18.75">
      <c r="A2" s="263" t="s">
        <v>158</v>
      </c>
      <c r="B2" s="268" t="s">
        <v>157</v>
      </c>
      <c r="C2" s="268"/>
      <c r="D2" s="268"/>
      <c r="E2" s="268"/>
      <c r="F2" s="268"/>
      <c r="G2" s="268"/>
      <c r="H2" s="265" t="s">
        <v>17</v>
      </c>
      <c r="I2" s="93"/>
      <c r="J2" s="86"/>
      <c r="K2" s="86"/>
      <c r="L2" s="86"/>
      <c r="M2" s="87"/>
      <c r="N2" s="8"/>
      <c r="O2" s="263" t="s">
        <v>158</v>
      </c>
      <c r="P2" s="234" t="s">
        <v>157</v>
      </c>
      <c r="Q2" s="235"/>
      <c r="R2" s="235"/>
      <c r="S2" s="265" t="s">
        <v>17</v>
      </c>
    </row>
    <row r="3" spans="1:19" ht="21">
      <c r="A3" s="264"/>
      <c r="B3" s="267" t="s">
        <v>64</v>
      </c>
      <c r="C3" s="267"/>
      <c r="D3" s="267" t="s">
        <v>156</v>
      </c>
      <c r="E3" s="267"/>
      <c r="F3" s="267" t="s">
        <v>65</v>
      </c>
      <c r="G3" s="267"/>
      <c r="H3" s="265"/>
      <c r="I3" s="93" t="s">
        <v>162</v>
      </c>
      <c r="J3" s="86"/>
      <c r="K3" s="86"/>
      <c r="L3" s="86"/>
      <c r="M3" s="87"/>
      <c r="N3" s="8"/>
      <c r="O3" s="264"/>
      <c r="P3" s="106" t="s">
        <v>64</v>
      </c>
      <c r="Q3" s="106" t="s">
        <v>156</v>
      </c>
      <c r="R3" s="106" t="s">
        <v>65</v>
      </c>
      <c r="S3" s="265"/>
    </row>
    <row r="4" spans="1:19" ht="20.25">
      <c r="A4" s="264"/>
      <c r="B4" s="67" t="s">
        <v>150</v>
      </c>
      <c r="C4" s="67" t="s">
        <v>151</v>
      </c>
      <c r="D4" s="67" t="s">
        <v>152</v>
      </c>
      <c r="E4" s="67" t="s">
        <v>153</v>
      </c>
      <c r="F4" s="67" t="s">
        <v>154</v>
      </c>
      <c r="G4" s="67" t="s">
        <v>155</v>
      </c>
      <c r="H4" s="266"/>
      <c r="I4" s="100" t="s">
        <v>64</v>
      </c>
      <c r="J4" s="101"/>
      <c r="K4" s="101" t="s">
        <v>156</v>
      </c>
      <c r="L4" s="101"/>
      <c r="M4" s="102" t="s">
        <v>65</v>
      </c>
      <c r="N4" s="8"/>
      <c r="O4" s="264"/>
      <c r="P4" s="67" t="s">
        <v>150</v>
      </c>
      <c r="Q4" s="67" t="s">
        <v>152</v>
      </c>
      <c r="R4" s="67" t="s">
        <v>154</v>
      </c>
      <c r="S4" s="266"/>
    </row>
    <row r="5" spans="1:19" ht="18.75">
      <c r="A5" s="89"/>
      <c r="B5" s="92"/>
      <c r="C5" s="92"/>
      <c r="D5" s="69"/>
      <c r="E5" s="69"/>
      <c r="F5" s="69"/>
      <c r="G5" s="85"/>
      <c r="H5" s="95"/>
      <c r="I5" s="96"/>
      <c r="J5" s="97"/>
      <c r="K5" s="97"/>
      <c r="L5" s="97"/>
      <c r="M5" s="98"/>
      <c r="N5" s="8"/>
      <c r="O5" s="90" t="s">
        <v>159</v>
      </c>
      <c r="P5" s="93">
        <v>79</v>
      </c>
      <c r="Q5" s="95">
        <v>58</v>
      </c>
      <c r="R5" s="95">
        <v>33</v>
      </c>
      <c r="S5" s="95">
        <f>P5+Q5+R5</f>
        <v>170</v>
      </c>
    </row>
    <row r="6" spans="1:19" ht="18.75">
      <c r="A6" s="90" t="s">
        <v>159</v>
      </c>
      <c r="B6" s="93">
        <v>79</v>
      </c>
      <c r="C6" s="93">
        <f>H6*B10/$H$10</f>
        <v>63.58</v>
      </c>
      <c r="D6" s="95">
        <v>58</v>
      </c>
      <c r="E6" s="93">
        <f>H6*D10/$H$10</f>
        <v>61.2</v>
      </c>
      <c r="F6" s="95">
        <v>33</v>
      </c>
      <c r="G6" s="93">
        <f>H6*F10/$H$10</f>
        <v>45.22</v>
      </c>
      <c r="H6" s="95">
        <f>B6+D6+F6</f>
        <v>170</v>
      </c>
      <c r="I6" s="93">
        <f>(B6-C6)*(B6-C6)/C6</f>
        <v>3.7397986788298216</v>
      </c>
      <c r="J6" s="86"/>
      <c r="K6" s="93">
        <f>(D6-E6)*(D6-E6)/E6</f>
        <v>0.16732026143790879</v>
      </c>
      <c r="L6" s="86"/>
      <c r="M6" s="95">
        <f>(F6-G6)*(F6-G6)/G6</f>
        <v>3.3022644847412641</v>
      </c>
      <c r="N6" s="8"/>
      <c r="O6" s="90" t="s">
        <v>160</v>
      </c>
      <c r="P6" s="93">
        <v>48</v>
      </c>
      <c r="Q6" s="95">
        <v>65</v>
      </c>
      <c r="R6" s="95">
        <v>45</v>
      </c>
      <c r="S6" s="95">
        <f>P6+Q6+R6</f>
        <v>158</v>
      </c>
    </row>
    <row r="7" spans="1:19" ht="18.75">
      <c r="A7" s="90" t="s">
        <v>160</v>
      </c>
      <c r="B7" s="93">
        <v>48</v>
      </c>
      <c r="C7" s="93">
        <f>H7*B10/$H$10</f>
        <v>59.091999999999999</v>
      </c>
      <c r="D7" s="95">
        <v>65</v>
      </c>
      <c r="E7" s="93">
        <f>H7*D10/$H$10</f>
        <v>56.88</v>
      </c>
      <c r="F7" s="95">
        <v>45</v>
      </c>
      <c r="G7" s="93">
        <f>H7*F10/$H$10</f>
        <v>42.027999999999999</v>
      </c>
      <c r="H7" s="95">
        <f>B7+D7+F7</f>
        <v>158</v>
      </c>
      <c r="I7" s="93">
        <f>(B7-C7)*(B7-C7)/C7</f>
        <v>2.082049414472348</v>
      </c>
      <c r="J7" s="86"/>
      <c r="K7" s="93">
        <f>(D7-E7)*(D7-E7)/E7</f>
        <v>1.1591842475386771</v>
      </c>
      <c r="L7" s="86"/>
      <c r="M7" s="95">
        <f>(F7-G7)*(F7-G7)/G7</f>
        <v>0.21016427143808908</v>
      </c>
      <c r="N7" s="8"/>
      <c r="O7" s="90" t="s">
        <v>64</v>
      </c>
      <c r="P7" s="93">
        <v>60</v>
      </c>
      <c r="Q7" s="95">
        <v>57</v>
      </c>
      <c r="R7" s="95">
        <v>55</v>
      </c>
      <c r="S7" s="95">
        <f>P7+Q7+R7</f>
        <v>172</v>
      </c>
    </row>
    <row r="8" spans="1:19" ht="18.75">
      <c r="A8" s="90" t="s">
        <v>64</v>
      </c>
      <c r="B8" s="93">
        <v>60</v>
      </c>
      <c r="C8" s="93">
        <f>H8*B10/$H$10</f>
        <v>64.328000000000003</v>
      </c>
      <c r="D8" s="95">
        <v>57</v>
      </c>
      <c r="E8" s="93">
        <f>H8*D10/$H$10</f>
        <v>61.92</v>
      </c>
      <c r="F8" s="95">
        <v>55</v>
      </c>
      <c r="G8" s="93">
        <f>H8*F10/$H$10</f>
        <v>45.752000000000002</v>
      </c>
      <c r="H8" s="95">
        <f>B8+D8+F8</f>
        <v>172</v>
      </c>
      <c r="I8" s="93">
        <f>(B8-C8)*(B8-C8)/C8</f>
        <v>0.29118865812709904</v>
      </c>
      <c r="J8" s="86"/>
      <c r="K8" s="93">
        <f>(D8-E8)*(D8-E8)/E8</f>
        <v>0.3909302325581398</v>
      </c>
      <c r="L8" s="86"/>
      <c r="M8" s="95">
        <f>(F8-G8)*(F8-G8)/G8</f>
        <v>1.869328204231508</v>
      </c>
      <c r="N8" s="8"/>
      <c r="O8" s="68" t="s">
        <v>17</v>
      </c>
      <c r="P8" s="68">
        <f>P5+P6+P7</f>
        <v>187</v>
      </c>
      <c r="Q8" s="68">
        <f>Q5+Q6+Q7</f>
        <v>180</v>
      </c>
      <c r="R8" s="68">
        <f>R5+R6+R7</f>
        <v>133</v>
      </c>
      <c r="S8" s="68">
        <f>P8+Q8+R8</f>
        <v>500</v>
      </c>
    </row>
    <row r="9" spans="1:19" ht="20.25">
      <c r="A9" s="91"/>
      <c r="B9" s="94"/>
      <c r="C9" s="94"/>
      <c r="D9" s="64"/>
      <c r="E9" s="64"/>
      <c r="F9" s="64"/>
      <c r="G9" s="79"/>
      <c r="H9" s="95"/>
      <c r="I9" s="94"/>
      <c r="J9" s="88"/>
      <c r="K9" s="88"/>
      <c r="L9" s="88"/>
      <c r="M9" s="79"/>
      <c r="N9" s="8"/>
      <c r="O9" s="80"/>
      <c r="P9" s="67" t="s">
        <v>151</v>
      </c>
      <c r="Q9" s="67" t="s">
        <v>153</v>
      </c>
      <c r="R9" s="67" t="s">
        <v>155</v>
      </c>
      <c r="S9" s="8"/>
    </row>
    <row r="10" spans="1:19" ht="18.75">
      <c r="A10" s="68" t="s">
        <v>17</v>
      </c>
      <c r="B10" s="68">
        <f>B6+B7+B8</f>
        <v>187</v>
      </c>
      <c r="C10" s="68"/>
      <c r="D10" s="68">
        <f>D6+D7+D8</f>
        <v>180</v>
      </c>
      <c r="E10" s="68"/>
      <c r="F10" s="68">
        <f>F6+F7+F8</f>
        <v>133</v>
      </c>
      <c r="G10" s="68"/>
      <c r="H10" s="68">
        <f>B10+D10+F10</f>
        <v>500</v>
      </c>
      <c r="I10" s="103" t="s">
        <v>140</v>
      </c>
      <c r="J10" s="99"/>
      <c r="K10" s="104" t="s">
        <v>163</v>
      </c>
      <c r="L10" s="99"/>
      <c r="M10" s="80">
        <f>I6+K6+M6+I7+K7+M7+I8+K8+M8</f>
        <v>13.212228453374854</v>
      </c>
      <c r="N10" s="8"/>
      <c r="O10" s="108" t="s">
        <v>159</v>
      </c>
      <c r="P10" s="96">
        <f>S5*P8/$S$8</f>
        <v>63.58</v>
      </c>
      <c r="Q10" s="96">
        <f>S5*Q8/$S$8</f>
        <v>61.2</v>
      </c>
      <c r="R10" s="70">
        <f>S5*R8/$S$8</f>
        <v>45.22</v>
      </c>
      <c r="S10" s="8"/>
    </row>
    <row r="11" spans="1:19" ht="18.75">
      <c r="A11" s="8"/>
      <c r="B11" s="8"/>
      <c r="C11" s="8"/>
      <c r="D11" s="8"/>
      <c r="E11" s="8"/>
      <c r="F11" s="8"/>
      <c r="G11" s="8"/>
      <c r="H11" s="8"/>
      <c r="I11" s="8"/>
      <c r="J11" s="8"/>
      <c r="K11" s="8"/>
      <c r="L11" s="8"/>
      <c r="M11" s="8"/>
      <c r="N11" s="8"/>
      <c r="O11" s="90" t="s">
        <v>160</v>
      </c>
      <c r="P11" s="93">
        <f>S6*P8/$S$8</f>
        <v>59.091999999999999</v>
      </c>
      <c r="Q11" s="93">
        <f>S6*Q8/$S$8</f>
        <v>56.88</v>
      </c>
      <c r="R11" s="95">
        <f>S6*R8/$S$8</f>
        <v>42.027999999999999</v>
      </c>
      <c r="S11" s="8"/>
    </row>
    <row r="12" spans="1:19" ht="20.25">
      <c r="A12" s="8" t="s">
        <v>161</v>
      </c>
      <c r="B12" s="8"/>
      <c r="C12" s="8"/>
      <c r="D12" s="8"/>
      <c r="E12" s="8"/>
      <c r="F12" s="8"/>
      <c r="G12" s="8"/>
      <c r="H12" s="8"/>
      <c r="I12" s="8"/>
      <c r="J12" s="8"/>
      <c r="K12" s="8"/>
      <c r="L12" s="8"/>
      <c r="M12" s="8"/>
      <c r="N12" s="8"/>
      <c r="O12" s="91" t="s">
        <v>64</v>
      </c>
      <c r="P12" s="94">
        <f>S7*P8/$S$8</f>
        <v>64.328000000000003</v>
      </c>
      <c r="Q12" s="94">
        <f>S7*Q8/$S$8</f>
        <v>61.92</v>
      </c>
      <c r="R12" s="64">
        <f>S7*R8/$S$8</f>
        <v>45.752000000000002</v>
      </c>
      <c r="S12" s="8"/>
    </row>
    <row r="13" spans="1:19" ht="18.75">
      <c r="A13" s="1" t="s">
        <v>164</v>
      </c>
      <c r="C13" s="76">
        <v>3</v>
      </c>
      <c r="F13" s="8"/>
      <c r="G13" s="8"/>
      <c r="H13" s="8"/>
      <c r="I13" s="8"/>
      <c r="J13" s="8"/>
      <c r="K13" s="8"/>
      <c r="L13" s="8"/>
      <c r="M13" s="8"/>
      <c r="N13" s="8"/>
    </row>
    <row r="14" spans="1:19" ht="18.75">
      <c r="A14" s="1" t="s">
        <v>165</v>
      </c>
      <c r="C14" s="76">
        <v>3</v>
      </c>
      <c r="F14" s="8"/>
      <c r="G14" s="8"/>
      <c r="H14" s="8"/>
      <c r="I14" s="8"/>
      <c r="J14" s="8"/>
      <c r="K14" s="8"/>
      <c r="L14" s="8"/>
      <c r="M14" s="8"/>
      <c r="N14" s="8"/>
      <c r="O14" s="107" t="s">
        <v>167</v>
      </c>
      <c r="R14" s="75">
        <f>CHITEST(ObservedFREQ,P10:R12)</f>
        <v>1.0284043092676474E-2</v>
      </c>
    </row>
    <row r="15" spans="1:19" ht="18.75">
      <c r="A15" s="7" t="s">
        <v>166</v>
      </c>
      <c r="F15" s="8"/>
      <c r="G15" s="8"/>
      <c r="H15" s="8"/>
      <c r="I15" s="8"/>
      <c r="J15" s="8"/>
      <c r="K15" s="8"/>
      <c r="L15" s="8"/>
      <c r="M15" s="8"/>
      <c r="N15" s="8"/>
      <c r="O15" s="1" t="s">
        <v>94</v>
      </c>
      <c r="R15" s="43">
        <v>0.02</v>
      </c>
    </row>
    <row r="16" spans="1:19" ht="20.25">
      <c r="A16" s="1" t="s">
        <v>120</v>
      </c>
      <c r="B16" s="1"/>
      <c r="C16" s="76">
        <f>(C13-1)*(C14-1)</f>
        <v>4</v>
      </c>
      <c r="F16" s="8"/>
      <c r="G16" s="8"/>
      <c r="H16" s="8"/>
      <c r="I16" s="8"/>
      <c r="J16" s="8"/>
      <c r="K16" s="8"/>
      <c r="L16" s="8"/>
      <c r="M16" s="8"/>
      <c r="N16" s="8"/>
      <c r="O16" s="1" t="s">
        <v>97</v>
      </c>
      <c r="R16" s="1" t="str">
        <f>IF(R15 &gt;= R14,"Rejected", "Not Rejected")</f>
        <v>Rejected</v>
      </c>
    </row>
    <row r="17" spans="1:14" ht="18.75">
      <c r="A17" s="1" t="s">
        <v>94</v>
      </c>
      <c r="C17" s="43">
        <v>0.02</v>
      </c>
      <c r="E17" s="105"/>
      <c r="F17" s="8"/>
      <c r="G17" s="8"/>
      <c r="H17" s="8"/>
      <c r="I17" s="8"/>
      <c r="J17" s="8"/>
      <c r="K17" s="8"/>
      <c r="L17" s="8"/>
      <c r="M17" s="8"/>
      <c r="N17" s="8"/>
    </row>
    <row r="18" spans="1:14" ht="18.75">
      <c r="A18" s="1" t="s">
        <v>121</v>
      </c>
      <c r="C18" s="43">
        <f>CHIINV(C17,C16)</f>
        <v>11.667843403834782</v>
      </c>
      <c r="F18" s="8"/>
      <c r="G18" s="8"/>
      <c r="H18" s="8"/>
      <c r="I18" s="8"/>
      <c r="J18" s="8"/>
      <c r="K18" s="8"/>
      <c r="L18" s="8"/>
      <c r="M18" s="8"/>
      <c r="N18" s="1" t="s">
        <v>168</v>
      </c>
    </row>
    <row r="19" spans="1:14" ht="20.25">
      <c r="A19" s="1" t="s">
        <v>97</v>
      </c>
      <c r="C19" s="1" t="str">
        <f>IF(M10 &gt;= C18,"Rejected", "Not Rejected")</f>
        <v>Rejected</v>
      </c>
      <c r="F19" s="8"/>
      <c r="G19" s="8"/>
      <c r="H19" s="8"/>
      <c r="I19" s="8"/>
      <c r="J19" s="8"/>
      <c r="K19" s="8"/>
      <c r="L19" s="8"/>
      <c r="M19" s="8"/>
      <c r="N19" s="8"/>
    </row>
  </sheetData>
  <mergeCells count="10">
    <mergeCell ref="A1:M1"/>
    <mergeCell ref="O1:S1"/>
    <mergeCell ref="A2:A4"/>
    <mergeCell ref="H2:H4"/>
    <mergeCell ref="O2:O4"/>
    <mergeCell ref="S2:S4"/>
    <mergeCell ref="B3:C3"/>
    <mergeCell ref="D3:E3"/>
    <mergeCell ref="F3:G3"/>
    <mergeCell ref="B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Figure1</vt:lpstr>
      <vt:lpstr>Figure2</vt:lpstr>
      <vt:lpstr>Figure3</vt:lpstr>
      <vt:lpstr>Figure4</vt:lpstr>
      <vt:lpstr>Figure5</vt:lpstr>
      <vt:lpstr>Figure7</vt:lpstr>
      <vt:lpstr>Figure8</vt:lpstr>
      <vt:lpstr>Figure9</vt:lpstr>
      <vt:lpstr>Figure10</vt:lpstr>
      <vt:lpstr>Figure11</vt:lpstr>
      <vt:lpstr>Figure12</vt:lpstr>
      <vt:lpstr>Figure13</vt:lpstr>
      <vt:lpstr>Figure14</vt:lpstr>
      <vt:lpstr>ObservedFREQ</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Kumar</dc:creator>
  <cp:lastModifiedBy>Akshay Kumar</cp:lastModifiedBy>
  <cp:lastPrinted>2012-10-01T05:40:56Z</cp:lastPrinted>
  <dcterms:created xsi:type="dcterms:W3CDTF">2012-08-22T05:03:01Z</dcterms:created>
  <dcterms:modified xsi:type="dcterms:W3CDTF">2013-02-11T11:56:31Z</dcterms:modified>
</cp:coreProperties>
</file>