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Commission - Job Cost\2016\"/>
    </mc:Choice>
  </mc:AlternateContent>
  <bookViews>
    <workbookView xWindow="-120" yWindow="-120" windowWidth="16320" windowHeight="12705" tabRatio="488"/>
  </bookViews>
  <sheets>
    <sheet name="Raw Data" sheetId="1" r:id="rId1"/>
    <sheet name="Product Margin Analysis" sheetId="7" r:id="rId2"/>
    <sheet name="Product Revenue Analysis" sheetId="8" r:id="rId3"/>
    <sheet name="Installer Analysis" sheetId="9" r:id="rId4"/>
    <sheet name="Designer Analysis" sheetId="10" r:id="rId5"/>
    <sheet name="Sales Location Analysis" sheetId="11" r:id="rId6"/>
    <sheet name="Sales by month" sheetId="13" r:id="rId7"/>
  </sheets>
  <definedNames>
    <definedName name="_xlnm._FilterDatabase" localSheetId="4" hidden="1">'Designer Analysis'!#REF!</definedName>
    <definedName name="_xlnm._FilterDatabase" localSheetId="3" hidden="1">'Installer Analysis'!#REF!</definedName>
    <definedName name="_xlnm._FilterDatabase" localSheetId="1" hidden="1">'Product Margin Analysis'!#REF!</definedName>
    <definedName name="_xlnm._FilterDatabase" localSheetId="2" hidden="1">'Product Revenue Analysis'!#REF!</definedName>
    <definedName name="_xlnm._FilterDatabase" localSheetId="0" hidden="1">'Raw Data'!$B$4:$Q$403</definedName>
    <definedName name="_xlnm._FilterDatabase" localSheetId="6" hidden="1">'Sales by month'!#REF!</definedName>
    <definedName name="_xlnm._FilterDatabase" localSheetId="5" hidden="1">'Sales Location Analysis'!#REF!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M219" i="1"/>
  <c r="K219" i="1"/>
  <c r="M218" i="1"/>
  <c r="K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C4" i="13" l="1"/>
  <c r="E4" i="13" s="1"/>
  <c r="E4" i="9"/>
  <c r="D15" i="7"/>
  <c r="K267" i="1"/>
  <c r="D11" i="7" s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D14" i="7"/>
  <c r="D9" i="7"/>
  <c r="D17" i="7" l="1"/>
  <c r="D13" i="7"/>
  <c r="D12" i="7"/>
  <c r="D16" i="7"/>
  <c r="D5" i="7"/>
  <c r="D7" i="7"/>
  <c r="D18" i="7"/>
  <c r="D4" i="7"/>
  <c r="D10" i="7"/>
  <c r="D8" i="7"/>
  <c r="D6" i="7"/>
  <c r="D4" i="9"/>
  <c r="E5" i="9"/>
  <c r="D5" i="9" s="1"/>
  <c r="E6" i="9"/>
  <c r="D6" i="9" s="1"/>
  <c r="E7" i="9"/>
  <c r="D7" i="9" s="1"/>
  <c r="E8" i="9"/>
  <c r="D8" i="9" s="1"/>
  <c r="E9" i="9"/>
  <c r="D9" i="9" s="1"/>
  <c r="E10" i="9"/>
  <c r="D10" i="9" s="1"/>
  <c r="E11" i="9"/>
  <c r="D11" i="9" s="1"/>
  <c r="E12" i="9"/>
  <c r="D12" i="9" s="1"/>
  <c r="E13" i="9"/>
  <c r="D13" i="9" s="1"/>
  <c r="E14" i="9"/>
  <c r="D14" i="9" s="1"/>
  <c r="E15" i="9"/>
  <c r="D15" i="9" s="1"/>
  <c r="E16" i="9"/>
  <c r="D16" i="9" s="1"/>
  <c r="E17" i="9"/>
  <c r="D17" i="9" s="1"/>
  <c r="E18" i="9"/>
  <c r="D18" i="9" s="1"/>
  <c r="E19" i="9"/>
  <c r="D19" i="9" s="1"/>
  <c r="E20" i="9"/>
  <c r="D20" i="9" s="1"/>
  <c r="E21" i="9"/>
  <c r="D21" i="9" s="1"/>
  <c r="E22" i="9"/>
  <c r="D22" i="9" s="1"/>
  <c r="E23" i="9" l="1"/>
  <c r="D24" i="7"/>
  <c r="D23" i="7"/>
  <c r="D4" i="8" l="1"/>
  <c r="C8" i="10"/>
  <c r="D8" i="10"/>
  <c r="C9" i="10"/>
  <c r="D9" i="10"/>
  <c r="C7" i="10"/>
  <c r="D7" i="10"/>
  <c r="C5" i="10"/>
  <c r="D5" i="10"/>
  <c r="C6" i="10"/>
  <c r="D6" i="10"/>
  <c r="C10" i="10"/>
  <c r="D10" i="10"/>
  <c r="C11" i="10"/>
  <c r="D11" i="10"/>
  <c r="C12" i="10"/>
  <c r="D12" i="10"/>
  <c r="D4" i="10"/>
  <c r="C4" i="10"/>
  <c r="C4" i="11"/>
  <c r="D4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D25" i="11"/>
  <c r="C25" i="11"/>
  <c r="D6" i="11"/>
  <c r="D7" i="11"/>
  <c r="D8" i="11"/>
  <c r="D9" i="11"/>
  <c r="D10" i="11"/>
  <c r="D11" i="11"/>
  <c r="D12" i="11"/>
  <c r="D13" i="11"/>
  <c r="C6" i="11"/>
  <c r="C7" i="11"/>
  <c r="C8" i="11"/>
  <c r="C9" i="11"/>
  <c r="C10" i="11"/>
  <c r="C11" i="11"/>
  <c r="C12" i="11"/>
  <c r="C13" i="11"/>
  <c r="C5" i="11"/>
  <c r="D5" i="11"/>
  <c r="D16" i="8"/>
  <c r="E16" i="8" s="1"/>
  <c r="D5" i="13"/>
  <c r="D6" i="13"/>
  <c r="D7" i="13"/>
  <c r="D8" i="13"/>
  <c r="D9" i="13"/>
  <c r="D10" i="13"/>
  <c r="D11" i="13"/>
  <c r="D12" i="13"/>
  <c r="D13" i="13"/>
  <c r="D14" i="13"/>
  <c r="D15" i="13"/>
  <c r="D4" i="13"/>
  <c r="F15" i="13" l="1"/>
  <c r="F14" i="13"/>
  <c r="F13" i="13"/>
  <c r="F12" i="13"/>
  <c r="F11" i="13"/>
  <c r="F10" i="13"/>
  <c r="F9" i="13"/>
  <c r="F8" i="13"/>
  <c r="F7" i="13"/>
  <c r="F6" i="13"/>
  <c r="F5" i="13"/>
  <c r="F4" i="13"/>
  <c r="E5" i="11"/>
  <c r="G5" i="11"/>
  <c r="F5" i="11"/>
  <c r="E13" i="11"/>
  <c r="G13" i="11"/>
  <c r="F13" i="11"/>
  <c r="E11" i="11"/>
  <c r="G11" i="11"/>
  <c r="F11" i="11"/>
  <c r="E9" i="11"/>
  <c r="G9" i="11"/>
  <c r="F9" i="11"/>
  <c r="E7" i="11"/>
  <c r="G7" i="11"/>
  <c r="F7" i="11"/>
  <c r="F24" i="11"/>
  <c r="G24" i="11"/>
  <c r="E24" i="11"/>
  <c r="E23" i="11"/>
  <c r="G23" i="11"/>
  <c r="F23" i="11"/>
  <c r="F22" i="11"/>
  <c r="E22" i="11"/>
  <c r="G22" i="11"/>
  <c r="E21" i="11"/>
  <c r="G21" i="11"/>
  <c r="F21" i="11"/>
  <c r="F20" i="11"/>
  <c r="G20" i="11"/>
  <c r="E20" i="11"/>
  <c r="E19" i="11"/>
  <c r="G19" i="11"/>
  <c r="F19" i="11"/>
  <c r="F18" i="11"/>
  <c r="E18" i="11"/>
  <c r="G18" i="11"/>
  <c r="E17" i="11"/>
  <c r="G17" i="11"/>
  <c r="F17" i="11"/>
  <c r="F16" i="11"/>
  <c r="G16" i="11"/>
  <c r="E16" i="11"/>
  <c r="E15" i="11"/>
  <c r="G15" i="11"/>
  <c r="F15" i="11"/>
  <c r="F14" i="11"/>
  <c r="E14" i="11"/>
  <c r="G14" i="11"/>
  <c r="F4" i="11"/>
  <c r="G4" i="11"/>
  <c r="E4" i="11"/>
  <c r="E12" i="10"/>
  <c r="G12" i="10"/>
  <c r="I12" i="10"/>
  <c r="H12" i="10"/>
  <c r="F12" i="10"/>
  <c r="J12" i="10"/>
  <c r="E11" i="10"/>
  <c r="G11" i="10"/>
  <c r="I11" i="10"/>
  <c r="F11" i="10"/>
  <c r="J11" i="10"/>
  <c r="H11" i="10"/>
  <c r="E10" i="10"/>
  <c r="G10" i="10"/>
  <c r="I10" i="10"/>
  <c r="H10" i="10"/>
  <c r="F10" i="10"/>
  <c r="J10" i="10"/>
  <c r="E6" i="10"/>
  <c r="G6" i="10"/>
  <c r="I6" i="10"/>
  <c r="F6" i="10"/>
  <c r="J6" i="10"/>
  <c r="H6" i="10"/>
  <c r="E5" i="10"/>
  <c r="G5" i="10"/>
  <c r="I5" i="10"/>
  <c r="H5" i="10"/>
  <c r="F5" i="10"/>
  <c r="J5" i="10"/>
  <c r="E7" i="10"/>
  <c r="G7" i="10"/>
  <c r="I7" i="10"/>
  <c r="F7" i="10"/>
  <c r="J7" i="10"/>
  <c r="H7" i="10"/>
  <c r="E9" i="10"/>
  <c r="G9" i="10"/>
  <c r="I9" i="10"/>
  <c r="H9" i="10"/>
  <c r="F9" i="10"/>
  <c r="J9" i="10"/>
  <c r="E8" i="10"/>
  <c r="G8" i="10"/>
  <c r="I8" i="10"/>
  <c r="F8" i="10"/>
  <c r="J8" i="10"/>
  <c r="H8" i="10"/>
  <c r="F12" i="11"/>
  <c r="G12" i="11"/>
  <c r="E12" i="11"/>
  <c r="F10" i="11"/>
  <c r="E10" i="11"/>
  <c r="G10" i="11"/>
  <c r="F8" i="11"/>
  <c r="G8" i="11"/>
  <c r="E8" i="11"/>
  <c r="F6" i="11"/>
  <c r="E6" i="11"/>
  <c r="G6" i="11"/>
  <c r="E25" i="11"/>
  <c r="G25" i="11"/>
  <c r="F25" i="11"/>
  <c r="J4" i="10"/>
  <c r="H4" i="10"/>
  <c r="F4" i="10"/>
  <c r="I4" i="10"/>
  <c r="E4" i="10"/>
  <c r="G4" i="10"/>
  <c r="D23" i="8"/>
  <c r="E4" i="8"/>
  <c r="E23" i="8" s="1"/>
  <c r="C6" i="13"/>
  <c r="C7" i="13"/>
  <c r="C8" i="13"/>
  <c r="C9" i="13"/>
  <c r="C10" i="13"/>
  <c r="C11" i="13"/>
  <c r="C12" i="13"/>
  <c r="C13" i="13"/>
  <c r="C14" i="13"/>
  <c r="C15" i="13"/>
  <c r="C5" i="13"/>
  <c r="E15" i="13" l="1"/>
  <c r="E14" i="13"/>
  <c r="E13" i="13"/>
  <c r="E12" i="13"/>
  <c r="E11" i="13"/>
  <c r="E10" i="13"/>
  <c r="E9" i="13"/>
  <c r="E8" i="13"/>
  <c r="E7" i="13"/>
  <c r="E6" i="13"/>
  <c r="E5" i="13"/>
  <c r="C16" i="13"/>
  <c r="D16" i="13"/>
  <c r="E16" i="13" l="1"/>
  <c r="D26" i="11" l="1"/>
  <c r="G26" i="11"/>
  <c r="E26" i="11"/>
  <c r="C26" i="11"/>
  <c r="I13" i="10"/>
  <c r="D18" i="8"/>
  <c r="E18" i="8" s="1"/>
  <c r="D17" i="8"/>
  <c r="E17" i="8" s="1"/>
  <c r="D15" i="8"/>
  <c r="E15" i="8" s="1"/>
  <c r="D14" i="8"/>
  <c r="E14" i="8" s="1"/>
  <c r="D13" i="8"/>
  <c r="E13" i="8" s="1"/>
  <c r="D12" i="8"/>
  <c r="E12" i="8" s="1"/>
  <c r="D11" i="8"/>
  <c r="D10" i="8"/>
  <c r="E10" i="8" s="1"/>
  <c r="D9" i="8"/>
  <c r="E9" i="8" s="1"/>
  <c r="D8" i="8"/>
  <c r="E8" i="8" s="1"/>
  <c r="D7" i="8"/>
  <c r="E7" i="8" s="1"/>
  <c r="D6" i="8"/>
  <c r="D5" i="8"/>
  <c r="S325" i="1"/>
  <c r="P3" i="1"/>
  <c r="O3" i="1"/>
  <c r="N3" i="1"/>
  <c r="L3" i="1"/>
  <c r="J3" i="1"/>
  <c r="I3" i="1"/>
  <c r="E27" i="8" l="1"/>
  <c r="D24" i="8"/>
  <c r="E5" i="8"/>
  <c r="E24" i="8" s="1"/>
  <c r="E6" i="8"/>
  <c r="E25" i="8" s="1"/>
  <c r="D25" i="8"/>
  <c r="D26" i="8"/>
  <c r="E11" i="8"/>
  <c r="E26" i="8" s="1"/>
  <c r="D27" i="8"/>
  <c r="L4" i="8"/>
  <c r="D27" i="7"/>
  <c r="D13" i="10"/>
  <c r="C13" i="10"/>
  <c r="K3" i="1"/>
  <c r="D19" i="8"/>
  <c r="E13" i="10"/>
  <c r="H13" i="10"/>
  <c r="J13" i="10"/>
  <c r="L20" i="9"/>
  <c r="M3" i="1"/>
  <c r="E19" i="8" l="1"/>
  <c r="D23" i="9"/>
  <c r="F16" i="13"/>
  <c r="D26" i="7"/>
  <c r="D25" i="7"/>
  <c r="D28" i="7"/>
  <c r="D19" i="7"/>
  <c r="K4" i="7"/>
  <c r="F26" i="11"/>
  <c r="G13" i="10"/>
  <c r="F13" i="10"/>
</calcChain>
</file>

<file path=xl/sharedStrings.xml><?xml version="1.0" encoding="utf-8"?>
<sst xmlns="http://schemas.openxmlformats.org/spreadsheetml/2006/main" count="1518" uniqueCount="430">
  <si>
    <t>Contract Date</t>
  </si>
  <si>
    <t>Direct Costs</t>
  </si>
  <si>
    <t>Product</t>
  </si>
  <si>
    <t>Net Sale</t>
  </si>
  <si>
    <t>Margin</t>
  </si>
  <si>
    <t>Comm $</t>
  </si>
  <si>
    <t>Comm %</t>
  </si>
  <si>
    <t>Customer</t>
  </si>
  <si>
    <t>Installer</t>
  </si>
  <si>
    <t>City</t>
  </si>
  <si>
    <t>Over (Under) Par</t>
  </si>
  <si>
    <t>Addtl Incent</t>
  </si>
  <si>
    <t xml:space="preserve">  </t>
  </si>
  <si>
    <t>W (A)</t>
  </si>
  <si>
    <t>IR</t>
  </si>
  <si>
    <t>B</t>
  </si>
  <si>
    <t>K</t>
  </si>
  <si>
    <t>LC</t>
  </si>
  <si>
    <t>W</t>
  </si>
  <si>
    <t>OP</t>
  </si>
  <si>
    <t>Designer</t>
  </si>
  <si>
    <t>Average Margin</t>
  </si>
  <si>
    <t>VP</t>
  </si>
  <si>
    <t>#</t>
  </si>
  <si>
    <t>FP</t>
  </si>
  <si>
    <t>Credit Card Fees</t>
  </si>
  <si>
    <t>Notes</t>
  </si>
  <si>
    <t>SR-VV</t>
  </si>
  <si>
    <t>SR-306</t>
  </si>
  <si>
    <t>SR-206</t>
  </si>
  <si>
    <t>SR-406</t>
  </si>
  <si>
    <t>SCR-WO</t>
  </si>
  <si>
    <t>Overall average</t>
  </si>
  <si>
    <t>Sunroom</t>
  </si>
  <si>
    <t>Windows</t>
  </si>
  <si>
    <t>Patio Covers</t>
  </si>
  <si>
    <t>Kitchen &amp; Bath</t>
  </si>
  <si>
    <t>Category</t>
  </si>
  <si>
    <t>Average margin by product</t>
  </si>
  <si>
    <t>Average Sale</t>
  </si>
  <si>
    <t>PC &amp; SR</t>
  </si>
  <si>
    <t>Total sales</t>
  </si>
  <si>
    <t>x̅ Sale</t>
  </si>
  <si>
    <t>x̅ Margin</t>
  </si>
  <si>
    <t>x̅ Comm %</t>
  </si>
  <si>
    <t>x̅ Over/Under</t>
  </si>
  <si>
    <t>x̅ Additional incentive</t>
  </si>
  <si>
    <t>Total additional incentive</t>
  </si>
  <si>
    <t>Total # of sales</t>
  </si>
  <si>
    <t>Totals to date</t>
  </si>
  <si>
    <t>Product by classification</t>
  </si>
  <si>
    <t>Average margin</t>
  </si>
  <si>
    <t>Location</t>
  </si>
  <si>
    <t>Total # of sales closed</t>
  </si>
  <si>
    <t>D</t>
  </si>
  <si>
    <t>Uncategorized</t>
  </si>
  <si>
    <t>Total Margin</t>
  </si>
  <si>
    <t>Chris</t>
  </si>
  <si>
    <t>Kitchen</t>
  </si>
  <si>
    <t>BS</t>
  </si>
  <si>
    <t>Bath</t>
  </si>
  <si>
    <t>Romo</t>
  </si>
  <si>
    <t>HIR</t>
  </si>
  <si>
    <t>DG</t>
  </si>
  <si>
    <t>LJ</t>
  </si>
  <si>
    <t>Brad</t>
  </si>
  <si>
    <t>AG</t>
  </si>
  <si>
    <t>Jory</t>
  </si>
  <si>
    <t>Dominic</t>
  </si>
  <si>
    <t>AC</t>
  </si>
  <si>
    <t>MW</t>
  </si>
  <si>
    <t>Marco</t>
  </si>
  <si>
    <t>Don</t>
  </si>
  <si>
    <t>ABQ</t>
  </si>
  <si>
    <t>PB</t>
  </si>
  <si>
    <t>Demmon</t>
  </si>
  <si>
    <t>MC</t>
  </si>
  <si>
    <t>Gonzales</t>
  </si>
  <si>
    <t>DiLorenzo</t>
  </si>
  <si>
    <t>Plunkett</t>
  </si>
  <si>
    <t>Clay</t>
  </si>
  <si>
    <t>McGowan</t>
  </si>
  <si>
    <t>Jaramillo</t>
  </si>
  <si>
    <t>Stanley</t>
  </si>
  <si>
    <t>Long</t>
  </si>
  <si>
    <t>Palacio</t>
  </si>
  <si>
    <t>Carnuel</t>
  </si>
  <si>
    <t>Pohl</t>
  </si>
  <si>
    <t>Thies</t>
  </si>
  <si>
    <t>LeBlanc</t>
  </si>
  <si>
    <t>Perea</t>
  </si>
  <si>
    <t>Mahan</t>
  </si>
  <si>
    <t>Stephens</t>
  </si>
  <si>
    <t>JG</t>
  </si>
  <si>
    <t>Johnson</t>
  </si>
  <si>
    <t>Dennis</t>
  </si>
  <si>
    <t>Cover</t>
  </si>
  <si>
    <t>Singham</t>
  </si>
  <si>
    <t>Garcia</t>
  </si>
  <si>
    <t>Soffit Fascia</t>
  </si>
  <si>
    <t>Las Cruces</t>
  </si>
  <si>
    <t>Archer</t>
  </si>
  <si>
    <t>Rogers</t>
  </si>
  <si>
    <t>Edwards</t>
  </si>
  <si>
    <t>Robert</t>
  </si>
  <si>
    <t>Mosimann</t>
  </si>
  <si>
    <t>Zitkus</t>
  </si>
  <si>
    <t>Tijeras</t>
  </si>
  <si>
    <t>Bates</t>
  </si>
  <si>
    <t>Sean</t>
  </si>
  <si>
    <t>Marler</t>
  </si>
  <si>
    <t>Fauteck</t>
  </si>
  <si>
    <t>Branch</t>
  </si>
  <si>
    <t>Coffin</t>
  </si>
  <si>
    <t>Olivas</t>
  </si>
  <si>
    <t>Paoletti</t>
  </si>
  <si>
    <t>Gandert</t>
  </si>
  <si>
    <t>Corrales</t>
  </si>
  <si>
    <t>Wise</t>
  </si>
  <si>
    <t>Tupen</t>
  </si>
  <si>
    <t>Belen</t>
  </si>
  <si>
    <t>Adcock</t>
  </si>
  <si>
    <t>Horton</t>
  </si>
  <si>
    <t>Edgewood</t>
  </si>
  <si>
    <t>Burward-Hoy</t>
  </si>
  <si>
    <t>Kochis</t>
  </si>
  <si>
    <t>VanReenen</t>
  </si>
  <si>
    <t>Grants</t>
  </si>
  <si>
    <t>Akley</t>
  </si>
  <si>
    <t>Lundy</t>
  </si>
  <si>
    <t>Montoya</t>
  </si>
  <si>
    <t>Chavez</t>
  </si>
  <si>
    <t>Williams</t>
  </si>
  <si>
    <t>Bogart</t>
  </si>
  <si>
    <t>Mesita</t>
  </si>
  <si>
    <t>Cheromiah</t>
  </si>
  <si>
    <t>Ferron</t>
  </si>
  <si>
    <t>Nolde</t>
  </si>
  <si>
    <t>Domain</t>
  </si>
  <si>
    <t>Doyle</t>
  </si>
  <si>
    <t>Dunn</t>
  </si>
  <si>
    <t>Ortiz</t>
  </si>
  <si>
    <t>Hoffman</t>
  </si>
  <si>
    <t>Lechuga-Ellis</t>
  </si>
  <si>
    <t>Weatherby</t>
  </si>
  <si>
    <t>Titcomb</t>
  </si>
  <si>
    <t>Hockstra</t>
  </si>
  <si>
    <t>Cimino</t>
  </si>
  <si>
    <t>Sullivan</t>
  </si>
  <si>
    <t>Brown</t>
  </si>
  <si>
    <t>Ferguson</t>
  </si>
  <si>
    <t>Nogal</t>
  </si>
  <si>
    <t>Aldrich</t>
  </si>
  <si>
    <t>1st Bap Church</t>
  </si>
  <si>
    <t>Cochran</t>
  </si>
  <si>
    <t>Capitan</t>
  </si>
  <si>
    <t>Watkins</t>
  </si>
  <si>
    <t>Waller</t>
  </si>
  <si>
    <t>Wes</t>
  </si>
  <si>
    <t>Hostler</t>
  </si>
  <si>
    <t>Silvers</t>
  </si>
  <si>
    <t>Serna</t>
  </si>
  <si>
    <t>Carey</t>
  </si>
  <si>
    <t>Pavlakos</t>
  </si>
  <si>
    <t>Griffy</t>
  </si>
  <si>
    <t>Shonerd/Brown</t>
  </si>
  <si>
    <t>Clovis</t>
  </si>
  <si>
    <t>Hensley</t>
  </si>
  <si>
    <t>White</t>
  </si>
  <si>
    <t>Lawson</t>
  </si>
  <si>
    <t>Black</t>
  </si>
  <si>
    <t>Sherman</t>
  </si>
  <si>
    <t>Quemado</t>
  </si>
  <si>
    <t>Sharp</t>
  </si>
  <si>
    <t>Guyer</t>
  </si>
  <si>
    <t>Oelfke</t>
  </si>
  <si>
    <t>Wilson</t>
  </si>
  <si>
    <t>Kolezar</t>
  </si>
  <si>
    <t>Bridge</t>
  </si>
  <si>
    <t>Griego</t>
  </si>
  <si>
    <t>Ingram</t>
  </si>
  <si>
    <t>Gomez</t>
  </si>
  <si>
    <t>Rocha</t>
  </si>
  <si>
    <t>Tabacchi</t>
  </si>
  <si>
    <t>Delgado</t>
  </si>
  <si>
    <t>Voit</t>
  </si>
  <si>
    <t>Rush</t>
  </si>
  <si>
    <t>DeAngelis</t>
  </si>
  <si>
    <t>Placitas</t>
  </si>
  <si>
    <t>West</t>
  </si>
  <si>
    <t>Reyes/Cooper</t>
  </si>
  <si>
    <t>Las Vegas</t>
  </si>
  <si>
    <t>Aragon-Ortiz</t>
  </si>
  <si>
    <t>Ichikawa</t>
  </si>
  <si>
    <t>Mangum</t>
  </si>
  <si>
    <t>Robertson</t>
  </si>
  <si>
    <t>Albin</t>
  </si>
  <si>
    <t>Bloemker</t>
  </si>
  <si>
    <t>Meditrend</t>
  </si>
  <si>
    <t>Galisteo</t>
  </si>
  <si>
    <t>Willett-Gebhard</t>
  </si>
  <si>
    <t>Adams</t>
  </si>
  <si>
    <t>Northon</t>
  </si>
  <si>
    <t>Laguna</t>
  </si>
  <si>
    <t>Sena</t>
  </si>
  <si>
    <t>Randall</t>
  </si>
  <si>
    <t>Aubert</t>
  </si>
  <si>
    <t>Gonzales/Taylor</t>
  </si>
  <si>
    <t>Dale</t>
  </si>
  <si>
    <t>Archuleta</t>
  </si>
  <si>
    <t>Monteau/Nabors</t>
  </si>
  <si>
    <t>Love</t>
  </si>
  <si>
    <t>Patterson</t>
  </si>
  <si>
    <t>Siding</t>
  </si>
  <si>
    <t>MC/LK</t>
  </si>
  <si>
    <t>Anderson</t>
  </si>
  <si>
    <t>Shirley</t>
  </si>
  <si>
    <t>Artesia</t>
  </si>
  <si>
    <t>Villa</t>
  </si>
  <si>
    <t>Hern</t>
  </si>
  <si>
    <t>Sandia Park</t>
  </si>
  <si>
    <t>Erevia</t>
  </si>
  <si>
    <t>Glorieta</t>
  </si>
  <si>
    <t>Harslem</t>
  </si>
  <si>
    <t>Farmington</t>
  </si>
  <si>
    <t>McKnight</t>
  </si>
  <si>
    <t>Donnelly</t>
  </si>
  <si>
    <t>LK</t>
  </si>
  <si>
    <t>Barlow</t>
  </si>
  <si>
    <t>Tackett</t>
  </si>
  <si>
    <t>Peters/Riley</t>
  </si>
  <si>
    <t>Romero</t>
  </si>
  <si>
    <t>Vail</t>
  </si>
  <si>
    <t>Bencomo</t>
  </si>
  <si>
    <t>Alto</t>
  </si>
  <si>
    <t>Olson</t>
  </si>
  <si>
    <t>Roswell</t>
  </si>
  <si>
    <t>Foster</t>
  </si>
  <si>
    <t>Stierwalt</t>
  </si>
  <si>
    <t>Berg</t>
  </si>
  <si>
    <t>Richards</t>
  </si>
  <si>
    <t>Bosque Farms</t>
  </si>
  <si>
    <t>Nobles/Calderwood</t>
  </si>
  <si>
    <t>Deming</t>
  </si>
  <si>
    <t>Lawrence</t>
  </si>
  <si>
    <t>Garcia/Gutierrez</t>
  </si>
  <si>
    <t>Kilcup</t>
  </si>
  <si>
    <t>Taylor</t>
  </si>
  <si>
    <t>Cruz</t>
  </si>
  <si>
    <t>Kliesen</t>
  </si>
  <si>
    <t>McMaster</t>
  </si>
  <si>
    <t>Cameron</t>
  </si>
  <si>
    <t>Pourier</t>
  </si>
  <si>
    <t>Wolf</t>
  </si>
  <si>
    <t>Hendee</t>
  </si>
  <si>
    <t>Isaac</t>
  </si>
  <si>
    <t>Pfaff</t>
  </si>
  <si>
    <t>Bess</t>
  </si>
  <si>
    <t>Piralov</t>
  </si>
  <si>
    <t>Naranjo</t>
  </si>
  <si>
    <t>Cashwell</t>
  </si>
  <si>
    <t>Ryan</t>
  </si>
  <si>
    <t>Venghaus</t>
  </si>
  <si>
    <t>Tohatchi</t>
  </si>
  <si>
    <t>Pinto</t>
  </si>
  <si>
    <t>Neal</t>
  </si>
  <si>
    <t>Sarada</t>
  </si>
  <si>
    <t>Nissen</t>
  </si>
  <si>
    <t>Valdez</t>
  </si>
  <si>
    <t>Madrid</t>
  </si>
  <si>
    <t>Kohler</t>
  </si>
  <si>
    <t>Polka</t>
  </si>
  <si>
    <t>Orchard</t>
  </si>
  <si>
    <t>Pecos</t>
  </si>
  <si>
    <t>Varela</t>
  </si>
  <si>
    <t>Virgilio</t>
  </si>
  <si>
    <t>Jenkins</t>
  </si>
  <si>
    <t>MacDougall</t>
  </si>
  <si>
    <t>Andrews</t>
  </si>
  <si>
    <t>Vargas</t>
  </si>
  <si>
    <t>Byrd</t>
  </si>
  <si>
    <t>Rombin</t>
  </si>
  <si>
    <t>Tecza</t>
  </si>
  <si>
    <t>Waarvik</t>
  </si>
  <si>
    <t>Weaver</t>
  </si>
  <si>
    <t>Leonardo</t>
  </si>
  <si>
    <t>Baxter</t>
  </si>
  <si>
    <t>Main</t>
  </si>
  <si>
    <t>Aztec</t>
  </si>
  <si>
    <t>Lynch</t>
  </si>
  <si>
    <t>Gallegos</t>
  </si>
  <si>
    <t>Franklin</t>
  </si>
  <si>
    <t>House TP</t>
  </si>
  <si>
    <t>Bloomfield</t>
  </si>
  <si>
    <t>Ulibarri</t>
  </si>
  <si>
    <t>Austin</t>
  </si>
  <si>
    <t>Yazzie</t>
  </si>
  <si>
    <t>Rousseau</t>
  </si>
  <si>
    <t>Hundemer</t>
  </si>
  <si>
    <t>Hacker</t>
  </si>
  <si>
    <t>Franowsky</t>
  </si>
  <si>
    <t>Spring</t>
  </si>
  <si>
    <t>Greenwall</t>
  </si>
  <si>
    <t>Baca</t>
  </si>
  <si>
    <t>Nara Visa</t>
  </si>
  <si>
    <t>Earle</t>
  </si>
  <si>
    <t>Aragon</t>
  </si>
  <si>
    <t>Lempart</t>
  </si>
  <si>
    <t>Joe</t>
  </si>
  <si>
    <t>Puckett</t>
  </si>
  <si>
    <t>Stogsdill</t>
  </si>
  <si>
    <t>Hackett</t>
  </si>
  <si>
    <t>Mitchell</t>
  </si>
  <si>
    <t>Swihart</t>
  </si>
  <si>
    <t>Facteau</t>
  </si>
  <si>
    <t>Hinkley</t>
  </si>
  <si>
    <t>Marquez</t>
  </si>
  <si>
    <t>Higgins</t>
  </si>
  <si>
    <t>Magdaleno</t>
  </si>
  <si>
    <t>Kemper</t>
  </si>
  <si>
    <t>Fager</t>
  </si>
  <si>
    <t>Soules</t>
  </si>
  <si>
    <t>Stanfield</t>
  </si>
  <si>
    <t>Trujillo</t>
  </si>
  <si>
    <t>Drewett</t>
  </si>
  <si>
    <t>Alamogordo</t>
  </si>
  <si>
    <t>Abbott</t>
  </si>
  <si>
    <t>Loessner</t>
  </si>
  <si>
    <t>Kindred</t>
  </si>
  <si>
    <t>Buchanan</t>
  </si>
  <si>
    <t>Benedict</t>
  </si>
  <si>
    <t>Leininger</t>
  </si>
  <si>
    <t>Phillips</t>
  </si>
  <si>
    <t>Herrera</t>
  </si>
  <si>
    <t>Cardella</t>
  </si>
  <si>
    <t>Siems</t>
  </si>
  <si>
    <t>Sanders</t>
  </si>
  <si>
    <t>Jimenez</t>
  </si>
  <si>
    <t>Kopcik</t>
  </si>
  <si>
    <t>Davis</t>
  </si>
  <si>
    <t>Santa Fe</t>
  </si>
  <si>
    <t>Ogrod</t>
  </si>
  <si>
    <t>Winchester</t>
  </si>
  <si>
    <t>Killian</t>
  </si>
  <si>
    <t>McDannel</t>
  </si>
  <si>
    <t>Padilla</t>
  </si>
  <si>
    <t>Guillen</t>
  </si>
  <si>
    <t>Walker</t>
  </si>
  <si>
    <t>McIntosh</t>
  </si>
  <si>
    <t>Gadson</t>
  </si>
  <si>
    <t>Miller</t>
  </si>
  <si>
    <t>Overholt</t>
  </si>
  <si>
    <t>Wood</t>
  </si>
  <si>
    <t>Griffin</t>
  </si>
  <si>
    <t>Bloom</t>
  </si>
  <si>
    <t>Lockamy</t>
  </si>
  <si>
    <t>Figueroa</t>
  </si>
  <si>
    <t>Disaster</t>
  </si>
  <si>
    <t>used wrong sq ft price</t>
  </si>
  <si>
    <t>lots of non-comm</t>
  </si>
  <si>
    <t>150 extra labor, pricing needs increase.</t>
  </si>
  <si>
    <t>did not install vanity but paid Clay for it</t>
  </si>
  <si>
    <t>basic package but extra electric installed</t>
  </si>
  <si>
    <t>2,000 discount for plaster disaster.</t>
  </si>
  <si>
    <t>under priced</t>
  </si>
  <si>
    <t>lots of concrete</t>
  </si>
  <si>
    <t>under-priced</t>
  </si>
  <si>
    <t>eliminated window at site check (assembly to single) without reducing price, increasing comm.</t>
  </si>
  <si>
    <t>Check electrical cost</t>
  </si>
  <si>
    <t>HD charges and especially mileage hurt the margin</t>
  </si>
  <si>
    <t>change order reduced overage.</t>
  </si>
  <si>
    <t>customer short paid $1,000.</t>
  </si>
  <si>
    <t>electrical demo not accounted for</t>
  </si>
  <si>
    <t>change order</t>
  </si>
  <si>
    <t>Russ spent 20 added hours (house on 3 sides)</t>
  </si>
  <si>
    <t>did not price hand held</t>
  </si>
  <si>
    <t>lots of added work</t>
  </si>
  <si>
    <t>discount, 9% comm, no underage applied.</t>
  </si>
  <si>
    <t>change color to white, no decrease in price.</t>
  </si>
  <si>
    <t>way under priced</t>
  </si>
  <si>
    <t>Paul did not add for stucco patch and sills</t>
  </si>
  <si>
    <t>quite a bit of non-comm.</t>
  </si>
  <si>
    <t>way under priced, lots of conventional</t>
  </si>
  <si>
    <t>Craneboard?  Increase pricing?</t>
  </si>
  <si>
    <t>only charged partial mileage.</t>
  </si>
  <si>
    <t>under charged for change order.</t>
  </si>
  <si>
    <t>Sean did not do Cal Corner.</t>
  </si>
  <si>
    <t>due to $1,000 discount</t>
  </si>
  <si>
    <t>Isaac training cost $200</t>
  </si>
  <si>
    <t>high HD probably needs to be spread</t>
  </si>
  <si>
    <t>check lattice matl costs</t>
  </si>
  <si>
    <t>had to order extra foot of roof projection.</t>
  </si>
  <si>
    <t>additional labor confusing</t>
  </si>
  <si>
    <t>forgot 2nd story fee</t>
  </si>
  <si>
    <t>had to bust out concrete unaccounted for.</t>
  </si>
  <si>
    <t>Concrete (non-comm)</t>
  </si>
  <si>
    <t>Paul did not include 2nd story and drywall work</t>
  </si>
  <si>
    <t>Not sure if all costs accounted for.</t>
  </si>
  <si>
    <t>underpriced, used Onyx pan but priced BP</t>
  </si>
  <si>
    <t>no salesman involved (Tracy signed contract)</t>
  </si>
  <si>
    <t>less margin on stucco</t>
  </si>
  <si>
    <t>way under priced (stucco &amp; drywall), addtl incent so back not negative.</t>
  </si>
  <si>
    <t>clean job, low margin for such high overage</t>
  </si>
  <si>
    <t>missing screen mesh costs.</t>
  </si>
  <si>
    <t>very clean, no added Russ or HD charges</t>
  </si>
  <si>
    <t>add so back half zero (no deduction), under priced and high costs</t>
  </si>
  <si>
    <t>under priced, more cost</t>
  </si>
  <si>
    <t>missed some items</t>
  </si>
  <si>
    <t>Sean overcharged sq ft and roof thickness and extra work.</t>
  </si>
  <si>
    <t>help</t>
  </si>
  <si>
    <t>did not factor in special shape cost.</t>
  </si>
  <si>
    <t>extra credit from Amerimax (may charge us 476.25)</t>
  </si>
  <si>
    <t>gave Paul half 406 upgrade from 306</t>
  </si>
  <si>
    <t>underpriced.</t>
  </si>
  <si>
    <t>underpriced</t>
  </si>
  <si>
    <t>Sean pulled off job: Travel paid</t>
  </si>
  <si>
    <t>Bernalillo</t>
  </si>
  <si>
    <t>Los Alamos</t>
  </si>
  <si>
    <t>Los Lunas</t>
  </si>
  <si>
    <t>2016 Job Cost, Margin and Commission Summary</t>
  </si>
  <si>
    <t>Rio Rancho</t>
  </si>
  <si>
    <t>T or C</t>
  </si>
  <si>
    <t>Yatahey</t>
  </si>
  <si>
    <t>Joseph</t>
  </si>
  <si>
    <t>Russ T</t>
  </si>
  <si>
    <t>Whiterock</t>
  </si>
  <si>
    <t>Perg</t>
  </si>
  <si>
    <t>Poly</t>
  </si>
  <si>
    <t>SCR</t>
  </si>
  <si>
    <t>B-FR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</si>
</sst>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mm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Fill="1"/>
    <xf numFmtId="164" fontId="4" fillId="0" borderId="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0" fillId="0" borderId="0" xfId="0" applyFill="1"/>
    <xf numFmtId="10" fontId="0" fillId="0" borderId="18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0" xfId="0" applyFill="1" applyBorder="1" applyAlignment="1"/>
    <xf numFmtId="1" fontId="0" fillId="0" borderId="2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26" xfId="0" applyBorder="1"/>
    <xf numFmtId="0" fontId="0" fillId="0" borderId="9" xfId="0" applyBorder="1"/>
    <xf numFmtId="0" fontId="0" fillId="0" borderId="27" xfId="0" applyBorder="1" applyAlignment="1">
      <alignment horizontal="center"/>
    </xf>
    <xf numFmtId="0" fontId="0" fillId="0" borderId="0" xfId="0" applyBorder="1"/>
    <xf numFmtId="0" fontId="0" fillId="0" borderId="28" xfId="0" applyBorder="1"/>
    <xf numFmtId="0" fontId="0" fillId="0" borderId="2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5" fontId="0" fillId="0" borderId="29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8" xfId="0" applyBorder="1"/>
    <xf numFmtId="0" fontId="0" fillId="0" borderId="27" xfId="0" applyBorder="1"/>
    <xf numFmtId="0" fontId="0" fillId="0" borderId="10" xfId="0" applyBorder="1"/>
    <xf numFmtId="164" fontId="0" fillId="0" borderId="3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4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0" borderId="2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44" fontId="0" fillId="0" borderId="0" xfId="0" applyNumberFormat="1" applyFill="1" applyAlignment="1">
      <alignment horizontal="center"/>
    </xf>
    <xf numFmtId="40" fontId="0" fillId="0" borderId="0" xfId="0" applyNumberFormat="1" applyFill="1"/>
    <xf numFmtId="10" fontId="1" fillId="0" borderId="0" xfId="0" applyNumberFormat="1" applyFont="1" applyFill="1" applyAlignment="1">
      <alignment horizontal="center"/>
    </xf>
    <xf numFmtId="44" fontId="1" fillId="0" borderId="0" xfId="0" applyNumberFormat="1" applyFont="1" applyFill="1" applyAlignment="1">
      <alignment horizontal="center"/>
    </xf>
    <xf numFmtId="40" fontId="1" fillId="0" borderId="0" xfId="0" applyNumberFormat="1" applyFont="1" applyFill="1"/>
    <xf numFmtId="10" fontId="3" fillId="0" borderId="5" xfId="0" applyNumberFormat="1" applyFont="1" applyFill="1" applyBorder="1" applyAlignment="1">
      <alignment horizontal="center" vertical="center"/>
    </xf>
    <xf numFmtId="44" fontId="3" fillId="0" borderId="5" xfId="1" applyNumberFormat="1" applyFont="1" applyFill="1" applyBorder="1" applyAlignment="1">
      <alignment horizontal="center" vertical="center"/>
    </xf>
    <xf numFmtId="44" fontId="3" fillId="0" borderId="6" xfId="1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44" fontId="3" fillId="0" borderId="2" xfId="0" applyNumberFormat="1" applyFont="1" applyFill="1" applyBorder="1" applyAlignment="1">
      <alignment horizontal="center"/>
    </xf>
    <xf numFmtId="4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0" fontId="1" fillId="0" borderId="1" xfId="0" applyNumberFormat="1" applyFont="1" applyFill="1" applyBorder="1"/>
    <xf numFmtId="0" fontId="1" fillId="0" borderId="0" xfId="0" applyFont="1" applyFill="1" applyBorder="1"/>
    <xf numFmtId="40" fontId="0" fillId="0" borderId="1" xfId="0" applyNumberFormat="1" applyFont="1" applyFill="1" applyBorder="1"/>
    <xf numFmtId="40" fontId="0" fillId="0" borderId="1" xfId="0" applyNumberFormat="1" applyFill="1" applyBorder="1"/>
    <xf numFmtId="2" fontId="1" fillId="0" borderId="0" xfId="0" applyNumberFormat="1" applyFont="1" applyFill="1"/>
    <xf numFmtId="39" fontId="1" fillId="0" borderId="0" xfId="0" applyNumberFormat="1" applyFont="1" applyFill="1"/>
    <xf numFmtId="10" fontId="0" fillId="0" borderId="0" xfId="0" applyNumberFormat="1" applyFill="1" applyAlignment="1">
      <alignment horizontal="center"/>
    </xf>
    <xf numFmtId="1" fontId="0" fillId="0" borderId="18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44" fontId="3" fillId="0" borderId="7" xfId="1" applyNumberFormat="1" applyFont="1" applyFill="1" applyBorder="1" applyAlignment="1">
      <alignment horizontal="center" vertical="center"/>
    </xf>
    <xf numFmtId="44" fontId="1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44" fontId="1" fillId="0" borderId="35" xfId="0" applyNumberFormat="1" applyFont="1" applyFill="1" applyBorder="1" applyAlignment="1">
      <alignment horizontal="center"/>
    </xf>
    <xf numFmtId="39" fontId="1" fillId="0" borderId="1" xfId="0" applyNumberFormat="1" applyFont="1" applyFill="1" applyBorder="1" applyAlignment="1">
      <alignment horizontal="center"/>
    </xf>
    <xf numFmtId="44" fontId="1" fillId="0" borderId="32" xfId="0" applyNumberFormat="1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2" borderId="13" xfId="0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 wrapText="1"/>
    </xf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1" xfId="0" applyNumberFormat="1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Margin Analysis'!$D$2</c:f>
              <c:strCache>
                <c:ptCount val="1"/>
                <c:pt idx="0">
                  <c:v>Average margin by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Margin Analysis'!$D$4:$D$18</c:f>
              <c:numCache>
                <c:formatCode>0.0%</c:formatCode>
                <c:ptCount val="15"/>
                <c:pt idx="0">
                  <c:v>0.52038151117064502</c:v>
                </c:pt>
                <c:pt idx="1">
                  <c:v>0</c:v>
                </c:pt>
                <c:pt idx="2">
                  <c:v>0.54335604392645953</c:v>
                </c:pt>
                <c:pt idx="3">
                  <c:v>0.50690094726189272</c:v>
                </c:pt>
                <c:pt idx="4">
                  <c:v>0.51778973752017077</c:v>
                </c:pt>
                <c:pt idx="5">
                  <c:v>0</c:v>
                </c:pt>
                <c:pt idx="6">
                  <c:v>0.51215780828159396</c:v>
                </c:pt>
                <c:pt idx="7">
                  <c:v>0.40672377942531468</c:v>
                </c:pt>
                <c:pt idx="8">
                  <c:v>0.52477694524684737</c:v>
                </c:pt>
                <c:pt idx="9">
                  <c:v>0.5574079901682969</c:v>
                </c:pt>
                <c:pt idx="10">
                  <c:v>0.51261028094569949</c:v>
                </c:pt>
                <c:pt idx="11">
                  <c:v>0</c:v>
                </c:pt>
                <c:pt idx="12">
                  <c:v>0.47375676718888299</c:v>
                </c:pt>
                <c:pt idx="13">
                  <c:v>0.56588618393206336</c:v>
                </c:pt>
                <c:pt idx="14">
                  <c:v>0.48054287737431844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100"/>
        <c:shape val="box"/>
        <c:axId val="469761616"/>
        <c:axId val="469767104"/>
        <c:axId val="0"/>
      </c:bar3DChart>
      <c:catAx>
        <c:axId val="4697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7104"/>
        <c:crosses val="autoZero"/>
        <c:auto val="1"/>
        <c:lblAlgn val="ctr"/>
        <c:lblOffset val="100"/>
        <c:noMultiLvlLbl val="0"/>
      </c:catAx>
      <c:valAx>
        <c:axId val="469767104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</c:strCache>
            </c:strRef>
          </c:cat>
          <c:val>
            <c:numRef>
              <c:f>'Designer Analysis'!$E$4:$E$11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02136"/>
        <c:axId val="569308016"/>
        <c:axId val="0"/>
      </c:bar3DChart>
      <c:catAx>
        <c:axId val="56930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8016"/>
        <c:crosses val="autoZero"/>
        <c:auto val="1"/>
        <c:lblAlgn val="ctr"/>
        <c:lblOffset val="100"/>
        <c:noMultiLvlLbl val="0"/>
      </c:catAx>
      <c:valAx>
        <c:axId val="56930801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</c:strCache>
            </c:strRef>
          </c:cat>
          <c:val>
            <c:numRef>
              <c:f>'Designer Analysis'!$F$4:$F$11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08408"/>
        <c:axId val="569299392"/>
        <c:axId val="0"/>
      </c:bar3DChart>
      <c:catAx>
        <c:axId val="56930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9392"/>
        <c:crosses val="autoZero"/>
        <c:auto val="1"/>
        <c:lblAlgn val="ctr"/>
        <c:lblOffset val="100"/>
        <c:noMultiLvlLbl val="0"/>
      </c:catAx>
      <c:valAx>
        <c:axId val="5692993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x̅ Comm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</c:strCache>
            </c:strRef>
          </c:cat>
          <c:val>
            <c:numRef>
              <c:f>'Designer Analysis'!$G$4:$G$11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299784"/>
        <c:axId val="569299000"/>
        <c:axId val="0"/>
      </c:bar3DChart>
      <c:catAx>
        <c:axId val="56929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9000"/>
        <c:crosses val="autoZero"/>
        <c:auto val="1"/>
        <c:lblAlgn val="ctr"/>
        <c:lblOffset val="100"/>
        <c:noMultiLvlLbl val="0"/>
      </c:catAx>
      <c:valAx>
        <c:axId val="5692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1"/>
          <c:dPt>
            <c:idx val="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</c:strCache>
            </c:strRef>
          </c:cat>
          <c:val>
            <c:numRef>
              <c:f>'Designer Analysis'!$H$4:$H$11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14:spPr>
              </c14:invertSolidFillFmt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05272"/>
        <c:axId val="569305664"/>
        <c:axId val="0"/>
      </c:bar3DChart>
      <c:catAx>
        <c:axId val="56930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5664"/>
        <c:crossesAt val="-500"/>
        <c:auto val="1"/>
        <c:lblAlgn val="ctr"/>
        <c:lblOffset val="100"/>
        <c:noMultiLvlLbl val="0"/>
      </c:catAx>
      <c:valAx>
        <c:axId val="569305664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</c:strCache>
            </c:strRef>
          </c:cat>
          <c:val>
            <c:numRef>
              <c:f>'Designer Analysis'!$I$4:$I$11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06448"/>
        <c:axId val="569306840"/>
        <c:axId val="0"/>
      </c:bar3DChart>
      <c:catAx>
        <c:axId val="5693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6840"/>
        <c:crosses val="autoZero"/>
        <c:auto val="1"/>
        <c:lblAlgn val="ctr"/>
        <c:lblOffset val="100"/>
        <c:noMultiLvlLbl val="0"/>
      </c:catAx>
      <c:valAx>
        <c:axId val="569306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</c:strCache>
            </c:strRef>
          </c:cat>
          <c:val>
            <c:numRef>
              <c:f>'Designer Analysis'!$J$4:$J$11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08800"/>
        <c:axId val="569313504"/>
        <c:axId val="0"/>
      </c:bar3DChart>
      <c:catAx>
        <c:axId val="5693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3504"/>
        <c:crosses val="autoZero"/>
        <c:auto val="1"/>
        <c:lblAlgn val="ctr"/>
        <c:lblOffset val="100"/>
        <c:noMultiLvlLbl val="0"/>
      </c:catAx>
      <c:valAx>
        <c:axId val="569313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Analysis'!$C$4:$C$25</c:f>
              <c:numCache>
                <c:formatCode>"$"#,##0.00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14288"/>
        <c:axId val="569314680"/>
        <c:axId val="0"/>
      </c:bar3DChart>
      <c:catAx>
        <c:axId val="5693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4680"/>
        <c:crosses val="autoZero"/>
        <c:auto val="1"/>
        <c:lblAlgn val="ctr"/>
        <c:lblOffset val="100"/>
        <c:noMultiLvlLbl val="0"/>
      </c:catAx>
      <c:valAx>
        <c:axId val="569314680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Analysis'!$D$4:$D$25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13112"/>
        <c:axId val="569311936"/>
        <c:axId val="0"/>
      </c:bar3DChart>
      <c:catAx>
        <c:axId val="56931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1936"/>
        <c:crosses val="autoZero"/>
        <c:auto val="1"/>
        <c:lblAlgn val="ctr"/>
        <c:lblOffset val="100"/>
        <c:noMultiLvlLbl val="0"/>
      </c:catAx>
      <c:valAx>
        <c:axId val="569311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Analysis'!$E$4:$E$25</c:f>
              <c:numCache>
                <c:formatCode>"$"#,##0.00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12720"/>
        <c:axId val="469766320"/>
        <c:axId val="0"/>
      </c:bar3DChart>
      <c:catAx>
        <c:axId val="5693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6320"/>
        <c:crosses val="autoZero"/>
        <c:auto val="1"/>
        <c:lblAlgn val="ctr"/>
        <c:lblOffset val="100"/>
        <c:noMultiLvlLbl val="0"/>
      </c:catAx>
      <c:valAx>
        <c:axId val="469766320"/>
        <c:scaling>
          <c:orientation val="minMax"/>
          <c:max val="3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Analysis'!$F$4:$F$25</c:f>
              <c:numCache>
                <c:formatCode>0.00%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9763968"/>
        <c:axId val="586696160"/>
        <c:axId val="0"/>
      </c:bar3DChart>
      <c:catAx>
        <c:axId val="4697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6160"/>
        <c:crosses val="autoZero"/>
        <c:auto val="1"/>
        <c:lblAlgn val="ctr"/>
        <c:lblOffset val="100"/>
        <c:noMultiLvlLbl val="0"/>
      </c:catAx>
      <c:valAx>
        <c:axId val="5866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 by Product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Analysis'!$B$23:$B$31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Analysis'!$C$23:$C$31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Analysis'!$B$23:$B$31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Analysis'!$D$23:$D$31</c:f>
              <c:numCache>
                <c:formatCode>0.0%</c:formatCode>
                <c:ptCount val="9"/>
                <c:pt idx="0">
                  <c:v>0.52038151117064502</c:v>
                </c:pt>
                <c:pt idx="1">
                  <c:v>0</c:v>
                </c:pt>
                <c:pt idx="2">
                  <c:v>0.52005113424752925</c:v>
                </c:pt>
                <c:pt idx="3">
                  <c:v>0.50037974894653958</c:v>
                </c:pt>
                <c:pt idx="4">
                  <c:v>0.50672860949842169</c:v>
                </c:pt>
                <c:pt idx="5">
                  <c:v>0.5055785035357041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9767496"/>
        <c:axId val="469764360"/>
        <c:axId val="0"/>
      </c:bar3DChart>
      <c:catAx>
        <c:axId val="46976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4360"/>
        <c:crosses val="autoZero"/>
        <c:auto val="1"/>
        <c:lblAlgn val="ctr"/>
        <c:lblOffset val="100"/>
        <c:noMultiLvlLbl val="0"/>
      </c:catAx>
      <c:valAx>
        <c:axId val="46976436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1"/>
          <c:dPt>
            <c:idx val="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Analysis'!$G$4:$G$25</c:f>
              <c:numCache>
                <c:formatCode>"$"#,##0.00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14:spPr>
              </c14:invertSolidFillFmt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86692632"/>
        <c:axId val="586694200"/>
        <c:axId val="0"/>
      </c:bar3DChart>
      <c:catAx>
        <c:axId val="5866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4200"/>
        <c:crossesAt val="-500"/>
        <c:auto val="1"/>
        <c:lblAlgn val="ctr"/>
        <c:lblOffset val="100"/>
        <c:noMultiLvlLbl val="0"/>
      </c:catAx>
      <c:valAx>
        <c:axId val="586694200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month'!$C$2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month'!$C$4:$C$15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86691064"/>
        <c:axId val="586691456"/>
        <c:axId val="0"/>
      </c:bar3DChart>
      <c:dateAx>
        <c:axId val="586691064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1456"/>
        <c:crosses val="autoZero"/>
        <c:auto val="1"/>
        <c:lblOffset val="100"/>
        <c:baseTimeUnit val="months"/>
      </c:dateAx>
      <c:valAx>
        <c:axId val="586691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month'!$D$4:$D$15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86692240"/>
        <c:axId val="586694984"/>
        <c:axId val="0"/>
      </c:bar3DChart>
      <c:dateAx>
        <c:axId val="586692240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4984"/>
        <c:crosses val="autoZero"/>
        <c:auto val="1"/>
        <c:lblOffset val="100"/>
        <c:baseTimeUnit val="months"/>
      </c:dateAx>
      <c:valAx>
        <c:axId val="586694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month'!$E$4:$E$15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86695768"/>
        <c:axId val="586693024"/>
        <c:axId val="0"/>
      </c:bar3DChart>
      <c:dateAx>
        <c:axId val="586695768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3024"/>
        <c:crosses val="autoZero"/>
        <c:auto val="1"/>
        <c:lblOffset val="100"/>
        <c:baseTimeUnit val="months"/>
      </c:dateAx>
      <c:valAx>
        <c:axId val="586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month'!$F$4:$F$15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86698120"/>
        <c:axId val="586693808"/>
        <c:axId val="0"/>
      </c:bar3DChart>
      <c:dateAx>
        <c:axId val="586698120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3808"/>
        <c:crosses val="autoZero"/>
        <c:auto val="1"/>
        <c:lblOffset val="100"/>
        <c:baseTimeUnit val="months"/>
      </c:dateAx>
      <c:valAx>
        <c:axId val="58669380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Revenue Analysis'!$D$2</c:f>
              <c:strCache>
                <c:ptCount val="1"/>
                <c:pt idx="0">
                  <c:v>Net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Analysis'!$D$4:$D$18</c:f>
              <c:numCache>
                <c:formatCode>"$"#,##0.00</c:formatCode>
                <c:ptCount val="15"/>
                <c:pt idx="0">
                  <c:v>382416.09</c:v>
                </c:pt>
                <c:pt idx="1">
                  <c:v>0</c:v>
                </c:pt>
                <c:pt idx="2">
                  <c:v>166771.43</c:v>
                </c:pt>
                <c:pt idx="3">
                  <c:v>160477.53999999998</c:v>
                </c:pt>
                <c:pt idx="4">
                  <c:v>287765.26999999996</c:v>
                </c:pt>
                <c:pt idx="5">
                  <c:v>0</c:v>
                </c:pt>
                <c:pt idx="6">
                  <c:v>99797.749999999985</c:v>
                </c:pt>
                <c:pt idx="7">
                  <c:v>166536.41</c:v>
                </c:pt>
                <c:pt idx="8">
                  <c:v>485087.87000000011</c:v>
                </c:pt>
                <c:pt idx="9">
                  <c:v>101613.91</c:v>
                </c:pt>
                <c:pt idx="10">
                  <c:v>181497.4</c:v>
                </c:pt>
                <c:pt idx="11">
                  <c:v>0</c:v>
                </c:pt>
                <c:pt idx="12">
                  <c:v>25519.690000000002</c:v>
                </c:pt>
                <c:pt idx="13">
                  <c:v>99676.55</c:v>
                </c:pt>
                <c:pt idx="14">
                  <c:v>601715.84000000008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5289720"/>
        <c:axId val="775295600"/>
        <c:axId val="0"/>
      </c:bar3DChart>
      <c:catAx>
        <c:axId val="77528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95600"/>
        <c:crosses val="autoZero"/>
        <c:auto val="1"/>
        <c:lblAlgn val="ctr"/>
        <c:lblOffset val="100"/>
        <c:noMultiLvlLbl val="0"/>
      </c:catAx>
      <c:valAx>
        <c:axId val="77529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8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'Product Revenue Analysis'!$E$2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Analysis'!$E$4:$E$18</c:f>
              <c:numCache>
                <c:formatCode>"$"#,##0.00</c:formatCode>
                <c:ptCount val="15"/>
                <c:pt idx="0">
                  <c:v>8136.51255319149</c:v>
                </c:pt>
                <c:pt idx="1">
                  <c:v>0</c:v>
                </c:pt>
                <c:pt idx="2">
                  <c:v>7250.9317391304348</c:v>
                </c:pt>
                <c:pt idx="3">
                  <c:v>9439.8552941176458</c:v>
                </c:pt>
                <c:pt idx="4">
                  <c:v>6394.7837777777768</c:v>
                </c:pt>
                <c:pt idx="5">
                  <c:v>0</c:v>
                </c:pt>
                <c:pt idx="6">
                  <c:v>6653.1833333333325</c:v>
                </c:pt>
                <c:pt idx="7">
                  <c:v>27756.068333333333</c:v>
                </c:pt>
                <c:pt idx="8">
                  <c:v>23099.422380952386</c:v>
                </c:pt>
                <c:pt idx="9">
                  <c:v>25403.477500000001</c:v>
                </c:pt>
                <c:pt idx="10">
                  <c:v>16499.763636363637</c:v>
                </c:pt>
                <c:pt idx="11">
                  <c:v>0</c:v>
                </c:pt>
                <c:pt idx="12">
                  <c:v>4253.2816666666668</c:v>
                </c:pt>
                <c:pt idx="13">
                  <c:v>9061.5045454545452</c:v>
                </c:pt>
                <c:pt idx="14">
                  <c:v>14675.996097560977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5293248"/>
        <c:axId val="4582260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'Product Revenue Analysis'!$D$2</c15:sqref>
                        </c15:formulaRef>
                      </c:ext>
                    </c:extLst>
                    <c:strCache>
                      <c:ptCount val="1"/>
                      <c:pt idx="0">
                        <c:v>Net Sale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 Revenue Analysis'!$C$4:$C$18</c15:sqref>
                        </c15:formulaRef>
                      </c:ext>
                    </c:extLst>
                    <c:strCache>
                      <c:ptCount val="15"/>
                      <c:pt idx="0">
                        <c:v>B</c:v>
                      </c:pt>
                      <c:pt idx="1">
                        <c:v>K</c:v>
                      </c:pt>
                      <c:pt idx="2">
                        <c:v>FP</c:v>
                      </c:pt>
                      <c:pt idx="3">
                        <c:v>IR</c:v>
                      </c:pt>
                      <c:pt idx="4">
                        <c:v>LC</c:v>
                      </c:pt>
                      <c:pt idx="5">
                        <c:v>OP</c:v>
                      </c:pt>
                      <c:pt idx="6">
                        <c:v>VP</c:v>
                      </c:pt>
                      <c:pt idx="7">
                        <c:v>SR-206</c:v>
                      </c:pt>
                      <c:pt idx="8">
                        <c:v>SR-306</c:v>
                      </c:pt>
                      <c:pt idx="9">
                        <c:v>SR-406</c:v>
                      </c:pt>
                      <c:pt idx="10">
                        <c:v>SR-VV</c:v>
                      </c:pt>
                      <c:pt idx="11">
                        <c:v>SCR-WO</c:v>
                      </c:pt>
                      <c:pt idx="12">
                        <c:v>D</c:v>
                      </c:pt>
                      <c:pt idx="13">
                        <c:v>W (A)</c:v>
                      </c:pt>
                      <c:pt idx="14">
                        <c:v>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 Revenue Analysis'!$D$4:$D$18</c15:sqref>
                        </c15:formulaRef>
                      </c:ext>
                    </c:extLst>
                    <c:numCache>
                      <c:formatCode>"$"#,##0.00</c:formatCode>
                      <c:ptCount val="15"/>
                      <c:pt idx="0">
                        <c:v>382416.09</c:v>
                      </c:pt>
                      <c:pt idx="1">
                        <c:v>0</c:v>
                      </c:pt>
                      <c:pt idx="2">
                        <c:v>166771.43</c:v>
                      </c:pt>
                      <c:pt idx="3">
                        <c:v>160477.53999999998</c:v>
                      </c:pt>
                      <c:pt idx="4">
                        <c:v>287765.26999999996</c:v>
                      </c:pt>
                      <c:pt idx="5">
                        <c:v>0</c:v>
                      </c:pt>
                      <c:pt idx="6">
                        <c:v>99797.749999999985</c:v>
                      </c:pt>
                      <c:pt idx="7">
                        <c:v>166536.41</c:v>
                      </c:pt>
                      <c:pt idx="8">
                        <c:v>485087.87000000011</c:v>
                      </c:pt>
                      <c:pt idx="9">
                        <c:v>101613.91</c:v>
                      </c:pt>
                      <c:pt idx="10">
                        <c:v>181497.4</c:v>
                      </c:pt>
                      <c:pt idx="11">
                        <c:v>0</c:v>
                      </c:pt>
                      <c:pt idx="12">
                        <c:v>25519.690000000002</c:v>
                      </c:pt>
                      <c:pt idx="13">
                        <c:v>99676.55</c:v>
                      </c:pt>
                      <c:pt idx="14">
                        <c:v>601715.84000000008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7B2E-42DF-B7AE-C73110D5DC8B}"/>
                  </c:ext>
                </c:extLst>
              </c15:ser>
            </c15:filteredBarSeries>
          </c:ext>
        </c:extLst>
      </c:bar3DChart>
      <c:catAx>
        <c:axId val="7752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26088"/>
        <c:crosses val="autoZero"/>
        <c:auto val="1"/>
        <c:lblAlgn val="ctr"/>
        <c:lblOffset val="100"/>
        <c:noMultiLvlLbl val="0"/>
      </c:catAx>
      <c:valAx>
        <c:axId val="458226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Analysis'!$B$23:$B$29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Analysis'!$C$23:$C$29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Analysis'!$B$23:$B$29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Analysis'!$D$23:$D$29</c:f>
              <c:numCache>
                <c:formatCode>"$"#,##0.00</c:formatCode>
                <c:ptCount val="7"/>
                <c:pt idx="0">
                  <c:v>382416.09</c:v>
                </c:pt>
                <c:pt idx="1">
                  <c:v>0</c:v>
                </c:pt>
                <c:pt idx="2">
                  <c:v>714811.99</c:v>
                </c:pt>
                <c:pt idx="3">
                  <c:v>934735.5900000002</c:v>
                </c:pt>
                <c:pt idx="4">
                  <c:v>726912.08000000007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00176"/>
        <c:axId val="569310760"/>
        <c:axId val="0"/>
      </c:bar3DChart>
      <c:catAx>
        <c:axId val="5693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0760"/>
        <c:crosses val="autoZero"/>
        <c:auto val="1"/>
        <c:lblAlgn val="ctr"/>
        <c:lblOffset val="100"/>
        <c:noMultiLvlLbl val="0"/>
      </c:catAx>
      <c:valAx>
        <c:axId val="569310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Analysis'!$C$4:$C$22</c:f>
              <c:strCache>
                <c:ptCount val="6"/>
                <c:pt idx="0">
                  <c:v>Brad</c:v>
                </c:pt>
                <c:pt idx="1">
                  <c:v>Chris</c:v>
                </c:pt>
                <c:pt idx="2">
                  <c:v>Dominic</c:v>
                </c:pt>
                <c:pt idx="3">
                  <c:v>Jory</c:v>
                </c:pt>
                <c:pt idx="4">
                  <c:v>Romo</c:v>
                </c:pt>
                <c:pt idx="5">
                  <c:v>HIR</c:v>
                </c:pt>
              </c:strCache>
            </c:strRef>
          </c:cat>
          <c:val>
            <c:numRef>
              <c:f>'Installer Analysis'!$D$4:$D$22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09584"/>
        <c:axId val="569303312"/>
        <c:axId val="0"/>
      </c:bar3DChart>
      <c:catAx>
        <c:axId val="5693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3312"/>
        <c:crosses val="autoZero"/>
        <c:auto val="1"/>
        <c:lblAlgn val="ctr"/>
        <c:lblOffset val="100"/>
        <c:noMultiLvlLbl val="0"/>
      </c:catAx>
      <c:valAx>
        <c:axId val="569303312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Analysis'!$C$4,'Installer Analysis'!$E$4)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Analysis'!$C$5,'Installer Analysis'!$E$5)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Analysis'!$C$6,'Installer Analysis'!$E$6)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Analysis'!$C$7,'Installer Analysis'!$E$7)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Analysis'!$C$8,'Installer Analysis'!$E$8)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Analysis'!$C$9,'Installer Analysis'!$E$9)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Analysis'!$C$10,'Installer Analysis'!$E$10)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Analysis'!$C$11,'Installer Analysis'!$E$11)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Analysis'!$C$12,'Installer Analysis'!$E$12)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Analysis'!$C$13,'Installer Analysis'!$E$13)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Analysis'!$C$14,'Installer Analysis'!$E$14)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Analysis'!$C$15,'Installer Analysis'!$E$15)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Analysis'!$C$16,'Installer Analysis'!$E$16)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Analysis'!$C$17,'Installer Analysis'!$E$17)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Analysis'!$C$18,'Installer Analysis'!$E$18)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Analysis'!$C$19,'Installer Analysis'!$E$19)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Analysis'!$C$20,'Installer Analysis'!$E$20)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Analysis'!$C$21,'Installer Analysis'!$E$21)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('Installer Analysis'!$C$22,'Installer Analysis'!$E$22)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09976"/>
        <c:axId val="569310368"/>
        <c:axId val="0"/>
      </c:bar3DChart>
      <c:catAx>
        <c:axId val="5693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0368"/>
        <c:crosses val="autoZero"/>
        <c:auto val="1"/>
        <c:lblAlgn val="ctr"/>
        <c:lblOffset val="100"/>
        <c:noMultiLvlLbl val="0"/>
      </c:catAx>
      <c:valAx>
        <c:axId val="569310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'Designer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</c:strCache>
            </c:strRef>
          </c:cat>
          <c:val>
            <c:numRef>
              <c:f>'Designer Analysis'!$C$4:$C$11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11152"/>
        <c:axId val="569300960"/>
        <c:axId val="0"/>
      </c:bar3DChart>
      <c:catAx>
        <c:axId val="5693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0960"/>
        <c:crosses val="autoZero"/>
        <c:auto val="1"/>
        <c:lblAlgn val="ctr"/>
        <c:lblOffset val="100"/>
        <c:noMultiLvlLbl val="0"/>
      </c:catAx>
      <c:valAx>
        <c:axId val="569300960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5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</c:strCache>
            </c:strRef>
          </c:cat>
          <c:val>
            <c:numRef>
              <c:f>'Designer Analysis'!$D$4:$D$11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69301744"/>
        <c:axId val="569304096"/>
        <c:axId val="0"/>
      </c:bar3DChart>
      <c:catAx>
        <c:axId val="5693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4096"/>
        <c:crosses val="autoZero"/>
        <c:auto val="1"/>
        <c:lblAlgn val="ctr"/>
        <c:lblOffset val="100"/>
        <c:noMultiLvlLbl val="0"/>
      </c:catAx>
      <c:valAx>
        <c:axId val="56930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</xdr:rowOff>
    </xdr:from>
    <xdr:to>
      <xdr:col>28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14287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28</xdr:col>
      <xdr:colOff>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180975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74</xdr:row>
      <xdr:rowOff>14286</xdr:rowOff>
    </xdr:from>
    <xdr:to>
      <xdr:col>28</xdr:col>
      <xdr:colOff>0</xdr:colOff>
      <xdr:row>109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161923</xdr:colOff>
      <xdr:row>1</xdr:row>
      <xdr:rowOff>9525</xdr:rowOff>
    </xdr:from>
    <xdr:to>
      <xdr:col>28</xdr:col>
      <xdr:colOff>590549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33</xdr:row>
      <xdr:rowOff>14287</xdr:rowOff>
    </xdr:from>
    <xdr:to>
      <xdr:col>28</xdr:col>
      <xdr:colOff>600074</xdr:colOff>
      <xdr:row>64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9525</xdr:rowOff>
    </xdr:from>
    <xdr:to>
      <xdr:col>23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46</xdr:row>
      <xdr:rowOff>195261</xdr:rowOff>
    </xdr:from>
    <xdr:to>
      <xdr:col>23</xdr:col>
      <xdr:colOff>9525</xdr:colOff>
      <xdr:row>77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79</xdr:row>
      <xdr:rowOff>14287</xdr:rowOff>
    </xdr:from>
    <xdr:to>
      <xdr:col>22</xdr:col>
      <xdr:colOff>609599</xdr:colOff>
      <xdr:row>110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111</xdr:row>
      <xdr:rowOff>14287</xdr:rowOff>
    </xdr:from>
    <xdr:to>
      <xdr:col>22</xdr:col>
      <xdr:colOff>600074</xdr:colOff>
      <xdr:row>141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143</xdr:row>
      <xdr:rowOff>4762</xdr:rowOff>
    </xdr:from>
    <xdr:to>
      <xdr:col>23</xdr:col>
      <xdr:colOff>9525</xdr:colOff>
      <xdr:row>173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175</xdr:row>
      <xdr:rowOff>14286</xdr:rowOff>
    </xdr:from>
    <xdr:to>
      <xdr:col>22</xdr:col>
      <xdr:colOff>600075</xdr:colOff>
      <xdr:row>205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207</xdr:row>
      <xdr:rowOff>14287</xdr:rowOff>
    </xdr:from>
    <xdr:to>
      <xdr:col>23</xdr:col>
      <xdr:colOff>0</xdr:colOff>
      <xdr:row>238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239</xdr:row>
      <xdr:rowOff>14286</xdr:rowOff>
    </xdr:from>
    <xdr:to>
      <xdr:col>22</xdr:col>
      <xdr:colOff>609599</xdr:colOff>
      <xdr:row>269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28</xdr:row>
      <xdr:rowOff>9525</xdr:rowOff>
    </xdr:from>
    <xdr:to>
      <xdr:col>23</xdr:col>
      <xdr:colOff>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59</xdr:row>
      <xdr:rowOff>195261</xdr:rowOff>
    </xdr:from>
    <xdr:to>
      <xdr:col>23</xdr:col>
      <xdr:colOff>9525</xdr:colOff>
      <xdr:row>90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92</xdr:row>
      <xdr:rowOff>14287</xdr:rowOff>
    </xdr:from>
    <xdr:to>
      <xdr:col>22</xdr:col>
      <xdr:colOff>609599</xdr:colOff>
      <xdr:row>123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124</xdr:row>
      <xdr:rowOff>14287</xdr:rowOff>
    </xdr:from>
    <xdr:to>
      <xdr:col>22</xdr:col>
      <xdr:colOff>600074</xdr:colOff>
      <xdr:row>154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156</xdr:row>
      <xdr:rowOff>4761</xdr:rowOff>
    </xdr:from>
    <xdr:to>
      <xdr:col>22</xdr:col>
      <xdr:colOff>600075</xdr:colOff>
      <xdr:row>186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9525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195261</xdr:rowOff>
    </xdr:from>
    <xdr:to>
      <xdr:col>23</xdr:col>
      <xdr:colOff>9525</xdr:colOff>
      <xdr:row>80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82</xdr:row>
      <xdr:rowOff>14287</xdr:rowOff>
    </xdr:from>
    <xdr:to>
      <xdr:col>22</xdr:col>
      <xdr:colOff>609599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114</xdr:row>
      <xdr:rowOff>14287</xdr:rowOff>
    </xdr:from>
    <xdr:to>
      <xdr:col>22</xdr:col>
      <xdr:colOff>600074</xdr:colOff>
      <xdr:row>144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600"/>
  <sheetViews>
    <sheetView showGridLines="0" tabSelected="1" zoomScale="90" zoomScaleNormal="90" workbookViewId="0">
      <pane ySplit="4" topLeftCell="A5" activePane="bottomLeft" state="frozen"/>
      <selection activeCell="C1" sqref="C1"/>
      <selection pane="bottomLeft" activeCell="H404" sqref="H404"/>
    </sheetView>
  </sheetViews>
  <sheetFormatPr defaultRowHeight="15" x14ac:dyDescent="0.25"/>
  <cols>
    <col min="1" max="1" width="2" style="23" customWidth="1"/>
    <col min="2" max="2" width="5.85546875" style="29" customWidth="1"/>
    <col min="3" max="3" width="12" style="29" customWidth="1"/>
    <col min="4" max="4" width="11.28515625" style="29" customWidth="1"/>
    <col min="5" max="5" width="11.42578125" style="29" bestFit="1" customWidth="1"/>
    <col min="6" max="6" width="17.28515625" style="117" customWidth="1"/>
    <col min="7" max="7" width="17.85546875" style="29" customWidth="1"/>
    <col min="8" max="8" width="12.5703125" style="29" customWidth="1"/>
    <col min="9" max="9" width="15.7109375" style="81" bestFit="1" customWidth="1"/>
    <col min="10" max="10" width="16.85546875" style="81" bestFit="1" customWidth="1"/>
    <col min="11" max="11" width="10.42578125" style="103" customWidth="1"/>
    <col min="12" max="12" width="15" style="81" customWidth="1"/>
    <col min="13" max="13" width="10.42578125" style="103" customWidth="1"/>
    <col min="14" max="14" width="16" style="81" customWidth="1"/>
    <col min="15" max="16" width="15.5703125" style="81" customWidth="1"/>
    <col min="17" max="17" width="90.42578125" style="82" customWidth="1"/>
    <col min="18" max="18" width="12" style="23" bestFit="1" customWidth="1"/>
    <col min="19" max="20" width="9.140625" style="23"/>
    <col min="21" max="21" width="11.85546875" style="23" bestFit="1" customWidth="1"/>
    <col min="22" max="16384" width="9.140625" style="23"/>
  </cols>
  <sheetData>
    <row r="1" spans="2:21" ht="32.25" customHeight="1" x14ac:dyDescent="0.35">
      <c r="F1" s="124" t="s">
        <v>419</v>
      </c>
      <c r="G1" s="124"/>
      <c r="H1" s="124"/>
      <c r="I1" s="124"/>
      <c r="J1" s="124"/>
      <c r="K1" s="124"/>
      <c r="L1" s="124"/>
      <c r="M1" s="124"/>
    </row>
    <row r="2" spans="2:21" s="4" customFormat="1" ht="9" customHeight="1" thickBot="1" x14ac:dyDescent="0.3">
      <c r="B2" s="109"/>
      <c r="C2" s="109"/>
      <c r="D2" s="109"/>
      <c r="E2" s="109"/>
      <c r="F2" s="110"/>
      <c r="G2" s="109"/>
      <c r="H2" s="109"/>
      <c r="I2" s="84"/>
      <c r="J2" s="84"/>
      <c r="K2" s="83"/>
      <c r="L2" s="84"/>
      <c r="M2" s="83"/>
      <c r="N2" s="84"/>
      <c r="O2" s="84"/>
      <c r="P2" s="84"/>
      <c r="Q2" s="85"/>
    </row>
    <row r="3" spans="2:21" s="4" customFormat="1" ht="22.5" customHeight="1" thickBot="1" x14ac:dyDescent="0.3">
      <c r="B3" s="109"/>
      <c r="C3" s="109"/>
      <c r="D3" s="109"/>
      <c r="E3" s="109"/>
      <c r="F3" s="110"/>
      <c r="G3" s="125" t="s">
        <v>49</v>
      </c>
      <c r="H3" s="126"/>
      <c r="I3" s="111">
        <f>SUM(I5:INDEX(I5:I1048576,MATCH(TRUE,INDEX(ISBLANK(I5:I1048576),0,0),0)-1,0))</f>
        <v>3021648.1699999981</v>
      </c>
      <c r="J3" s="87">
        <f>SUM(J5:INDEX(J5:J1048576,MATCH(TRUE,INDEX(ISBLANK(J5:J1048576),0,0),0)-1,0))</f>
        <v>1493967.8100000003</v>
      </c>
      <c r="K3" s="86">
        <f>(I3-J3)/I3</f>
        <v>0.5055785035357041</v>
      </c>
      <c r="L3" s="87">
        <f>SUM(L5:INDEX(L5:L1048576,MATCH(TRUE,INDEX(ISBLANK(L5:L1048576),0,0),0)-1,0))</f>
        <v>276372.6100000001</v>
      </c>
      <c r="M3" s="86">
        <f>L3/I3</f>
        <v>9.1464192537015418E-2</v>
      </c>
      <c r="N3" s="87">
        <f>SUM(N5:INDEX(N5:N1048576,MATCH(TRUE,INDEX(ISBLANK(N5:N1048576),0,0),0)-1,0))</f>
        <v>-10623.060000000007</v>
      </c>
      <c r="O3" s="87">
        <f>SUM(O5:INDEX(O5:O1048576,MATCH(TRUE,INDEX(ISBLANK(O5:O1048576),0,0),0)-1,0))</f>
        <v>3750.69</v>
      </c>
      <c r="P3" s="88">
        <f>SUM(P5:INDEX(P5:P1048576,MATCH(TRUE,INDEX(ISBLANK(P5:P1048576),0,0),0)-1,0))</f>
        <v>0</v>
      </c>
      <c r="Q3" s="85"/>
    </row>
    <row r="4" spans="2:21" s="94" customFormat="1" ht="18" customHeight="1" thickBot="1" x14ac:dyDescent="0.3">
      <c r="B4" s="108" t="s">
        <v>23</v>
      </c>
      <c r="C4" s="108" t="s">
        <v>9</v>
      </c>
      <c r="D4" s="108" t="s">
        <v>20</v>
      </c>
      <c r="E4" s="108" t="s">
        <v>8</v>
      </c>
      <c r="F4" s="89" t="s">
        <v>0</v>
      </c>
      <c r="G4" s="108" t="s">
        <v>7</v>
      </c>
      <c r="H4" s="108" t="s">
        <v>2</v>
      </c>
      <c r="I4" s="90" t="s">
        <v>3</v>
      </c>
      <c r="J4" s="90" t="s">
        <v>1</v>
      </c>
      <c r="K4" s="91" t="s">
        <v>4</v>
      </c>
      <c r="L4" s="90" t="s">
        <v>5</v>
      </c>
      <c r="M4" s="91" t="s">
        <v>6</v>
      </c>
      <c r="N4" s="90" t="s">
        <v>10</v>
      </c>
      <c r="O4" s="90" t="s">
        <v>11</v>
      </c>
      <c r="P4" s="92" t="s">
        <v>25</v>
      </c>
      <c r="Q4" s="93" t="s">
        <v>26</v>
      </c>
    </row>
    <row r="5" spans="2:21" s="4" customFormat="1" ht="15.75" x14ac:dyDescent="0.25">
      <c r="B5" s="95">
        <v>1</v>
      </c>
      <c r="C5" s="95" t="s">
        <v>73</v>
      </c>
      <c r="D5" s="95" t="s">
        <v>74</v>
      </c>
      <c r="E5" s="95" t="s">
        <v>72</v>
      </c>
      <c r="F5" s="96">
        <v>42377</v>
      </c>
      <c r="G5" s="95" t="s">
        <v>75</v>
      </c>
      <c r="H5" s="95" t="s">
        <v>18</v>
      </c>
      <c r="I5" s="112">
        <v>2500.29</v>
      </c>
      <c r="J5" s="112">
        <v>1116.42</v>
      </c>
      <c r="K5" s="113">
        <f t="shared" ref="K5:K68" si="0">IF(J5,(I5-J5)/I5,"")</f>
        <v>0.55348379587967789</v>
      </c>
      <c r="L5" s="112">
        <v>274.01</v>
      </c>
      <c r="M5" s="113">
        <f t="shared" ref="M5:M68" si="1">IF(J5,L5/I5,"")</f>
        <v>0.10959128741066036</v>
      </c>
      <c r="N5" s="112">
        <v>58.69</v>
      </c>
      <c r="O5" s="114">
        <v>0</v>
      </c>
      <c r="P5" s="114">
        <v>0</v>
      </c>
      <c r="Q5" s="99"/>
      <c r="R5" s="98"/>
      <c r="S5" s="98"/>
      <c r="T5" s="98"/>
      <c r="U5" s="98"/>
    </row>
    <row r="6" spans="2:21" s="4" customFormat="1" ht="15.75" x14ac:dyDescent="0.25">
      <c r="B6" s="95">
        <f>B5+1</f>
        <v>2</v>
      </c>
      <c r="C6" s="95" t="s">
        <v>73</v>
      </c>
      <c r="D6" s="95" t="s">
        <v>76</v>
      </c>
      <c r="E6" s="95" t="s">
        <v>72</v>
      </c>
      <c r="F6" s="96">
        <v>42380</v>
      </c>
      <c r="G6" s="95" t="s">
        <v>77</v>
      </c>
      <c r="H6" s="95" t="s">
        <v>18</v>
      </c>
      <c r="I6" s="112">
        <v>33370.5</v>
      </c>
      <c r="J6" s="112">
        <v>24253.19</v>
      </c>
      <c r="K6" s="113">
        <f t="shared" si="0"/>
        <v>0.27321466564780272</v>
      </c>
      <c r="L6" s="112">
        <v>1675.43</v>
      </c>
      <c r="M6" s="113">
        <f t="shared" si="1"/>
        <v>5.020691928499723E-2</v>
      </c>
      <c r="N6" s="112">
        <v>-4880.3</v>
      </c>
      <c r="O6" s="114">
        <v>0</v>
      </c>
      <c r="P6" s="114">
        <v>0</v>
      </c>
      <c r="Q6" s="99" t="s">
        <v>357</v>
      </c>
      <c r="R6" s="98"/>
      <c r="S6" s="98"/>
      <c r="T6" s="98"/>
      <c r="U6" s="98"/>
    </row>
    <row r="7" spans="2:21" s="4" customFormat="1" ht="15.75" x14ac:dyDescent="0.25">
      <c r="B7" s="95">
        <f t="shared" ref="B7:B70" si="2">B6+1</f>
        <v>3</v>
      </c>
      <c r="C7" s="95" t="s">
        <v>73</v>
      </c>
      <c r="D7" s="95" t="s">
        <v>70</v>
      </c>
      <c r="E7" s="95" t="s">
        <v>72</v>
      </c>
      <c r="F7" s="96">
        <v>42387</v>
      </c>
      <c r="G7" s="95" t="s">
        <v>78</v>
      </c>
      <c r="H7" s="95" t="s">
        <v>18</v>
      </c>
      <c r="I7" s="112">
        <v>30787</v>
      </c>
      <c r="J7" s="112">
        <v>15049.76</v>
      </c>
      <c r="K7" s="113">
        <f t="shared" si="0"/>
        <v>0.5111651021535063</v>
      </c>
      <c r="L7" s="112">
        <v>2752.57</v>
      </c>
      <c r="M7" s="113">
        <f t="shared" si="1"/>
        <v>8.9406892519569958E-2</v>
      </c>
      <c r="N7" s="112">
        <v>-572.13</v>
      </c>
      <c r="O7" s="114">
        <v>0</v>
      </c>
      <c r="P7" s="114">
        <v>0</v>
      </c>
      <c r="Q7" s="99"/>
      <c r="R7" s="98"/>
      <c r="S7" s="98"/>
      <c r="T7" s="98"/>
      <c r="U7" s="98"/>
    </row>
    <row r="8" spans="2:21" s="4" customFormat="1" ht="15.75" x14ac:dyDescent="0.25">
      <c r="B8" s="95">
        <f t="shared" si="2"/>
        <v>4</v>
      </c>
      <c r="C8" s="95" t="s">
        <v>73</v>
      </c>
      <c r="D8" s="95" t="s">
        <v>74</v>
      </c>
      <c r="E8" s="95" t="s">
        <v>423</v>
      </c>
      <c r="F8" s="96">
        <v>42389</v>
      </c>
      <c r="G8" s="95" t="s">
        <v>79</v>
      </c>
      <c r="H8" s="95" t="s">
        <v>15</v>
      </c>
      <c r="I8" s="112">
        <v>7341.18</v>
      </c>
      <c r="J8" s="112">
        <v>3322.39</v>
      </c>
      <c r="K8" s="113">
        <f t="shared" si="0"/>
        <v>0.54743106694019217</v>
      </c>
      <c r="L8" s="112">
        <v>657.09</v>
      </c>
      <c r="M8" s="113">
        <f t="shared" si="1"/>
        <v>8.9507408890668799E-2</v>
      </c>
      <c r="N8" s="112">
        <v>-148.82</v>
      </c>
      <c r="O8" s="114">
        <v>0</v>
      </c>
      <c r="P8" s="114">
        <v>0</v>
      </c>
      <c r="Q8" s="99"/>
      <c r="R8" s="98"/>
      <c r="S8" s="98"/>
      <c r="T8" s="98"/>
      <c r="U8" s="98"/>
    </row>
    <row r="9" spans="2:21" s="4" customFormat="1" ht="15.75" x14ac:dyDescent="0.25">
      <c r="B9" s="95">
        <f t="shared" si="2"/>
        <v>5</v>
      </c>
      <c r="C9" s="95" t="s">
        <v>73</v>
      </c>
      <c r="D9" s="95" t="s">
        <v>76</v>
      </c>
      <c r="E9" s="95" t="s">
        <v>80</v>
      </c>
      <c r="F9" s="96">
        <v>42392</v>
      </c>
      <c r="G9" s="95" t="s">
        <v>81</v>
      </c>
      <c r="H9" s="95" t="s">
        <v>15</v>
      </c>
      <c r="I9" s="112">
        <v>7566.18</v>
      </c>
      <c r="J9" s="112">
        <v>3706.85</v>
      </c>
      <c r="K9" s="113">
        <f t="shared" si="0"/>
        <v>0.51007641901197176</v>
      </c>
      <c r="L9" s="112">
        <v>789.19</v>
      </c>
      <c r="M9" s="113">
        <f t="shared" si="1"/>
        <v>0.10430494648554489</v>
      </c>
      <c r="N9" s="112">
        <v>125.18</v>
      </c>
      <c r="O9" s="114">
        <v>0</v>
      </c>
      <c r="P9" s="114">
        <v>0</v>
      </c>
      <c r="Q9" s="99"/>
      <c r="R9" s="98"/>
      <c r="S9" s="98"/>
      <c r="T9" s="98"/>
      <c r="U9" s="98"/>
    </row>
    <row r="10" spans="2:21" s="4" customFormat="1" ht="15.75" x14ac:dyDescent="0.25">
      <c r="B10" s="95">
        <f t="shared" si="2"/>
        <v>6</v>
      </c>
      <c r="C10" s="95" t="s">
        <v>73</v>
      </c>
      <c r="D10" s="95" t="s">
        <v>74</v>
      </c>
      <c r="E10" s="95" t="s">
        <v>80</v>
      </c>
      <c r="F10" s="96">
        <v>42394</v>
      </c>
      <c r="G10" s="95" t="s">
        <v>82</v>
      </c>
      <c r="H10" s="95" t="s">
        <v>429</v>
      </c>
      <c r="I10" s="112">
        <v>15486.88</v>
      </c>
      <c r="J10" s="112">
        <v>7770.5</v>
      </c>
      <c r="K10" s="113">
        <f t="shared" si="0"/>
        <v>0.49825271455580461</v>
      </c>
      <c r="L10" s="112">
        <v>1292.3800000000001</v>
      </c>
      <c r="M10" s="113">
        <f t="shared" si="1"/>
        <v>8.3449991218373237E-2</v>
      </c>
      <c r="N10" s="112">
        <v>-227.42</v>
      </c>
      <c r="O10" s="114">
        <v>0</v>
      </c>
      <c r="P10" s="114">
        <v>0</v>
      </c>
      <c r="Q10" s="99"/>
      <c r="R10" s="98"/>
      <c r="S10" s="98"/>
      <c r="T10" s="98"/>
      <c r="U10" s="98"/>
    </row>
    <row r="11" spans="2:21" s="4" customFormat="1" ht="15.75" x14ac:dyDescent="0.25">
      <c r="B11" s="95">
        <f t="shared" si="2"/>
        <v>7</v>
      </c>
      <c r="C11" s="95" t="s">
        <v>83</v>
      </c>
      <c r="D11" s="95" t="s">
        <v>74</v>
      </c>
      <c r="E11" s="95" t="s">
        <v>71</v>
      </c>
      <c r="F11" s="96">
        <v>42395</v>
      </c>
      <c r="G11" s="95" t="s">
        <v>84</v>
      </c>
      <c r="H11" s="95" t="s">
        <v>28</v>
      </c>
      <c r="I11" s="112">
        <v>24672.9</v>
      </c>
      <c r="J11" s="112">
        <v>10681.86</v>
      </c>
      <c r="K11" s="113">
        <f t="shared" si="0"/>
        <v>0.56706102647033785</v>
      </c>
      <c r="L11" s="112">
        <v>2010.05</v>
      </c>
      <c r="M11" s="113">
        <f t="shared" si="1"/>
        <v>8.1467926348341699E-2</v>
      </c>
      <c r="N11" s="112">
        <v>-1179.1500000000001</v>
      </c>
      <c r="O11" s="114">
        <v>0</v>
      </c>
      <c r="P11" s="114">
        <v>0</v>
      </c>
      <c r="Q11" s="99"/>
      <c r="R11" s="98"/>
      <c r="S11" s="98"/>
      <c r="T11" s="98"/>
      <c r="U11" s="98"/>
    </row>
    <row r="12" spans="2:21" s="4" customFormat="1" ht="15.75" x14ac:dyDescent="0.25">
      <c r="B12" s="95">
        <f t="shared" si="2"/>
        <v>8</v>
      </c>
      <c r="C12" s="95" t="s">
        <v>73</v>
      </c>
      <c r="D12" s="95" t="s">
        <v>74</v>
      </c>
      <c r="E12" s="95" t="s">
        <v>72</v>
      </c>
      <c r="F12" s="96">
        <v>42397</v>
      </c>
      <c r="G12" s="95" t="s">
        <v>85</v>
      </c>
      <c r="H12" s="95" t="s">
        <v>18</v>
      </c>
      <c r="I12" s="112">
        <v>15207</v>
      </c>
      <c r="J12" s="112">
        <v>6928.91</v>
      </c>
      <c r="K12" s="113">
        <f t="shared" si="0"/>
        <v>0.54436049187874003</v>
      </c>
      <c r="L12" s="112">
        <v>2450.8000000000002</v>
      </c>
      <c r="M12" s="113">
        <f t="shared" si="1"/>
        <v>0.1611626224764911</v>
      </c>
      <c r="N12" s="112">
        <v>2474</v>
      </c>
      <c r="O12" s="114">
        <v>0</v>
      </c>
      <c r="P12" s="114">
        <v>0</v>
      </c>
      <c r="Q12" s="99"/>
      <c r="R12" s="98"/>
      <c r="S12" s="98"/>
      <c r="T12" s="98"/>
      <c r="U12" s="98"/>
    </row>
    <row r="13" spans="2:21" s="4" customFormat="1" ht="15.75" x14ac:dyDescent="0.25">
      <c r="B13" s="95">
        <f t="shared" si="2"/>
        <v>9</v>
      </c>
      <c r="C13" s="95" t="s">
        <v>86</v>
      </c>
      <c r="D13" s="95" t="s">
        <v>76</v>
      </c>
      <c r="E13" s="95" t="s">
        <v>80</v>
      </c>
      <c r="F13" s="96">
        <v>42397</v>
      </c>
      <c r="G13" s="95" t="s">
        <v>87</v>
      </c>
      <c r="H13" s="95" t="s">
        <v>15</v>
      </c>
      <c r="I13" s="112">
        <v>5211.6000000000004</v>
      </c>
      <c r="J13" s="112">
        <v>2936.78</v>
      </c>
      <c r="K13" s="113">
        <f t="shared" si="0"/>
        <v>0.43649167242305625</v>
      </c>
      <c r="L13" s="112">
        <v>499.62</v>
      </c>
      <c r="M13" s="113">
        <f t="shared" si="1"/>
        <v>9.5866912272622604E-2</v>
      </c>
      <c r="N13" s="112">
        <v>-2.6</v>
      </c>
      <c r="O13" s="114">
        <v>0</v>
      </c>
      <c r="P13" s="114">
        <v>0</v>
      </c>
      <c r="Q13" s="99"/>
      <c r="R13" s="98"/>
      <c r="S13" s="98"/>
      <c r="T13" s="98"/>
      <c r="U13" s="98"/>
    </row>
    <row r="14" spans="2:21" s="4" customFormat="1" ht="15.75" x14ac:dyDescent="0.25">
      <c r="B14" s="95">
        <f t="shared" si="2"/>
        <v>10</v>
      </c>
      <c r="C14" s="95" t="s">
        <v>73</v>
      </c>
      <c r="D14" s="95" t="s">
        <v>74</v>
      </c>
      <c r="E14" s="95" t="s">
        <v>424</v>
      </c>
      <c r="F14" s="96">
        <v>42402</v>
      </c>
      <c r="G14" s="95" t="s">
        <v>88</v>
      </c>
      <c r="H14" s="95" t="s">
        <v>28</v>
      </c>
      <c r="I14" s="112">
        <v>16793</v>
      </c>
      <c r="J14" s="112">
        <v>6681</v>
      </c>
      <c r="K14" s="113">
        <f t="shared" si="0"/>
        <v>0.60215566009646881</v>
      </c>
      <c r="L14" s="112">
        <v>1642.28</v>
      </c>
      <c r="M14" s="113">
        <f t="shared" si="1"/>
        <v>9.7795510033942712E-2</v>
      </c>
      <c r="N14" s="112">
        <v>-478.8</v>
      </c>
      <c r="O14" s="114">
        <v>0</v>
      </c>
      <c r="P14" s="114">
        <v>0</v>
      </c>
      <c r="Q14" s="99"/>
      <c r="R14" s="98"/>
      <c r="S14" s="98"/>
      <c r="T14" s="98"/>
      <c r="U14" s="98"/>
    </row>
    <row r="15" spans="2:21" s="4" customFormat="1" ht="15.75" x14ac:dyDescent="0.25">
      <c r="B15" s="95">
        <f t="shared" si="2"/>
        <v>11</v>
      </c>
      <c r="C15" s="95" t="s">
        <v>73</v>
      </c>
      <c r="D15" s="95" t="s">
        <v>76</v>
      </c>
      <c r="E15" s="95" t="s">
        <v>424</v>
      </c>
      <c r="F15" s="96">
        <v>42404</v>
      </c>
      <c r="G15" s="95" t="s">
        <v>89</v>
      </c>
      <c r="H15" s="95" t="s">
        <v>14</v>
      </c>
      <c r="I15" s="112">
        <v>4881.17</v>
      </c>
      <c r="J15" s="112">
        <v>2194.4</v>
      </c>
      <c r="K15" s="113">
        <f t="shared" si="0"/>
        <v>0.55043565374695003</v>
      </c>
      <c r="L15" s="112">
        <v>623.54</v>
      </c>
      <c r="M15" s="113">
        <f t="shared" si="1"/>
        <v>0.12774396302525828</v>
      </c>
      <c r="N15" s="112">
        <v>280.20999999999998</v>
      </c>
      <c r="O15" s="114">
        <v>0</v>
      </c>
      <c r="P15" s="114">
        <v>0</v>
      </c>
      <c r="Q15" s="99"/>
      <c r="R15" s="98"/>
      <c r="S15" s="98"/>
      <c r="T15" s="98"/>
      <c r="U15" s="98"/>
    </row>
    <row r="16" spans="2:21" s="4" customFormat="1" ht="15.75" x14ac:dyDescent="0.25">
      <c r="B16" s="95">
        <f t="shared" si="2"/>
        <v>12</v>
      </c>
      <c r="C16" s="95" t="s">
        <v>420</v>
      </c>
      <c r="D16" s="95" t="s">
        <v>70</v>
      </c>
      <c r="E16" s="95" t="s">
        <v>424</v>
      </c>
      <c r="F16" s="96">
        <v>42404</v>
      </c>
      <c r="G16" s="95" t="s">
        <v>90</v>
      </c>
      <c r="H16" s="95" t="s">
        <v>28</v>
      </c>
      <c r="I16" s="112">
        <v>46073.3</v>
      </c>
      <c r="J16" s="112">
        <v>22785.38</v>
      </c>
      <c r="K16" s="113">
        <f t="shared" si="0"/>
        <v>0.50545370095044206</v>
      </c>
      <c r="L16" s="112">
        <v>3988.49</v>
      </c>
      <c r="M16" s="113">
        <f t="shared" si="1"/>
        <v>8.6568359548805915E-2</v>
      </c>
      <c r="N16" s="112">
        <v>196</v>
      </c>
      <c r="O16" s="114">
        <v>0</v>
      </c>
      <c r="P16" s="114">
        <v>0</v>
      </c>
      <c r="Q16" s="99"/>
      <c r="R16" s="98"/>
      <c r="S16" s="98"/>
      <c r="T16" s="98"/>
      <c r="U16" s="98"/>
    </row>
    <row r="17" spans="2:21" s="4" customFormat="1" ht="15.75" x14ac:dyDescent="0.25">
      <c r="B17" s="95">
        <f t="shared" si="2"/>
        <v>13</v>
      </c>
      <c r="C17" s="95" t="s">
        <v>73</v>
      </c>
      <c r="D17" s="95" t="s">
        <v>74</v>
      </c>
      <c r="E17" s="95" t="s">
        <v>71</v>
      </c>
      <c r="F17" s="96">
        <v>42405</v>
      </c>
      <c r="G17" s="95" t="s">
        <v>91</v>
      </c>
      <c r="H17" s="95" t="s">
        <v>29</v>
      </c>
      <c r="I17" s="112">
        <v>26122.45</v>
      </c>
      <c r="J17" s="112">
        <v>13089.75</v>
      </c>
      <c r="K17" s="113">
        <f t="shared" si="0"/>
        <v>0.49890802738640522</v>
      </c>
      <c r="L17" s="112">
        <v>2144.02</v>
      </c>
      <c r="M17" s="113">
        <f t="shared" si="1"/>
        <v>8.2075762418915524E-2</v>
      </c>
      <c r="N17" s="112">
        <v>-890.55</v>
      </c>
      <c r="O17" s="114">
        <v>0</v>
      </c>
      <c r="P17" s="114">
        <v>0</v>
      </c>
      <c r="Q17" s="99"/>
      <c r="R17" s="98"/>
      <c r="S17" s="98"/>
      <c r="T17" s="98"/>
      <c r="U17" s="98"/>
    </row>
    <row r="18" spans="2:21" s="4" customFormat="1" ht="15.75" x14ac:dyDescent="0.25">
      <c r="B18" s="95">
        <f t="shared" si="2"/>
        <v>14</v>
      </c>
      <c r="C18" s="95" t="s">
        <v>73</v>
      </c>
      <c r="D18" s="95" t="s">
        <v>70</v>
      </c>
      <c r="E18" s="95" t="s">
        <v>424</v>
      </c>
      <c r="F18" s="96">
        <v>42405</v>
      </c>
      <c r="G18" s="95" t="s">
        <v>92</v>
      </c>
      <c r="H18" s="95" t="s">
        <v>17</v>
      </c>
      <c r="I18" s="112">
        <v>4234.6400000000003</v>
      </c>
      <c r="J18" s="112">
        <v>1607.23</v>
      </c>
      <c r="K18" s="113">
        <f t="shared" si="0"/>
        <v>0.62045652050705613</v>
      </c>
      <c r="L18" s="112">
        <v>704.3</v>
      </c>
      <c r="M18" s="113">
        <f t="shared" si="1"/>
        <v>0.16631874256135112</v>
      </c>
      <c r="N18" s="112">
        <v>745.84</v>
      </c>
      <c r="O18" s="114">
        <v>0</v>
      </c>
      <c r="P18" s="114">
        <v>0</v>
      </c>
      <c r="Q18" s="99"/>
      <c r="R18" s="98"/>
      <c r="S18" s="98"/>
      <c r="T18" s="98"/>
      <c r="U18" s="98"/>
    </row>
    <row r="19" spans="2:21" s="4" customFormat="1" ht="15.75" x14ac:dyDescent="0.25">
      <c r="B19" s="95">
        <f t="shared" si="2"/>
        <v>15</v>
      </c>
      <c r="C19" s="95" t="s">
        <v>73</v>
      </c>
      <c r="D19" s="95" t="s">
        <v>93</v>
      </c>
      <c r="E19" s="95" t="s">
        <v>72</v>
      </c>
      <c r="F19" s="96">
        <v>42406</v>
      </c>
      <c r="G19" s="95" t="s">
        <v>94</v>
      </c>
      <c r="H19" s="95" t="s">
        <v>18</v>
      </c>
      <c r="I19" s="112">
        <v>3493.8</v>
      </c>
      <c r="J19" s="112">
        <v>1597.68</v>
      </c>
      <c r="K19" s="113">
        <f t="shared" si="0"/>
        <v>0.54270994332818134</v>
      </c>
      <c r="L19" s="112">
        <v>381.66</v>
      </c>
      <c r="M19" s="113">
        <f t="shared" si="1"/>
        <v>0.10923922376781728</v>
      </c>
      <c r="N19" s="112">
        <v>93.2</v>
      </c>
      <c r="O19" s="114">
        <v>0</v>
      </c>
      <c r="P19" s="114">
        <v>0</v>
      </c>
      <c r="Q19" s="99"/>
      <c r="R19" s="98"/>
      <c r="S19" s="98"/>
      <c r="T19" s="98"/>
      <c r="U19" s="98"/>
    </row>
    <row r="20" spans="2:21" s="4" customFormat="1" ht="15.75" x14ac:dyDescent="0.25">
      <c r="B20" s="95">
        <f t="shared" si="2"/>
        <v>16</v>
      </c>
      <c r="C20" s="95" t="s">
        <v>73</v>
      </c>
      <c r="D20" s="95" t="s">
        <v>76</v>
      </c>
      <c r="E20" s="95" t="s">
        <v>95</v>
      </c>
      <c r="F20" s="96">
        <v>42409</v>
      </c>
      <c r="G20" s="95" t="s">
        <v>96</v>
      </c>
      <c r="H20" s="95" t="s">
        <v>18</v>
      </c>
      <c r="I20" s="112">
        <v>25189.5</v>
      </c>
      <c r="J20" s="112">
        <v>13859.4</v>
      </c>
      <c r="K20" s="113">
        <f t="shared" si="0"/>
        <v>0.44979455725599954</v>
      </c>
      <c r="L20" s="112">
        <v>1643.81</v>
      </c>
      <c r="M20" s="113">
        <f t="shared" si="1"/>
        <v>6.5257746283173546E-2</v>
      </c>
      <c r="N20" s="112">
        <v>-2039.1</v>
      </c>
      <c r="O20" s="114">
        <v>0</v>
      </c>
      <c r="P20" s="114">
        <v>0</v>
      </c>
      <c r="Q20" s="99"/>
      <c r="R20" s="98"/>
      <c r="S20" s="98"/>
      <c r="T20" s="98"/>
      <c r="U20" s="98"/>
    </row>
    <row r="21" spans="2:21" s="4" customFormat="1" ht="15.75" x14ac:dyDescent="0.25">
      <c r="B21" s="95">
        <f t="shared" si="2"/>
        <v>17</v>
      </c>
      <c r="C21" s="95" t="s">
        <v>73</v>
      </c>
      <c r="D21" s="95" t="s">
        <v>74</v>
      </c>
      <c r="E21" s="95" t="s">
        <v>71</v>
      </c>
      <c r="F21" s="96">
        <v>42409</v>
      </c>
      <c r="G21" s="95" t="s">
        <v>97</v>
      </c>
      <c r="H21" s="95" t="s">
        <v>17</v>
      </c>
      <c r="I21" s="112">
        <v>8396.5</v>
      </c>
      <c r="J21" s="112">
        <v>3469.77</v>
      </c>
      <c r="K21" s="113">
        <f t="shared" si="0"/>
        <v>0.58675995950693738</v>
      </c>
      <c r="L21" s="112">
        <v>858.29</v>
      </c>
      <c r="M21" s="113">
        <f t="shared" si="1"/>
        <v>0.10221997260763413</v>
      </c>
      <c r="N21" s="112">
        <v>-6.3</v>
      </c>
      <c r="O21" s="114">
        <v>0</v>
      </c>
      <c r="P21" s="114">
        <v>0</v>
      </c>
      <c r="Q21" s="99"/>
      <c r="R21" s="98"/>
      <c r="S21" s="98"/>
      <c r="T21" s="98"/>
      <c r="U21" s="98"/>
    </row>
    <row r="22" spans="2:21" s="4" customFormat="1" ht="15.75" x14ac:dyDescent="0.25">
      <c r="B22" s="95">
        <f t="shared" si="2"/>
        <v>18</v>
      </c>
      <c r="C22" s="95" t="s">
        <v>340</v>
      </c>
      <c r="D22" s="95" t="s">
        <v>93</v>
      </c>
      <c r="E22" s="95" t="s">
        <v>71</v>
      </c>
      <c r="F22" s="96">
        <v>42409</v>
      </c>
      <c r="G22" s="95" t="s">
        <v>98</v>
      </c>
      <c r="H22" s="95" t="s">
        <v>99</v>
      </c>
      <c r="I22" s="112">
        <v>9552.74</v>
      </c>
      <c r="J22" s="112">
        <v>5285.88</v>
      </c>
      <c r="K22" s="113">
        <f t="shared" si="0"/>
        <v>0.44666347037603871</v>
      </c>
      <c r="L22" s="112">
        <v>810.34</v>
      </c>
      <c r="M22" s="113">
        <f t="shared" si="1"/>
        <v>8.4828017929934246E-2</v>
      </c>
      <c r="N22" s="112">
        <v>-255.59</v>
      </c>
      <c r="O22" s="114">
        <v>0</v>
      </c>
      <c r="P22" s="114">
        <v>0</v>
      </c>
      <c r="Q22" s="99"/>
      <c r="R22" s="98"/>
      <c r="S22" s="98"/>
      <c r="T22" s="98"/>
      <c r="U22" s="98"/>
    </row>
    <row r="23" spans="2:21" s="4" customFormat="1" ht="15.75" x14ac:dyDescent="0.25">
      <c r="B23" s="95">
        <f t="shared" si="2"/>
        <v>19</v>
      </c>
      <c r="C23" s="95" t="s">
        <v>100</v>
      </c>
      <c r="D23" s="95" t="s">
        <v>76</v>
      </c>
      <c r="E23" s="95" t="s">
        <v>71</v>
      </c>
      <c r="F23" s="96">
        <v>42410</v>
      </c>
      <c r="G23" s="95" t="s">
        <v>101</v>
      </c>
      <c r="H23" s="95" t="s">
        <v>17</v>
      </c>
      <c r="I23" s="112">
        <v>5447.2</v>
      </c>
      <c r="J23" s="112">
        <v>3154.13</v>
      </c>
      <c r="K23" s="113">
        <f t="shared" si="0"/>
        <v>0.42096306359230429</v>
      </c>
      <c r="L23" s="112">
        <v>265.60000000000002</v>
      </c>
      <c r="M23" s="113">
        <f t="shared" si="1"/>
        <v>4.875899544720224E-2</v>
      </c>
      <c r="N23" s="112">
        <v>-642.1</v>
      </c>
      <c r="O23" s="114">
        <v>0</v>
      </c>
      <c r="P23" s="114">
        <v>0</v>
      </c>
      <c r="Q23" s="99"/>
      <c r="R23" s="98"/>
      <c r="S23" s="98"/>
      <c r="T23" s="98"/>
      <c r="U23" s="98"/>
    </row>
    <row r="24" spans="2:21" s="4" customFormat="1" ht="15.75" x14ac:dyDescent="0.25">
      <c r="B24" s="95">
        <f t="shared" si="2"/>
        <v>20</v>
      </c>
      <c r="C24" s="95" t="s">
        <v>421</v>
      </c>
      <c r="D24" s="95" t="s">
        <v>74</v>
      </c>
      <c r="E24" s="95" t="s">
        <v>72</v>
      </c>
      <c r="F24" s="96">
        <v>42410</v>
      </c>
      <c r="G24" s="95" t="s">
        <v>102</v>
      </c>
      <c r="H24" s="95" t="s">
        <v>18</v>
      </c>
      <c r="I24" s="112">
        <v>8231.7999999999993</v>
      </c>
      <c r="J24" s="112">
        <v>4539.49</v>
      </c>
      <c r="K24" s="113">
        <f t="shared" si="0"/>
        <v>0.44854223863553533</v>
      </c>
      <c r="L24" s="112">
        <v>642.78</v>
      </c>
      <c r="M24" s="113">
        <f t="shared" si="1"/>
        <v>7.8084987487548288E-2</v>
      </c>
      <c r="N24" s="112">
        <v>-220.7</v>
      </c>
      <c r="O24" s="114">
        <v>0</v>
      </c>
      <c r="P24" s="114">
        <v>0</v>
      </c>
      <c r="Q24" s="99"/>
      <c r="R24" s="98"/>
      <c r="S24" s="98"/>
      <c r="T24" s="98"/>
      <c r="U24" s="98"/>
    </row>
    <row r="25" spans="2:21" s="4" customFormat="1" ht="15.75" x14ac:dyDescent="0.25">
      <c r="B25" s="95">
        <f t="shared" si="2"/>
        <v>21</v>
      </c>
      <c r="C25" s="95" t="s">
        <v>416</v>
      </c>
      <c r="D25" s="95" t="s">
        <v>76</v>
      </c>
      <c r="E25" s="95" t="s">
        <v>71</v>
      </c>
      <c r="F25" s="96">
        <v>42412</v>
      </c>
      <c r="G25" s="95" t="s">
        <v>103</v>
      </c>
      <c r="H25" s="95" t="s">
        <v>27</v>
      </c>
      <c r="I25" s="112">
        <v>9340.34</v>
      </c>
      <c r="J25" s="112">
        <v>4185.7299999999996</v>
      </c>
      <c r="K25" s="113">
        <f t="shared" si="0"/>
        <v>0.55186534965536593</v>
      </c>
      <c r="L25" s="112">
        <v>634.16999999999996</v>
      </c>
      <c r="M25" s="113">
        <f t="shared" si="1"/>
        <v>6.7895815355757921E-2</v>
      </c>
      <c r="N25" s="112">
        <v>-879.66</v>
      </c>
      <c r="O25" s="114">
        <v>0</v>
      </c>
      <c r="P25" s="114">
        <v>0</v>
      </c>
      <c r="Q25" s="99" t="s">
        <v>358</v>
      </c>
      <c r="R25" s="98"/>
      <c r="S25" s="98"/>
      <c r="T25" s="98"/>
      <c r="U25" s="98"/>
    </row>
    <row r="26" spans="2:21" s="4" customFormat="1" ht="15.75" x14ac:dyDescent="0.25">
      <c r="B26" s="95">
        <f t="shared" si="2"/>
        <v>22</v>
      </c>
      <c r="C26" s="95" t="s">
        <v>417</v>
      </c>
      <c r="D26" s="95" t="s">
        <v>70</v>
      </c>
      <c r="E26" s="95" t="s">
        <v>104</v>
      </c>
      <c r="F26" s="96">
        <v>42412</v>
      </c>
      <c r="G26" s="95" t="s">
        <v>105</v>
      </c>
      <c r="H26" s="95" t="s">
        <v>18</v>
      </c>
      <c r="I26" s="112">
        <v>26337.1</v>
      </c>
      <c r="J26" s="112">
        <v>10447.77</v>
      </c>
      <c r="K26" s="113">
        <f t="shared" si="0"/>
        <v>0.60330598281511627</v>
      </c>
      <c r="L26" s="112">
        <v>4117.55</v>
      </c>
      <c r="M26" s="113">
        <f t="shared" si="1"/>
        <v>0.15634029562859997</v>
      </c>
      <c r="N26" s="112">
        <v>3980.85</v>
      </c>
      <c r="O26" s="114">
        <v>0</v>
      </c>
      <c r="P26" s="114">
        <v>0</v>
      </c>
      <c r="Q26" s="99"/>
      <c r="R26" s="98"/>
      <c r="S26" s="98"/>
      <c r="T26" s="98"/>
      <c r="U26" s="98"/>
    </row>
    <row r="27" spans="2:21" s="4" customFormat="1" ht="15.75" x14ac:dyDescent="0.25">
      <c r="B27" s="95">
        <f t="shared" si="2"/>
        <v>23</v>
      </c>
      <c r="C27" s="95" t="s">
        <v>73</v>
      </c>
      <c r="D27" s="95" t="s">
        <v>70</v>
      </c>
      <c r="E27" s="95" t="s">
        <v>424</v>
      </c>
      <c r="F27" s="96">
        <v>42416</v>
      </c>
      <c r="G27" s="95" t="s">
        <v>106</v>
      </c>
      <c r="H27" s="95" t="s">
        <v>22</v>
      </c>
      <c r="I27" s="112">
        <v>2794.17</v>
      </c>
      <c r="J27" s="112">
        <v>1390.09</v>
      </c>
      <c r="K27" s="113">
        <f t="shared" si="0"/>
        <v>0.50250342677789828</v>
      </c>
      <c r="L27" s="112">
        <v>246.76</v>
      </c>
      <c r="M27" s="113">
        <f t="shared" si="1"/>
        <v>8.8312450566715689E-2</v>
      </c>
      <c r="N27" s="112">
        <v>2.97</v>
      </c>
      <c r="O27" s="114">
        <v>0</v>
      </c>
      <c r="P27" s="114">
        <v>0</v>
      </c>
      <c r="Q27" s="99"/>
      <c r="R27" s="98"/>
      <c r="S27" s="98"/>
      <c r="T27" s="98"/>
      <c r="U27" s="98"/>
    </row>
    <row r="28" spans="2:21" s="4" customFormat="1" ht="15.75" x14ac:dyDescent="0.25">
      <c r="B28" s="95">
        <f t="shared" si="2"/>
        <v>24</v>
      </c>
      <c r="C28" s="95" t="s">
        <v>107</v>
      </c>
      <c r="D28" s="95" t="s">
        <v>76</v>
      </c>
      <c r="E28" s="95" t="s">
        <v>80</v>
      </c>
      <c r="F28" s="96">
        <v>42418</v>
      </c>
      <c r="G28" s="95" t="s">
        <v>108</v>
      </c>
      <c r="H28" s="95" t="s">
        <v>15</v>
      </c>
      <c r="I28" s="112">
        <v>7230.12</v>
      </c>
      <c r="J28" s="112">
        <v>3828.98</v>
      </c>
      <c r="K28" s="113">
        <f t="shared" si="0"/>
        <v>0.47041266258374687</v>
      </c>
      <c r="L28" s="112">
        <v>597.77</v>
      </c>
      <c r="M28" s="113">
        <f t="shared" si="1"/>
        <v>8.2677742554757044E-2</v>
      </c>
      <c r="N28" s="112">
        <v>-211.74</v>
      </c>
      <c r="O28" s="114">
        <v>0</v>
      </c>
      <c r="P28" s="114">
        <v>0</v>
      </c>
      <c r="Q28" s="99"/>
      <c r="R28" s="98"/>
      <c r="S28" s="98"/>
      <c r="T28" s="98"/>
      <c r="U28" s="98"/>
    </row>
    <row r="29" spans="2:21" s="4" customFormat="1" ht="15.75" x14ac:dyDescent="0.25">
      <c r="B29" s="95">
        <f t="shared" si="2"/>
        <v>25</v>
      </c>
      <c r="C29" s="95" t="s">
        <v>73</v>
      </c>
      <c r="D29" s="95" t="s">
        <v>70</v>
      </c>
      <c r="E29" s="96" t="s">
        <v>109</v>
      </c>
      <c r="F29" s="96">
        <v>42419</v>
      </c>
      <c r="G29" s="95" t="s">
        <v>110</v>
      </c>
      <c r="H29" s="115" t="s">
        <v>17</v>
      </c>
      <c r="I29" s="112">
        <v>4478.13</v>
      </c>
      <c r="J29" s="112">
        <v>1950</v>
      </c>
      <c r="K29" s="113">
        <f t="shared" si="0"/>
        <v>0.56455038152085801</v>
      </c>
      <c r="L29" s="112">
        <v>475.37</v>
      </c>
      <c r="M29" s="113">
        <f t="shared" si="1"/>
        <v>0.10615368468534857</v>
      </c>
      <c r="N29" s="112">
        <v>44.33</v>
      </c>
      <c r="O29" s="112">
        <v>0</v>
      </c>
      <c r="P29" s="116">
        <v>0</v>
      </c>
      <c r="Q29" s="100"/>
      <c r="R29" s="98"/>
      <c r="S29" s="98"/>
      <c r="T29" s="98"/>
      <c r="U29" s="98"/>
    </row>
    <row r="30" spans="2:21" s="4" customFormat="1" ht="15.75" x14ac:dyDescent="0.25">
      <c r="B30" s="95">
        <f t="shared" si="2"/>
        <v>26</v>
      </c>
      <c r="C30" s="95" t="s">
        <v>73</v>
      </c>
      <c r="D30" s="95" t="s">
        <v>70</v>
      </c>
      <c r="E30" s="96" t="s">
        <v>80</v>
      </c>
      <c r="F30" s="96">
        <v>42420</v>
      </c>
      <c r="G30" s="95" t="s">
        <v>111</v>
      </c>
      <c r="H30" s="95" t="s">
        <v>429</v>
      </c>
      <c r="I30" s="112">
        <v>15010.06</v>
      </c>
      <c r="J30" s="112">
        <v>7142.78</v>
      </c>
      <c r="K30" s="113">
        <f t="shared" si="0"/>
        <v>0.52413381425523953</v>
      </c>
      <c r="L30" s="112">
        <v>1920.29</v>
      </c>
      <c r="M30" s="113">
        <f t="shared" si="1"/>
        <v>0.12793353257748472</v>
      </c>
      <c r="N30" s="112">
        <v>1091.96</v>
      </c>
      <c r="O30" s="112">
        <v>0</v>
      </c>
      <c r="P30" s="116">
        <v>0</v>
      </c>
      <c r="Q30" s="100"/>
      <c r="R30" s="98"/>
      <c r="S30" s="98"/>
      <c r="T30" s="98"/>
      <c r="U30" s="98"/>
    </row>
    <row r="31" spans="2:21" s="4" customFormat="1" ht="15.75" x14ac:dyDescent="0.25">
      <c r="B31" s="95">
        <f t="shared" si="2"/>
        <v>27</v>
      </c>
      <c r="C31" s="95" t="s">
        <v>340</v>
      </c>
      <c r="D31" s="95" t="s">
        <v>70</v>
      </c>
      <c r="E31" s="96" t="s">
        <v>71</v>
      </c>
      <c r="F31" s="96">
        <v>42420</v>
      </c>
      <c r="G31" s="95" t="s">
        <v>112</v>
      </c>
      <c r="H31" s="115" t="s">
        <v>14</v>
      </c>
      <c r="I31" s="112">
        <v>21283.57</v>
      </c>
      <c r="J31" s="112">
        <v>6668.92</v>
      </c>
      <c r="K31" s="113">
        <f t="shared" si="0"/>
        <v>0.68666346858163363</v>
      </c>
      <c r="L31" s="112">
        <v>3123.94</v>
      </c>
      <c r="M31" s="113">
        <f t="shared" si="1"/>
        <v>0.14677706794489834</v>
      </c>
      <c r="N31" s="112">
        <v>2335.1</v>
      </c>
      <c r="O31" s="112">
        <v>0</v>
      </c>
      <c r="P31" s="116">
        <v>0</v>
      </c>
      <c r="Q31" s="100"/>
      <c r="R31" s="98"/>
      <c r="S31" s="98"/>
      <c r="T31" s="98"/>
      <c r="U31" s="98"/>
    </row>
    <row r="32" spans="2:21" s="4" customFormat="1" ht="15.75" x14ac:dyDescent="0.25">
      <c r="B32" s="95">
        <f t="shared" si="2"/>
        <v>28</v>
      </c>
      <c r="C32" s="95" t="s">
        <v>340</v>
      </c>
      <c r="D32" s="95" t="s">
        <v>70</v>
      </c>
      <c r="E32" s="95" t="s">
        <v>424</v>
      </c>
      <c r="F32" s="96">
        <v>42423</v>
      </c>
      <c r="G32" s="95" t="s">
        <v>113</v>
      </c>
      <c r="H32" s="115" t="s">
        <v>30</v>
      </c>
      <c r="I32" s="112">
        <v>25588</v>
      </c>
      <c r="J32" s="112">
        <v>12586.15</v>
      </c>
      <c r="K32" s="113">
        <f t="shared" si="0"/>
        <v>0.50812294825699544</v>
      </c>
      <c r="L32" s="112">
        <v>2326.62</v>
      </c>
      <c r="M32" s="113">
        <f t="shared" si="1"/>
        <v>9.0926215413475064E-2</v>
      </c>
      <c r="N32" s="112">
        <v>1695.53</v>
      </c>
      <c r="O32" s="112">
        <v>0</v>
      </c>
      <c r="P32" s="116">
        <v>0</v>
      </c>
      <c r="Q32" s="100" t="s">
        <v>359</v>
      </c>
      <c r="R32" s="98"/>
      <c r="S32" s="98"/>
      <c r="T32" s="98"/>
      <c r="U32" s="98"/>
    </row>
    <row r="33" spans="2:21" s="4" customFormat="1" ht="15.75" x14ac:dyDescent="0.25">
      <c r="B33" s="95">
        <f t="shared" si="2"/>
        <v>29</v>
      </c>
      <c r="C33" s="95" t="s">
        <v>340</v>
      </c>
      <c r="D33" s="95" t="s">
        <v>74</v>
      </c>
      <c r="E33" s="96" t="s">
        <v>109</v>
      </c>
      <c r="F33" s="96">
        <v>42424</v>
      </c>
      <c r="G33" s="95" t="s">
        <v>114</v>
      </c>
      <c r="H33" s="95" t="s">
        <v>22</v>
      </c>
      <c r="I33" s="112">
        <v>4874.78</v>
      </c>
      <c r="J33" s="112">
        <v>2334.1</v>
      </c>
      <c r="K33" s="113">
        <f t="shared" si="0"/>
        <v>0.52118864851336877</v>
      </c>
      <c r="L33" s="112">
        <v>571.92999999999995</v>
      </c>
      <c r="M33" s="113">
        <f t="shared" si="1"/>
        <v>0.11732426899265197</v>
      </c>
      <c r="N33" s="112">
        <v>453.93</v>
      </c>
      <c r="O33" s="112">
        <v>0</v>
      </c>
      <c r="P33" s="116">
        <v>0</v>
      </c>
      <c r="Q33" s="100"/>
      <c r="R33" s="98"/>
      <c r="S33" s="98"/>
      <c r="T33" s="98"/>
      <c r="U33" s="98"/>
    </row>
    <row r="34" spans="2:21" s="4" customFormat="1" ht="15.75" x14ac:dyDescent="0.25">
      <c r="B34" s="95">
        <f t="shared" si="2"/>
        <v>30</v>
      </c>
      <c r="C34" s="95" t="s">
        <v>418</v>
      </c>
      <c r="D34" s="95" t="s">
        <v>70</v>
      </c>
      <c r="E34" s="95" t="s">
        <v>424</v>
      </c>
      <c r="F34" s="96">
        <v>42425</v>
      </c>
      <c r="G34" s="95" t="s">
        <v>115</v>
      </c>
      <c r="H34" s="115" t="s">
        <v>428</v>
      </c>
      <c r="I34" s="112">
        <v>9155.86</v>
      </c>
      <c r="J34" s="112">
        <v>5972.35</v>
      </c>
      <c r="K34" s="113">
        <f t="shared" si="0"/>
        <v>0.34770190894137742</v>
      </c>
      <c r="L34" s="112">
        <v>1007.23</v>
      </c>
      <c r="M34" s="113">
        <f t="shared" si="1"/>
        <v>0.11000932735974556</v>
      </c>
      <c r="N34" s="112">
        <v>370.86</v>
      </c>
      <c r="O34" s="112">
        <v>0</v>
      </c>
      <c r="P34" s="116">
        <v>0</v>
      </c>
      <c r="Q34" s="100" t="s">
        <v>360</v>
      </c>
      <c r="R34" s="98"/>
      <c r="S34" s="98"/>
      <c r="T34" s="98"/>
      <c r="U34" s="98"/>
    </row>
    <row r="35" spans="2:21" s="4" customFormat="1" ht="15.75" x14ac:dyDescent="0.25">
      <c r="B35" s="95">
        <f t="shared" si="2"/>
        <v>31</v>
      </c>
      <c r="C35" s="95" t="s">
        <v>73</v>
      </c>
      <c r="D35" s="95" t="s">
        <v>76</v>
      </c>
      <c r="E35" s="96" t="s">
        <v>80</v>
      </c>
      <c r="F35" s="96">
        <v>42427</v>
      </c>
      <c r="G35" s="95" t="s">
        <v>116</v>
      </c>
      <c r="H35" s="115" t="s">
        <v>15</v>
      </c>
      <c r="I35" s="112">
        <v>6502.62</v>
      </c>
      <c r="J35" s="112">
        <v>3269.49</v>
      </c>
      <c r="K35" s="113">
        <f t="shared" si="0"/>
        <v>0.49720420384398906</v>
      </c>
      <c r="L35" s="112">
        <v>505.21</v>
      </c>
      <c r="M35" s="113">
        <f t="shared" si="1"/>
        <v>7.7693299008707264E-2</v>
      </c>
      <c r="N35" s="112">
        <v>-318.88</v>
      </c>
      <c r="O35" s="112">
        <v>0</v>
      </c>
      <c r="P35" s="116">
        <v>0</v>
      </c>
      <c r="Q35" s="100"/>
      <c r="R35" s="98"/>
      <c r="S35" s="98"/>
      <c r="T35" s="98"/>
      <c r="U35" s="98"/>
    </row>
    <row r="36" spans="2:21" s="4" customFormat="1" ht="15.75" x14ac:dyDescent="0.25">
      <c r="B36" s="95">
        <f t="shared" si="2"/>
        <v>32</v>
      </c>
      <c r="C36" s="95" t="s">
        <v>117</v>
      </c>
      <c r="D36" s="95" t="s">
        <v>70</v>
      </c>
      <c r="E36" s="96" t="s">
        <v>72</v>
      </c>
      <c r="F36" s="96">
        <v>42427</v>
      </c>
      <c r="G36" s="95" t="s">
        <v>118</v>
      </c>
      <c r="H36" s="115" t="s">
        <v>13</v>
      </c>
      <c r="I36" s="112">
        <v>3523.53</v>
      </c>
      <c r="J36" s="112">
        <v>1773.99</v>
      </c>
      <c r="K36" s="113">
        <f t="shared" si="0"/>
        <v>0.49653046802496364</v>
      </c>
      <c r="L36" s="112">
        <v>321.58999999999997</v>
      </c>
      <c r="M36" s="113">
        <f t="shared" si="1"/>
        <v>9.1269266899955431E-2</v>
      </c>
      <c r="N36" s="112">
        <v>-15.67</v>
      </c>
      <c r="O36" s="112">
        <v>0</v>
      </c>
      <c r="P36" s="116">
        <v>0</v>
      </c>
      <c r="Q36" s="100"/>
      <c r="R36" s="98"/>
      <c r="S36" s="98"/>
      <c r="T36" s="98"/>
      <c r="U36" s="98"/>
    </row>
    <row r="37" spans="2:21" s="4" customFormat="1" ht="15.75" x14ac:dyDescent="0.25">
      <c r="B37" s="95">
        <f t="shared" si="2"/>
        <v>33</v>
      </c>
      <c r="C37" s="95" t="s">
        <v>73</v>
      </c>
      <c r="D37" s="95" t="s">
        <v>76</v>
      </c>
      <c r="E37" s="95" t="s">
        <v>424</v>
      </c>
      <c r="F37" s="96">
        <v>42430</v>
      </c>
      <c r="G37" s="95" t="s">
        <v>119</v>
      </c>
      <c r="H37" s="115" t="s">
        <v>17</v>
      </c>
      <c r="I37" s="112">
        <v>6623.91</v>
      </c>
      <c r="J37" s="112">
        <v>3524.73</v>
      </c>
      <c r="K37" s="113">
        <f t="shared" si="0"/>
        <v>0.46787773384602144</v>
      </c>
      <c r="L37" s="112">
        <v>543.59</v>
      </c>
      <c r="M37" s="113">
        <f t="shared" si="1"/>
        <v>8.206482274064715E-2</v>
      </c>
      <c r="N37" s="112">
        <v>-172.39</v>
      </c>
      <c r="O37" s="112">
        <v>0</v>
      </c>
      <c r="P37" s="116">
        <v>0</v>
      </c>
      <c r="Q37" s="100"/>
      <c r="R37" s="98"/>
      <c r="S37" s="98"/>
      <c r="T37" s="98"/>
      <c r="U37" s="98"/>
    </row>
    <row r="38" spans="2:21" s="4" customFormat="1" ht="15.75" x14ac:dyDescent="0.25">
      <c r="B38" s="95">
        <f t="shared" si="2"/>
        <v>34</v>
      </c>
      <c r="C38" s="95" t="s">
        <v>120</v>
      </c>
      <c r="D38" s="95" t="s">
        <v>70</v>
      </c>
      <c r="E38" s="96" t="s">
        <v>71</v>
      </c>
      <c r="F38" s="96">
        <v>42430</v>
      </c>
      <c r="G38" s="95" t="s">
        <v>121</v>
      </c>
      <c r="H38" s="115" t="s">
        <v>17</v>
      </c>
      <c r="I38" s="112">
        <v>12444.44</v>
      </c>
      <c r="J38" s="112">
        <v>6374.44</v>
      </c>
      <c r="K38" s="113">
        <f t="shared" si="0"/>
        <v>0.48776803134572555</v>
      </c>
      <c r="L38" s="112">
        <v>998.12</v>
      </c>
      <c r="M38" s="113">
        <f t="shared" si="1"/>
        <v>8.0206100073607164E-2</v>
      </c>
      <c r="N38" s="112">
        <v>-6.16</v>
      </c>
      <c r="O38" s="112">
        <v>0</v>
      </c>
      <c r="P38" s="116">
        <v>0</v>
      </c>
      <c r="Q38" s="100"/>
      <c r="R38" s="98"/>
      <c r="S38" s="98"/>
      <c r="T38" s="98"/>
      <c r="U38" s="98"/>
    </row>
    <row r="39" spans="2:21" s="4" customFormat="1" ht="15.75" x14ac:dyDescent="0.25">
      <c r="B39" s="95">
        <f t="shared" si="2"/>
        <v>35</v>
      </c>
      <c r="C39" s="95" t="s">
        <v>73</v>
      </c>
      <c r="D39" s="95" t="s">
        <v>76</v>
      </c>
      <c r="E39" s="95" t="s">
        <v>424</v>
      </c>
      <c r="F39" s="96">
        <v>42431</v>
      </c>
      <c r="G39" s="95" t="s">
        <v>122</v>
      </c>
      <c r="H39" s="115" t="s">
        <v>17</v>
      </c>
      <c r="I39" s="112">
        <v>3537.73</v>
      </c>
      <c r="J39" s="112">
        <v>2011.14</v>
      </c>
      <c r="K39" s="113">
        <f t="shared" si="0"/>
        <v>0.43151682010780923</v>
      </c>
      <c r="L39" s="112">
        <v>247.76</v>
      </c>
      <c r="M39" s="113">
        <f t="shared" si="1"/>
        <v>7.0033609122233748E-2</v>
      </c>
      <c r="N39" s="112">
        <v>-112.07</v>
      </c>
      <c r="O39" s="112">
        <v>0</v>
      </c>
      <c r="P39" s="116">
        <v>0</v>
      </c>
      <c r="Q39" s="100"/>
      <c r="R39" s="98"/>
      <c r="S39" s="98"/>
      <c r="T39" s="98"/>
      <c r="U39" s="98"/>
    </row>
    <row r="40" spans="2:21" s="4" customFormat="1" ht="15.75" x14ac:dyDescent="0.25">
      <c r="B40" s="95">
        <f t="shared" si="2"/>
        <v>36</v>
      </c>
      <c r="C40" s="95" t="s">
        <v>123</v>
      </c>
      <c r="D40" s="95" t="s">
        <v>74</v>
      </c>
      <c r="E40" s="96" t="s">
        <v>71</v>
      </c>
      <c r="F40" s="96">
        <v>42431</v>
      </c>
      <c r="G40" s="95" t="s">
        <v>124</v>
      </c>
      <c r="H40" s="115" t="s">
        <v>30</v>
      </c>
      <c r="I40" s="112">
        <v>16356.26</v>
      </c>
      <c r="J40" s="112">
        <v>8020.82</v>
      </c>
      <c r="K40" s="113">
        <f t="shared" si="0"/>
        <v>0.50961772434529662</v>
      </c>
      <c r="L40" s="112">
        <v>1521.83</v>
      </c>
      <c r="M40" s="113">
        <f t="shared" si="1"/>
        <v>9.3042663787442845E-2</v>
      </c>
      <c r="N40" s="112">
        <v>-83.24</v>
      </c>
      <c r="O40" s="112">
        <v>0</v>
      </c>
      <c r="P40" s="116">
        <v>0</v>
      </c>
      <c r="Q40" s="100"/>
      <c r="R40" s="98"/>
      <c r="S40" s="98"/>
      <c r="T40" s="98"/>
      <c r="U40" s="98"/>
    </row>
    <row r="41" spans="2:21" s="4" customFormat="1" ht="15.75" x14ac:dyDescent="0.25">
      <c r="B41" s="95">
        <f t="shared" si="2"/>
        <v>37</v>
      </c>
      <c r="C41" s="95" t="s">
        <v>418</v>
      </c>
      <c r="D41" s="95" t="s">
        <v>70</v>
      </c>
      <c r="E41" s="95" t="s">
        <v>424</v>
      </c>
      <c r="F41" s="96">
        <v>42431</v>
      </c>
      <c r="G41" s="95" t="s">
        <v>125</v>
      </c>
      <c r="H41" s="115" t="s">
        <v>17</v>
      </c>
      <c r="I41" s="112">
        <v>9996.67</v>
      </c>
      <c r="J41" s="112">
        <v>4694.0600000000004</v>
      </c>
      <c r="K41" s="113">
        <f t="shared" si="0"/>
        <v>0.53043763573269898</v>
      </c>
      <c r="L41" s="112">
        <v>934.14</v>
      </c>
      <c r="M41" s="113">
        <f t="shared" si="1"/>
        <v>9.3445117224035604E-2</v>
      </c>
      <c r="N41" s="112">
        <v>415.07</v>
      </c>
      <c r="O41" s="112">
        <v>0</v>
      </c>
      <c r="P41" s="116">
        <v>0</v>
      </c>
      <c r="Q41" s="100"/>
      <c r="R41" s="98"/>
      <c r="S41" s="98"/>
      <c r="T41" s="98"/>
      <c r="U41" s="98"/>
    </row>
    <row r="42" spans="2:21" s="4" customFormat="1" ht="15.75" x14ac:dyDescent="0.25">
      <c r="B42" s="95">
        <f t="shared" si="2"/>
        <v>38</v>
      </c>
      <c r="C42" s="95" t="s">
        <v>73</v>
      </c>
      <c r="D42" s="95" t="s">
        <v>74</v>
      </c>
      <c r="E42" s="96" t="s">
        <v>109</v>
      </c>
      <c r="F42" s="96">
        <v>42432</v>
      </c>
      <c r="G42" s="95" t="s">
        <v>126</v>
      </c>
      <c r="H42" s="95" t="s">
        <v>28</v>
      </c>
      <c r="I42" s="112">
        <v>11812.94</v>
      </c>
      <c r="J42" s="112">
        <v>5453.64</v>
      </c>
      <c r="K42" s="113">
        <f t="shared" si="0"/>
        <v>0.53833338694685662</v>
      </c>
      <c r="L42" s="112">
        <v>1064.54</v>
      </c>
      <c r="M42" s="113">
        <f t="shared" si="1"/>
        <v>9.0116431641911326E-2</v>
      </c>
      <c r="N42" s="112">
        <v>-318.76</v>
      </c>
      <c r="O42" s="112">
        <v>0</v>
      </c>
      <c r="P42" s="116">
        <v>0</v>
      </c>
      <c r="Q42" s="100"/>
      <c r="R42" s="98"/>
      <c r="S42" s="98"/>
      <c r="T42" s="98"/>
      <c r="U42" s="98"/>
    </row>
    <row r="43" spans="2:21" s="4" customFormat="1" ht="15.75" x14ac:dyDescent="0.25">
      <c r="B43" s="95">
        <f t="shared" si="2"/>
        <v>39</v>
      </c>
      <c r="C43" s="95" t="s">
        <v>127</v>
      </c>
      <c r="D43" s="95" t="s">
        <v>74</v>
      </c>
      <c r="E43" s="96" t="s">
        <v>72</v>
      </c>
      <c r="F43" s="96">
        <v>42432</v>
      </c>
      <c r="G43" s="95" t="s">
        <v>128</v>
      </c>
      <c r="H43" s="115" t="s">
        <v>18</v>
      </c>
      <c r="I43" s="112">
        <v>5650.06</v>
      </c>
      <c r="J43" s="112">
        <v>2756.77</v>
      </c>
      <c r="K43" s="113">
        <f t="shared" si="0"/>
        <v>0.51208128763234373</v>
      </c>
      <c r="L43" s="112">
        <v>583.91</v>
      </c>
      <c r="M43" s="113">
        <f t="shared" si="1"/>
        <v>0.10334580517729014</v>
      </c>
      <c r="N43" s="112">
        <v>47.26</v>
      </c>
      <c r="O43" s="112">
        <v>0</v>
      </c>
      <c r="P43" s="116">
        <v>0</v>
      </c>
      <c r="Q43" s="100"/>
      <c r="R43" s="98"/>
      <c r="S43" s="98"/>
      <c r="T43" s="98"/>
      <c r="U43" s="98"/>
    </row>
    <row r="44" spans="2:21" s="4" customFormat="1" ht="15.75" x14ac:dyDescent="0.25">
      <c r="B44" s="95">
        <f t="shared" si="2"/>
        <v>40</v>
      </c>
      <c r="C44" s="95" t="s">
        <v>73</v>
      </c>
      <c r="D44" s="95" t="s">
        <v>93</v>
      </c>
      <c r="E44" s="96" t="s">
        <v>80</v>
      </c>
      <c r="F44" s="96">
        <v>42433</v>
      </c>
      <c r="G44" s="95" t="s">
        <v>129</v>
      </c>
      <c r="H44" s="115" t="s">
        <v>15</v>
      </c>
      <c r="I44" s="112">
        <v>7205.13</v>
      </c>
      <c r="J44" s="112">
        <v>3323.52</v>
      </c>
      <c r="K44" s="113">
        <f t="shared" si="0"/>
        <v>0.53872865583271923</v>
      </c>
      <c r="L44" s="112">
        <v>807.03</v>
      </c>
      <c r="M44" s="113">
        <f t="shared" si="1"/>
        <v>0.11200769451765616</v>
      </c>
      <c r="N44" s="112">
        <v>-489.97</v>
      </c>
      <c r="O44" s="112">
        <v>0</v>
      </c>
      <c r="P44" s="116">
        <v>0</v>
      </c>
      <c r="Q44" s="100"/>
      <c r="R44" s="98"/>
      <c r="S44" s="98"/>
      <c r="T44" s="98"/>
      <c r="U44" s="98"/>
    </row>
    <row r="45" spans="2:21" s="4" customFormat="1" ht="15.75" x14ac:dyDescent="0.25">
      <c r="B45" s="95">
        <f t="shared" si="2"/>
        <v>41</v>
      </c>
      <c r="C45" s="95" t="s">
        <v>73</v>
      </c>
      <c r="D45" s="95" t="s">
        <v>76</v>
      </c>
      <c r="E45" s="96" t="s">
        <v>80</v>
      </c>
      <c r="F45" s="96">
        <v>42433</v>
      </c>
      <c r="G45" s="95" t="s">
        <v>130</v>
      </c>
      <c r="H45" s="115" t="s">
        <v>15</v>
      </c>
      <c r="I45" s="112">
        <v>7457.03</v>
      </c>
      <c r="J45" s="112">
        <v>3537.35</v>
      </c>
      <c r="K45" s="113">
        <f t="shared" si="0"/>
        <v>0.52563554122753964</v>
      </c>
      <c r="L45" s="112">
        <v>691.21</v>
      </c>
      <c r="M45" s="113">
        <f t="shared" si="1"/>
        <v>9.2692398984582342E-2</v>
      </c>
      <c r="N45" s="112">
        <v>-92.47</v>
      </c>
      <c r="O45" s="112">
        <v>0</v>
      </c>
      <c r="P45" s="116">
        <v>0</v>
      </c>
      <c r="Q45" s="100" t="s">
        <v>361</v>
      </c>
      <c r="R45" s="98"/>
      <c r="S45" s="98"/>
      <c r="T45" s="98"/>
      <c r="U45" s="98"/>
    </row>
    <row r="46" spans="2:21" s="4" customFormat="1" ht="15.75" x14ac:dyDescent="0.25">
      <c r="B46" s="95">
        <f t="shared" si="2"/>
        <v>42</v>
      </c>
      <c r="C46" s="95" t="s">
        <v>127</v>
      </c>
      <c r="D46" s="95" t="s">
        <v>70</v>
      </c>
      <c r="E46" s="96" t="s">
        <v>80</v>
      </c>
      <c r="F46" s="96">
        <v>42433</v>
      </c>
      <c r="G46" s="95" t="s">
        <v>131</v>
      </c>
      <c r="H46" s="115" t="s">
        <v>15</v>
      </c>
      <c r="I46" s="112">
        <v>8806.49</v>
      </c>
      <c r="J46" s="112">
        <v>4924.7700000000004</v>
      </c>
      <c r="K46" s="113">
        <f t="shared" si="0"/>
        <v>0.44077947059498157</v>
      </c>
      <c r="L46" s="112">
        <v>782.94</v>
      </c>
      <c r="M46" s="113">
        <f t="shared" si="1"/>
        <v>8.8904887191151083E-2</v>
      </c>
      <c r="N46" s="112">
        <v>-407.61</v>
      </c>
      <c r="O46" s="112">
        <v>0</v>
      </c>
      <c r="P46" s="116">
        <v>0</v>
      </c>
      <c r="Q46" s="100"/>
      <c r="R46" s="98"/>
      <c r="S46" s="98"/>
      <c r="T46" s="98"/>
      <c r="U46" s="98"/>
    </row>
    <row r="47" spans="2:21" s="4" customFormat="1" ht="15.75" x14ac:dyDescent="0.25">
      <c r="B47" s="95">
        <f t="shared" si="2"/>
        <v>43</v>
      </c>
      <c r="C47" s="95" t="s">
        <v>73</v>
      </c>
      <c r="D47" s="95" t="s">
        <v>74</v>
      </c>
      <c r="E47" s="96" t="s">
        <v>109</v>
      </c>
      <c r="F47" s="96">
        <v>42434</v>
      </c>
      <c r="G47" s="95" t="s">
        <v>132</v>
      </c>
      <c r="H47" s="115" t="s">
        <v>24</v>
      </c>
      <c r="I47" s="112">
        <v>5131.2</v>
      </c>
      <c r="J47" s="112">
        <v>2252.7600000000002</v>
      </c>
      <c r="K47" s="113">
        <f t="shared" si="0"/>
        <v>0.56096819457436853</v>
      </c>
      <c r="L47" s="112">
        <v>552.98</v>
      </c>
      <c r="M47" s="113">
        <f t="shared" si="1"/>
        <v>0.10776816339257875</v>
      </c>
      <c r="N47" s="112">
        <v>123.4</v>
      </c>
      <c r="O47" s="112">
        <v>0</v>
      </c>
      <c r="P47" s="116">
        <v>0</v>
      </c>
      <c r="Q47" s="100"/>
      <c r="R47" s="98"/>
      <c r="S47" s="98"/>
      <c r="T47" s="98"/>
      <c r="U47" s="98"/>
    </row>
    <row r="48" spans="2:21" s="4" customFormat="1" ht="15.75" x14ac:dyDescent="0.25">
      <c r="B48" s="95">
        <f t="shared" si="2"/>
        <v>44</v>
      </c>
      <c r="C48" s="95" t="s">
        <v>73</v>
      </c>
      <c r="D48" s="95" t="s">
        <v>76</v>
      </c>
      <c r="E48" s="96" t="s">
        <v>72</v>
      </c>
      <c r="F48" s="96">
        <v>42436</v>
      </c>
      <c r="G48" s="95" t="s">
        <v>133</v>
      </c>
      <c r="H48" s="115" t="s">
        <v>54</v>
      </c>
      <c r="I48" s="112">
        <v>5467.06</v>
      </c>
      <c r="J48" s="112">
        <v>2277.08</v>
      </c>
      <c r="K48" s="113">
        <f t="shared" si="0"/>
        <v>0.58349094394427725</v>
      </c>
      <c r="L48" s="112">
        <v>870.67</v>
      </c>
      <c r="M48" s="113">
        <f t="shared" si="1"/>
        <v>0.1592574436717358</v>
      </c>
      <c r="N48" s="112">
        <v>796.16</v>
      </c>
      <c r="O48" s="112">
        <v>0</v>
      </c>
      <c r="P48" s="116">
        <v>0</v>
      </c>
      <c r="Q48" s="100"/>
      <c r="R48" s="98"/>
      <c r="S48" s="98"/>
      <c r="T48" s="98"/>
      <c r="U48" s="98"/>
    </row>
    <row r="49" spans="2:21" s="4" customFormat="1" ht="15.75" x14ac:dyDescent="0.25">
      <c r="B49" s="95">
        <f t="shared" si="2"/>
        <v>45</v>
      </c>
      <c r="C49" s="95" t="s">
        <v>134</v>
      </c>
      <c r="D49" s="95" t="s">
        <v>70</v>
      </c>
      <c r="E49" s="96" t="s">
        <v>80</v>
      </c>
      <c r="F49" s="96">
        <v>42437</v>
      </c>
      <c r="G49" s="95" t="s">
        <v>135</v>
      </c>
      <c r="H49" s="115" t="s">
        <v>15</v>
      </c>
      <c r="I49" s="112">
        <v>6816</v>
      </c>
      <c r="J49" s="112">
        <v>3665.32</v>
      </c>
      <c r="K49" s="113">
        <f t="shared" si="0"/>
        <v>0.46224765258215961</v>
      </c>
      <c r="L49" s="112">
        <v>632.71</v>
      </c>
      <c r="M49" s="113">
        <f t="shared" si="1"/>
        <v>9.2827171361502356E-2</v>
      </c>
      <c r="N49" s="112">
        <v>-78.48</v>
      </c>
      <c r="O49" s="112">
        <v>0</v>
      </c>
      <c r="P49" s="116">
        <v>0</v>
      </c>
      <c r="Q49" s="100"/>
      <c r="R49" s="98"/>
      <c r="S49" s="98"/>
      <c r="T49" s="98"/>
      <c r="U49" s="98"/>
    </row>
    <row r="50" spans="2:21" s="4" customFormat="1" ht="15.75" x14ac:dyDescent="0.25">
      <c r="B50" s="95">
        <f t="shared" si="2"/>
        <v>46</v>
      </c>
      <c r="C50" s="95" t="s">
        <v>420</v>
      </c>
      <c r="D50" s="95" t="s">
        <v>74</v>
      </c>
      <c r="E50" s="96" t="s">
        <v>109</v>
      </c>
      <c r="F50" s="96">
        <v>42437</v>
      </c>
      <c r="G50" s="95" t="s">
        <v>136</v>
      </c>
      <c r="H50" s="115" t="s">
        <v>24</v>
      </c>
      <c r="I50" s="112">
        <v>5026.18</v>
      </c>
      <c r="J50" s="112">
        <v>2111.27</v>
      </c>
      <c r="K50" s="113">
        <f t="shared" si="0"/>
        <v>0.57994540585494359</v>
      </c>
      <c r="L50" s="112">
        <v>386.09</v>
      </c>
      <c r="M50" s="113">
        <f t="shared" si="1"/>
        <v>7.6815792510415454E-2</v>
      </c>
      <c r="N50" s="112">
        <v>-117.42</v>
      </c>
      <c r="O50" s="112">
        <v>0</v>
      </c>
      <c r="P50" s="116">
        <v>0</v>
      </c>
      <c r="Q50" s="100"/>
      <c r="R50" s="98"/>
      <c r="S50" s="98"/>
      <c r="T50" s="98"/>
      <c r="U50" s="98"/>
    </row>
    <row r="51" spans="2:21" s="4" customFormat="1" ht="15.75" x14ac:dyDescent="0.25">
      <c r="B51" s="95">
        <f t="shared" si="2"/>
        <v>47</v>
      </c>
      <c r="C51" s="95" t="s">
        <v>418</v>
      </c>
      <c r="D51" s="95" t="s">
        <v>76</v>
      </c>
      <c r="E51" s="95" t="s">
        <v>424</v>
      </c>
      <c r="F51" s="96">
        <v>42438</v>
      </c>
      <c r="G51" s="95" t="s">
        <v>137</v>
      </c>
      <c r="H51" s="115" t="s">
        <v>28</v>
      </c>
      <c r="I51" s="112">
        <v>11392.96</v>
      </c>
      <c r="J51" s="112">
        <v>6124.32</v>
      </c>
      <c r="K51" s="113">
        <f t="shared" si="0"/>
        <v>0.4624469848046513</v>
      </c>
      <c r="L51" s="112">
        <v>817.69</v>
      </c>
      <c r="M51" s="113">
        <f t="shared" si="1"/>
        <v>7.1771515040867359E-2</v>
      </c>
      <c r="N51" s="112">
        <v>-152.13999999999999</v>
      </c>
      <c r="O51" s="112">
        <v>0</v>
      </c>
      <c r="P51" s="116">
        <v>0</v>
      </c>
      <c r="Q51" s="100" t="s">
        <v>362</v>
      </c>
      <c r="R51" s="98"/>
      <c r="S51" s="98"/>
      <c r="T51" s="98"/>
      <c r="U51" s="98"/>
    </row>
    <row r="52" spans="2:21" s="4" customFormat="1" ht="15.75" x14ac:dyDescent="0.25">
      <c r="B52" s="95">
        <f t="shared" si="2"/>
        <v>48</v>
      </c>
      <c r="C52" s="95" t="s">
        <v>73</v>
      </c>
      <c r="D52" s="95" t="s">
        <v>76</v>
      </c>
      <c r="E52" s="96" t="s">
        <v>109</v>
      </c>
      <c r="F52" s="96">
        <v>42439</v>
      </c>
      <c r="G52" s="95" t="s">
        <v>138</v>
      </c>
      <c r="H52" s="95" t="s">
        <v>27</v>
      </c>
      <c r="I52" s="112">
        <v>21208.63</v>
      </c>
      <c r="J52" s="112">
        <v>7856.52</v>
      </c>
      <c r="K52" s="113">
        <f t="shared" si="0"/>
        <v>0.62956023090600388</v>
      </c>
      <c r="L52" s="112">
        <v>2109.0100000000002</v>
      </c>
      <c r="M52" s="113">
        <f t="shared" si="1"/>
        <v>9.9441123731235828E-2</v>
      </c>
      <c r="N52" s="112">
        <v>271.63</v>
      </c>
      <c r="O52" s="112">
        <v>0</v>
      </c>
      <c r="P52" s="116">
        <v>0</v>
      </c>
      <c r="Q52" s="100"/>
      <c r="R52" s="98"/>
      <c r="S52" s="98"/>
      <c r="T52" s="98"/>
      <c r="U52" s="98"/>
    </row>
    <row r="53" spans="2:21" s="4" customFormat="1" ht="15.75" x14ac:dyDescent="0.25">
      <c r="B53" s="95">
        <f t="shared" si="2"/>
        <v>49</v>
      </c>
      <c r="C53" s="95" t="s">
        <v>73</v>
      </c>
      <c r="D53" s="95" t="s">
        <v>70</v>
      </c>
      <c r="E53" s="95" t="s">
        <v>424</v>
      </c>
      <c r="F53" s="96">
        <v>42440</v>
      </c>
      <c r="G53" s="95" t="s">
        <v>139</v>
      </c>
      <c r="H53" s="95" t="s">
        <v>22</v>
      </c>
      <c r="I53" s="112">
        <v>5299.13</v>
      </c>
      <c r="J53" s="112">
        <v>2544.3000000000002</v>
      </c>
      <c r="K53" s="113">
        <f t="shared" si="0"/>
        <v>0.51986458154451765</v>
      </c>
      <c r="L53" s="112">
        <v>515.67999999999995</v>
      </c>
      <c r="M53" s="113">
        <f t="shared" si="1"/>
        <v>9.7314087406800726E-2</v>
      </c>
      <c r="N53" s="112">
        <v>51.93</v>
      </c>
      <c r="O53" s="112">
        <v>0</v>
      </c>
      <c r="P53" s="116">
        <v>0</v>
      </c>
      <c r="Q53" s="100"/>
      <c r="R53" s="98"/>
      <c r="S53" s="98"/>
      <c r="T53" s="98"/>
      <c r="U53" s="98"/>
    </row>
    <row r="54" spans="2:21" s="4" customFormat="1" ht="15.75" x14ac:dyDescent="0.25">
      <c r="B54" s="95">
        <f t="shared" si="2"/>
        <v>50</v>
      </c>
      <c r="C54" s="95" t="s">
        <v>420</v>
      </c>
      <c r="D54" s="95" t="s">
        <v>70</v>
      </c>
      <c r="E54" s="96" t="s">
        <v>95</v>
      </c>
      <c r="F54" s="96">
        <v>42443</v>
      </c>
      <c r="G54" s="95" t="s">
        <v>140</v>
      </c>
      <c r="H54" s="115" t="s">
        <v>13</v>
      </c>
      <c r="I54" s="112">
        <v>2000.23</v>
      </c>
      <c r="J54" s="112">
        <v>752.9</v>
      </c>
      <c r="K54" s="113">
        <f t="shared" si="0"/>
        <v>0.62359328677202119</v>
      </c>
      <c r="L54" s="112">
        <v>224.02</v>
      </c>
      <c r="M54" s="113">
        <f t="shared" si="1"/>
        <v>0.11199712033116192</v>
      </c>
      <c r="N54" s="112">
        <v>46.25</v>
      </c>
      <c r="O54" s="112">
        <v>0</v>
      </c>
      <c r="P54" s="116">
        <v>0</v>
      </c>
      <c r="Q54" s="100"/>
      <c r="R54" s="98"/>
      <c r="S54" s="98"/>
      <c r="T54" s="98"/>
      <c r="U54" s="98"/>
    </row>
    <row r="55" spans="2:21" s="4" customFormat="1" ht="15.75" x14ac:dyDescent="0.25">
      <c r="B55" s="95">
        <f t="shared" si="2"/>
        <v>51</v>
      </c>
      <c r="C55" s="95" t="s">
        <v>420</v>
      </c>
      <c r="D55" s="95" t="s">
        <v>70</v>
      </c>
      <c r="E55" s="96" t="s">
        <v>109</v>
      </c>
      <c r="F55" s="96">
        <v>42443</v>
      </c>
      <c r="G55" s="95" t="s">
        <v>141</v>
      </c>
      <c r="H55" s="115" t="s">
        <v>17</v>
      </c>
      <c r="I55" s="112">
        <v>7911.58</v>
      </c>
      <c r="J55" s="112">
        <v>3514.42</v>
      </c>
      <c r="K55" s="113">
        <f t="shared" si="0"/>
        <v>0.55578784515861557</v>
      </c>
      <c r="L55" s="112">
        <v>1020.83</v>
      </c>
      <c r="M55" s="113">
        <f t="shared" si="1"/>
        <v>0.12902985244413884</v>
      </c>
      <c r="N55" s="112">
        <v>679.18</v>
      </c>
      <c r="O55" s="112">
        <v>0</v>
      </c>
      <c r="P55" s="116">
        <v>0</v>
      </c>
      <c r="Q55" s="100"/>
      <c r="R55" s="98"/>
      <c r="S55" s="98"/>
      <c r="T55" s="98"/>
      <c r="U55" s="98"/>
    </row>
    <row r="56" spans="2:21" s="4" customFormat="1" ht="15.75" x14ac:dyDescent="0.25">
      <c r="B56" s="95">
        <f t="shared" si="2"/>
        <v>52</v>
      </c>
      <c r="C56" s="95" t="s">
        <v>107</v>
      </c>
      <c r="D56" s="95" t="s">
        <v>93</v>
      </c>
      <c r="E56" s="96" t="s">
        <v>95</v>
      </c>
      <c r="F56" s="96">
        <v>42444</v>
      </c>
      <c r="G56" s="95" t="s">
        <v>142</v>
      </c>
      <c r="H56" s="115" t="s">
        <v>18</v>
      </c>
      <c r="I56" s="112">
        <v>4705.88</v>
      </c>
      <c r="J56" s="112">
        <v>2190.35</v>
      </c>
      <c r="K56" s="113">
        <f t="shared" si="0"/>
        <v>0.53455039227519618</v>
      </c>
      <c r="L56" s="112">
        <v>379.28</v>
      </c>
      <c r="M56" s="113">
        <f t="shared" si="1"/>
        <v>8.0597040298520148E-2</v>
      </c>
      <c r="N56" s="112">
        <v>-367.02</v>
      </c>
      <c r="O56" s="112">
        <v>0</v>
      </c>
      <c r="P56" s="116">
        <v>0</v>
      </c>
      <c r="Q56" s="100"/>
      <c r="R56" s="98"/>
      <c r="S56" s="98"/>
      <c r="T56" s="98"/>
      <c r="U56" s="98"/>
    </row>
    <row r="57" spans="2:21" s="4" customFormat="1" ht="15.75" x14ac:dyDescent="0.25">
      <c r="B57" s="95">
        <f t="shared" si="2"/>
        <v>53</v>
      </c>
      <c r="C57" s="95" t="s">
        <v>73</v>
      </c>
      <c r="D57" s="95" t="s">
        <v>76</v>
      </c>
      <c r="E57" s="96" t="s">
        <v>72</v>
      </c>
      <c r="F57" s="96">
        <v>42445</v>
      </c>
      <c r="G57" s="95" t="s">
        <v>143</v>
      </c>
      <c r="H57" s="115" t="s">
        <v>18</v>
      </c>
      <c r="I57" s="112">
        <v>10037.549999999999</v>
      </c>
      <c r="J57" s="112">
        <v>7023.21</v>
      </c>
      <c r="K57" s="113">
        <f t="shared" si="0"/>
        <v>0.30030634965703779</v>
      </c>
      <c r="L57" s="112">
        <v>835.04</v>
      </c>
      <c r="M57" s="113">
        <f t="shared" si="1"/>
        <v>8.3191615483858117E-2</v>
      </c>
      <c r="N57" s="112">
        <v>-1360.55</v>
      </c>
      <c r="O57" s="112">
        <v>0</v>
      </c>
      <c r="P57" s="116">
        <v>0</v>
      </c>
      <c r="Q57" s="100" t="s">
        <v>363</v>
      </c>
      <c r="R57" s="98"/>
      <c r="S57" s="98"/>
      <c r="T57" s="98"/>
      <c r="U57" s="98"/>
    </row>
    <row r="58" spans="2:21" s="4" customFormat="1" ht="15.75" x14ac:dyDescent="0.25">
      <c r="B58" s="95">
        <f t="shared" si="2"/>
        <v>54</v>
      </c>
      <c r="C58" s="95" t="s">
        <v>420</v>
      </c>
      <c r="D58" s="95" t="s">
        <v>76</v>
      </c>
      <c r="E58" s="96" t="s">
        <v>71</v>
      </c>
      <c r="F58" s="96">
        <v>42445</v>
      </c>
      <c r="G58" s="95" t="s">
        <v>144</v>
      </c>
      <c r="H58" s="95" t="s">
        <v>27</v>
      </c>
      <c r="I58" s="112">
        <v>12565.45</v>
      </c>
      <c r="J58" s="112">
        <v>7188.13</v>
      </c>
      <c r="K58" s="113">
        <f t="shared" si="0"/>
        <v>0.42794488060515146</v>
      </c>
      <c r="L58" s="112">
        <v>679.92</v>
      </c>
      <c r="M58" s="113">
        <f t="shared" si="1"/>
        <v>5.4110278581348058E-2</v>
      </c>
      <c r="N58" s="112">
        <v>-983.75</v>
      </c>
      <c r="O58" s="112">
        <v>0</v>
      </c>
      <c r="P58" s="116">
        <v>0</v>
      </c>
      <c r="Q58" s="100" t="s">
        <v>364</v>
      </c>
      <c r="R58" s="98"/>
      <c r="S58" s="98"/>
      <c r="T58" s="98"/>
      <c r="U58" s="98"/>
    </row>
    <row r="59" spans="2:21" s="4" customFormat="1" ht="15.75" x14ac:dyDescent="0.25">
      <c r="B59" s="95">
        <f t="shared" si="2"/>
        <v>55</v>
      </c>
      <c r="C59" s="95" t="s">
        <v>73</v>
      </c>
      <c r="D59" s="95" t="s">
        <v>74</v>
      </c>
      <c r="E59" s="96" t="s">
        <v>109</v>
      </c>
      <c r="F59" s="96">
        <v>42446</v>
      </c>
      <c r="G59" s="95" t="s">
        <v>145</v>
      </c>
      <c r="H59" s="115" t="s">
        <v>17</v>
      </c>
      <c r="I59" s="112">
        <v>7328.44</v>
      </c>
      <c r="J59" s="112">
        <v>3804.21</v>
      </c>
      <c r="K59" s="113">
        <f t="shared" si="0"/>
        <v>0.48089770810704596</v>
      </c>
      <c r="L59" s="112">
        <v>487.76</v>
      </c>
      <c r="M59" s="113">
        <f t="shared" si="1"/>
        <v>6.6557139036411569E-2</v>
      </c>
      <c r="N59" s="112">
        <v>19.04</v>
      </c>
      <c r="O59" s="112">
        <v>0</v>
      </c>
      <c r="P59" s="116">
        <v>0</v>
      </c>
      <c r="Q59" s="100" t="s">
        <v>365</v>
      </c>
      <c r="R59" s="98"/>
      <c r="S59" s="98"/>
      <c r="T59" s="98"/>
      <c r="U59" s="98"/>
    </row>
    <row r="60" spans="2:21" s="4" customFormat="1" ht="15.75" x14ac:dyDescent="0.25">
      <c r="B60" s="95">
        <f t="shared" si="2"/>
        <v>56</v>
      </c>
      <c r="C60" s="95" t="s">
        <v>73</v>
      </c>
      <c r="D60" s="95" t="s">
        <v>76</v>
      </c>
      <c r="E60" s="96" t="s">
        <v>109</v>
      </c>
      <c r="F60" s="96">
        <v>42446</v>
      </c>
      <c r="G60" s="95" t="s">
        <v>146</v>
      </c>
      <c r="H60" s="115" t="s">
        <v>17</v>
      </c>
      <c r="I60" s="112">
        <v>4664.72</v>
      </c>
      <c r="J60" s="112">
        <v>2522.11</v>
      </c>
      <c r="K60" s="113">
        <f t="shared" si="0"/>
        <v>0.45932231730950623</v>
      </c>
      <c r="L60" s="112">
        <v>284.58</v>
      </c>
      <c r="M60" s="113">
        <f t="shared" si="1"/>
        <v>6.1006877154470146E-2</v>
      </c>
      <c r="N60" s="112">
        <v>-217.08</v>
      </c>
      <c r="O60" s="112">
        <v>0</v>
      </c>
      <c r="P60" s="116">
        <v>0</v>
      </c>
      <c r="Q60" s="100"/>
      <c r="R60" s="98"/>
      <c r="S60" s="98"/>
      <c r="T60" s="98"/>
      <c r="U60" s="98"/>
    </row>
    <row r="61" spans="2:21" s="4" customFormat="1" ht="15.75" x14ac:dyDescent="0.25">
      <c r="B61" s="95">
        <f t="shared" si="2"/>
        <v>57</v>
      </c>
      <c r="C61" s="95" t="s">
        <v>73</v>
      </c>
      <c r="D61" s="95" t="s">
        <v>76</v>
      </c>
      <c r="E61" s="96" t="s">
        <v>95</v>
      </c>
      <c r="F61" s="96">
        <v>42447</v>
      </c>
      <c r="G61" s="95" t="s">
        <v>147</v>
      </c>
      <c r="H61" s="115" t="s">
        <v>18</v>
      </c>
      <c r="I61" s="112">
        <v>14023.15</v>
      </c>
      <c r="J61" s="112">
        <v>5925.51</v>
      </c>
      <c r="K61" s="113">
        <f t="shared" si="0"/>
        <v>0.57744800561927956</v>
      </c>
      <c r="L61" s="112">
        <v>1784.23</v>
      </c>
      <c r="M61" s="113">
        <f t="shared" si="1"/>
        <v>0.12723460848668094</v>
      </c>
      <c r="N61" s="112">
        <v>1076.05</v>
      </c>
      <c r="O61" s="112">
        <v>0</v>
      </c>
      <c r="P61" s="116">
        <v>0</v>
      </c>
      <c r="Q61" s="100"/>
      <c r="R61" s="98"/>
      <c r="S61" s="98"/>
      <c r="T61" s="98"/>
      <c r="U61" s="98"/>
    </row>
    <row r="62" spans="2:21" s="4" customFormat="1" ht="15.75" x14ac:dyDescent="0.25">
      <c r="B62" s="95">
        <f t="shared" si="2"/>
        <v>58</v>
      </c>
      <c r="C62" s="95" t="s">
        <v>73</v>
      </c>
      <c r="D62" s="95" t="s">
        <v>74</v>
      </c>
      <c r="E62" s="96" t="s">
        <v>109</v>
      </c>
      <c r="F62" s="96">
        <v>42448</v>
      </c>
      <c r="G62" s="95" t="s">
        <v>148</v>
      </c>
      <c r="H62" s="95" t="s">
        <v>22</v>
      </c>
      <c r="I62" s="112">
        <v>3209.06</v>
      </c>
      <c r="J62" s="112">
        <v>1449.39</v>
      </c>
      <c r="K62" s="113">
        <f t="shared" si="0"/>
        <v>0.54834437498831434</v>
      </c>
      <c r="L62" s="112">
        <v>352.23</v>
      </c>
      <c r="M62" s="113">
        <f t="shared" si="1"/>
        <v>0.10976111384642233</v>
      </c>
      <c r="N62" s="112">
        <v>122.06</v>
      </c>
      <c r="O62" s="112">
        <v>0</v>
      </c>
      <c r="P62" s="116">
        <v>0</v>
      </c>
      <c r="Q62" s="100"/>
      <c r="R62" s="98"/>
      <c r="S62" s="98"/>
      <c r="T62" s="98"/>
      <c r="U62" s="98"/>
    </row>
    <row r="63" spans="2:21" s="4" customFormat="1" ht="15.75" x14ac:dyDescent="0.25">
      <c r="B63" s="95">
        <f t="shared" si="2"/>
        <v>59</v>
      </c>
      <c r="C63" s="95" t="s">
        <v>418</v>
      </c>
      <c r="D63" s="95" t="s">
        <v>74</v>
      </c>
      <c r="E63" s="96" t="s">
        <v>109</v>
      </c>
      <c r="F63" s="96">
        <v>42449</v>
      </c>
      <c r="G63" s="95" t="s">
        <v>149</v>
      </c>
      <c r="H63" s="115" t="s">
        <v>24</v>
      </c>
      <c r="I63" s="112">
        <v>10372.76</v>
      </c>
      <c r="J63" s="112">
        <v>4226.7</v>
      </c>
      <c r="K63" s="113">
        <f t="shared" si="0"/>
        <v>0.59251925234942293</v>
      </c>
      <c r="L63" s="112">
        <v>781.83</v>
      </c>
      <c r="M63" s="113">
        <f t="shared" si="1"/>
        <v>7.5373381819303642E-2</v>
      </c>
      <c r="N63" s="112">
        <v>-811.14</v>
      </c>
      <c r="O63" s="112">
        <v>0</v>
      </c>
      <c r="P63" s="116">
        <v>0</v>
      </c>
      <c r="Q63" s="100"/>
      <c r="R63" s="98"/>
      <c r="S63" s="98"/>
      <c r="T63" s="98"/>
      <c r="U63" s="98"/>
    </row>
    <row r="64" spans="2:21" s="4" customFormat="1" ht="15.75" x14ac:dyDescent="0.25">
      <c r="B64" s="95">
        <f t="shared" si="2"/>
        <v>60</v>
      </c>
      <c r="C64" s="95" t="s">
        <v>73</v>
      </c>
      <c r="D64" s="95" t="s">
        <v>93</v>
      </c>
      <c r="E64" s="96" t="s">
        <v>80</v>
      </c>
      <c r="F64" s="96">
        <v>42450</v>
      </c>
      <c r="G64" s="95" t="s">
        <v>150</v>
      </c>
      <c r="H64" s="115" t="s">
        <v>15</v>
      </c>
      <c r="I64" s="112">
        <v>6004.91</v>
      </c>
      <c r="J64" s="112">
        <v>2942.03</v>
      </c>
      <c r="K64" s="113">
        <f t="shared" si="0"/>
        <v>0.51006259877333715</v>
      </c>
      <c r="L64" s="112">
        <v>640.51</v>
      </c>
      <c r="M64" s="113">
        <f t="shared" si="1"/>
        <v>0.10666437964932031</v>
      </c>
      <c r="N64" s="112">
        <v>143.81</v>
      </c>
      <c r="O64" s="112">
        <v>0</v>
      </c>
      <c r="P64" s="116">
        <v>0</v>
      </c>
      <c r="Q64" s="100"/>
      <c r="R64" s="98"/>
      <c r="S64" s="98"/>
      <c r="T64" s="98"/>
      <c r="U64" s="98"/>
    </row>
    <row r="65" spans="2:21" s="4" customFormat="1" ht="15.75" x14ac:dyDescent="0.25">
      <c r="B65" s="95">
        <f t="shared" si="2"/>
        <v>61</v>
      </c>
      <c r="C65" s="95" t="s">
        <v>151</v>
      </c>
      <c r="D65" s="95" t="s">
        <v>93</v>
      </c>
      <c r="E65" s="96" t="s">
        <v>80</v>
      </c>
      <c r="F65" s="96">
        <v>42452</v>
      </c>
      <c r="G65" s="95" t="s">
        <v>152</v>
      </c>
      <c r="H65" s="115" t="s">
        <v>15</v>
      </c>
      <c r="I65" s="112">
        <v>9500.4699999999993</v>
      </c>
      <c r="J65" s="112">
        <v>5765.37</v>
      </c>
      <c r="K65" s="113">
        <f t="shared" si="0"/>
        <v>0.39314897052461611</v>
      </c>
      <c r="L65" s="112">
        <v>427.99</v>
      </c>
      <c r="M65" s="113">
        <f t="shared" si="1"/>
        <v>4.5049350190043233E-2</v>
      </c>
      <c r="N65" s="112">
        <v>-1170.75</v>
      </c>
      <c r="O65" s="112">
        <v>0</v>
      </c>
      <c r="P65" s="116">
        <v>0</v>
      </c>
      <c r="Q65" s="100" t="s">
        <v>366</v>
      </c>
      <c r="R65" s="98"/>
      <c r="S65" s="98"/>
      <c r="T65" s="98"/>
      <c r="U65" s="98"/>
    </row>
    <row r="66" spans="2:21" s="4" customFormat="1" ht="15.75" x14ac:dyDescent="0.25">
      <c r="B66" s="95">
        <f t="shared" si="2"/>
        <v>62</v>
      </c>
      <c r="C66" s="95" t="s">
        <v>340</v>
      </c>
      <c r="D66" s="95" t="s">
        <v>76</v>
      </c>
      <c r="E66" s="96" t="s">
        <v>71</v>
      </c>
      <c r="F66" s="96">
        <v>42452</v>
      </c>
      <c r="G66" s="95" t="s">
        <v>153</v>
      </c>
      <c r="H66" s="115" t="s">
        <v>17</v>
      </c>
      <c r="I66" s="112">
        <v>5192.38</v>
      </c>
      <c r="J66" s="112">
        <v>2004.84</v>
      </c>
      <c r="K66" s="113">
        <f t="shared" si="0"/>
        <v>0.61388804363317018</v>
      </c>
      <c r="L66" s="112">
        <v>747.31</v>
      </c>
      <c r="M66" s="113">
        <f t="shared" si="1"/>
        <v>0.14392436609030926</v>
      </c>
      <c r="N66" s="112">
        <v>816.93</v>
      </c>
      <c r="O66" s="112">
        <v>0</v>
      </c>
      <c r="P66" s="116">
        <v>0</v>
      </c>
      <c r="Q66" s="100"/>
      <c r="R66" s="98"/>
      <c r="S66" s="98"/>
      <c r="T66" s="98"/>
      <c r="U66" s="98"/>
    </row>
    <row r="67" spans="2:21" s="4" customFormat="1" ht="15.75" x14ac:dyDescent="0.25">
      <c r="B67" s="95">
        <f t="shared" si="2"/>
        <v>63</v>
      </c>
      <c r="C67" s="95" t="s">
        <v>123</v>
      </c>
      <c r="D67" s="95" t="s">
        <v>93</v>
      </c>
      <c r="E67" s="96" t="s">
        <v>95</v>
      </c>
      <c r="F67" s="96">
        <v>42454</v>
      </c>
      <c r="G67" s="95" t="s">
        <v>154</v>
      </c>
      <c r="H67" s="115" t="s">
        <v>18</v>
      </c>
      <c r="I67" s="112">
        <v>10317</v>
      </c>
      <c r="J67" s="112">
        <v>4337.28</v>
      </c>
      <c r="K67" s="113">
        <f t="shared" si="0"/>
        <v>0.57959872055830186</v>
      </c>
      <c r="L67" s="112">
        <v>1371.36</v>
      </c>
      <c r="M67" s="113">
        <f t="shared" si="1"/>
        <v>0.13292236115149753</v>
      </c>
      <c r="N67" s="112">
        <v>910.4</v>
      </c>
      <c r="O67" s="112">
        <v>0</v>
      </c>
      <c r="P67" s="116">
        <v>0</v>
      </c>
      <c r="Q67" s="100" t="s">
        <v>367</v>
      </c>
      <c r="R67" s="98"/>
      <c r="S67" s="98"/>
      <c r="T67" s="98"/>
      <c r="U67" s="98"/>
    </row>
    <row r="68" spans="2:21" s="4" customFormat="1" ht="15.75" x14ac:dyDescent="0.25">
      <c r="B68" s="95">
        <f t="shared" si="2"/>
        <v>64</v>
      </c>
      <c r="C68" s="95" t="s">
        <v>155</v>
      </c>
      <c r="D68" s="95" t="s">
        <v>74</v>
      </c>
      <c r="E68" s="96" t="s">
        <v>72</v>
      </c>
      <c r="F68" s="96">
        <v>42455</v>
      </c>
      <c r="G68" s="123" t="s">
        <v>156</v>
      </c>
      <c r="H68" s="115" t="s">
        <v>54</v>
      </c>
      <c r="I68" s="112">
        <v>4858.9799999999996</v>
      </c>
      <c r="J68" s="112">
        <v>2411.44</v>
      </c>
      <c r="K68" s="113">
        <f t="shared" si="0"/>
        <v>0.5037147714129302</v>
      </c>
      <c r="L68" s="112">
        <v>534.01</v>
      </c>
      <c r="M68" s="113">
        <f t="shared" si="1"/>
        <v>0.10990166660492533</v>
      </c>
      <c r="N68" s="112">
        <v>219.04</v>
      </c>
      <c r="O68" s="112">
        <v>0</v>
      </c>
      <c r="P68" s="116">
        <v>0</v>
      </c>
      <c r="Q68" s="100"/>
      <c r="R68" s="98"/>
      <c r="S68" s="98"/>
      <c r="T68" s="98"/>
      <c r="U68" s="98"/>
    </row>
    <row r="69" spans="2:21" s="4" customFormat="1" ht="15.75" x14ac:dyDescent="0.25">
      <c r="B69" s="95">
        <f t="shared" si="2"/>
        <v>65</v>
      </c>
      <c r="C69" s="95" t="s">
        <v>73</v>
      </c>
      <c r="D69" s="95" t="s">
        <v>93</v>
      </c>
      <c r="E69" s="96" t="s">
        <v>109</v>
      </c>
      <c r="F69" s="96">
        <v>42457</v>
      </c>
      <c r="G69" s="95" t="s">
        <v>157</v>
      </c>
      <c r="H69" s="95" t="s">
        <v>22</v>
      </c>
      <c r="I69" s="112">
        <v>5024.84</v>
      </c>
      <c r="J69" s="112">
        <v>1961.81</v>
      </c>
      <c r="K69" s="113">
        <f t="shared" ref="K69:K132" si="3">IF(J69,(I69-J69)/I69,"")</f>
        <v>0.60957761839182945</v>
      </c>
      <c r="L69" s="112">
        <v>609.41999999999996</v>
      </c>
      <c r="M69" s="113">
        <f t="shared" ref="M69:M132" si="4">IF(J69,L69/I69,"")</f>
        <v>0.12128147363896162</v>
      </c>
      <c r="N69" s="112">
        <v>334.84</v>
      </c>
      <c r="O69" s="112">
        <v>0</v>
      </c>
      <c r="P69" s="116">
        <v>0</v>
      </c>
      <c r="Q69" s="100"/>
      <c r="R69" s="98"/>
      <c r="S69" s="98"/>
      <c r="T69" s="98"/>
      <c r="U69" s="98"/>
    </row>
    <row r="70" spans="2:21" s="4" customFormat="1" ht="15.75" x14ac:dyDescent="0.25">
      <c r="B70" s="95">
        <f t="shared" si="2"/>
        <v>66</v>
      </c>
      <c r="C70" s="95" t="s">
        <v>73</v>
      </c>
      <c r="D70" s="95" t="s">
        <v>76</v>
      </c>
      <c r="E70" s="96" t="s">
        <v>158</v>
      </c>
      <c r="F70" s="96">
        <v>42458</v>
      </c>
      <c r="G70" s="95" t="s">
        <v>159</v>
      </c>
      <c r="H70" s="115" t="s">
        <v>17</v>
      </c>
      <c r="I70" s="112">
        <v>5704.96</v>
      </c>
      <c r="J70" s="112">
        <v>2733.58</v>
      </c>
      <c r="K70" s="113">
        <f t="shared" si="3"/>
        <v>0.5208415133497869</v>
      </c>
      <c r="L70" s="112">
        <v>496.58</v>
      </c>
      <c r="M70" s="113">
        <f t="shared" si="4"/>
        <v>8.7043555081893653E-2</v>
      </c>
      <c r="N70" s="112">
        <v>-266.04000000000002</v>
      </c>
      <c r="O70" s="112">
        <v>0</v>
      </c>
      <c r="P70" s="116">
        <v>0</v>
      </c>
      <c r="Q70" s="100"/>
      <c r="R70" s="98"/>
      <c r="S70" s="98"/>
      <c r="T70" s="98"/>
      <c r="U70" s="98"/>
    </row>
    <row r="71" spans="2:21" s="4" customFormat="1" ht="15.75" x14ac:dyDescent="0.25">
      <c r="B71" s="95">
        <f t="shared" ref="B71:B134" si="5">B70+1</f>
        <v>67</v>
      </c>
      <c r="C71" s="95" t="s">
        <v>73</v>
      </c>
      <c r="D71" s="95" t="s">
        <v>74</v>
      </c>
      <c r="E71" s="96" t="s">
        <v>104</v>
      </c>
      <c r="F71" s="96">
        <v>42459</v>
      </c>
      <c r="G71" s="95" t="s">
        <v>160</v>
      </c>
      <c r="H71" s="115" t="s">
        <v>427</v>
      </c>
      <c r="I71" s="112">
        <v>1660.64</v>
      </c>
      <c r="J71" s="112">
        <v>903.12</v>
      </c>
      <c r="K71" s="113">
        <f t="shared" si="3"/>
        <v>0.45616147991135952</v>
      </c>
      <c r="L71" s="112">
        <v>258.98</v>
      </c>
      <c r="M71" s="113">
        <f t="shared" si="4"/>
        <v>0.15595192215049619</v>
      </c>
      <c r="N71" s="112">
        <v>276.04000000000002</v>
      </c>
      <c r="O71" s="112">
        <v>0</v>
      </c>
      <c r="P71" s="116">
        <v>0</v>
      </c>
      <c r="Q71" s="100"/>
      <c r="R71" s="98"/>
      <c r="S71" s="98"/>
      <c r="T71" s="98"/>
      <c r="U71" s="98"/>
    </row>
    <row r="72" spans="2:21" s="4" customFormat="1" ht="15.75" x14ac:dyDescent="0.25">
      <c r="B72" s="95">
        <f t="shared" si="5"/>
        <v>68</v>
      </c>
      <c r="C72" s="95" t="s">
        <v>420</v>
      </c>
      <c r="D72" s="95" t="s">
        <v>70</v>
      </c>
      <c r="E72" s="96" t="s">
        <v>95</v>
      </c>
      <c r="F72" s="96">
        <v>42459</v>
      </c>
      <c r="G72" s="95" t="s">
        <v>161</v>
      </c>
      <c r="H72" s="115" t="s">
        <v>13</v>
      </c>
      <c r="I72" s="112">
        <v>12924.72</v>
      </c>
      <c r="J72" s="112">
        <v>5658.98</v>
      </c>
      <c r="K72" s="113">
        <f t="shared" si="3"/>
        <v>0.56215840652640836</v>
      </c>
      <c r="L72" s="112">
        <v>1660.5</v>
      </c>
      <c r="M72" s="113">
        <f t="shared" si="4"/>
        <v>0.1284747367834661</v>
      </c>
      <c r="N72" s="112">
        <v>981.32</v>
      </c>
      <c r="O72" s="112">
        <v>0</v>
      </c>
      <c r="P72" s="116">
        <v>0</v>
      </c>
      <c r="Q72" s="100"/>
      <c r="R72" s="98"/>
      <c r="S72" s="98"/>
      <c r="T72" s="98"/>
      <c r="U72" s="98"/>
    </row>
    <row r="73" spans="2:21" s="4" customFormat="1" ht="15.75" x14ac:dyDescent="0.25">
      <c r="B73" s="95">
        <f t="shared" si="5"/>
        <v>69</v>
      </c>
      <c r="C73" s="95" t="s">
        <v>420</v>
      </c>
      <c r="D73" s="95" t="s">
        <v>70</v>
      </c>
      <c r="E73" s="95" t="s">
        <v>424</v>
      </c>
      <c r="F73" s="96">
        <v>42460</v>
      </c>
      <c r="G73" s="95" t="s">
        <v>162</v>
      </c>
      <c r="H73" s="115" t="s">
        <v>14</v>
      </c>
      <c r="I73" s="112">
        <v>9749.2800000000007</v>
      </c>
      <c r="J73" s="112">
        <v>4801.33</v>
      </c>
      <c r="K73" s="113">
        <f t="shared" si="3"/>
        <v>0.50751952964731761</v>
      </c>
      <c r="L73" s="112">
        <v>1088.76</v>
      </c>
      <c r="M73" s="113">
        <f t="shared" si="4"/>
        <v>0.11167593914627541</v>
      </c>
      <c r="N73" s="112">
        <v>389.58</v>
      </c>
      <c r="O73" s="112">
        <v>0</v>
      </c>
      <c r="P73" s="116">
        <v>0</v>
      </c>
      <c r="Q73" s="100"/>
      <c r="R73" s="98"/>
      <c r="S73" s="98"/>
      <c r="T73" s="98"/>
      <c r="U73" s="98"/>
    </row>
    <row r="74" spans="2:21" s="4" customFormat="1" ht="15.75" x14ac:dyDescent="0.25">
      <c r="B74" s="95">
        <f t="shared" si="5"/>
        <v>70</v>
      </c>
      <c r="C74" s="95" t="s">
        <v>73</v>
      </c>
      <c r="D74" s="95" t="s">
        <v>76</v>
      </c>
      <c r="E74" s="96" t="s">
        <v>109</v>
      </c>
      <c r="F74" s="96">
        <v>42461</v>
      </c>
      <c r="G74" s="95" t="s">
        <v>163</v>
      </c>
      <c r="H74" s="115" t="s">
        <v>17</v>
      </c>
      <c r="I74" s="112">
        <v>5287.93</v>
      </c>
      <c r="J74" s="112">
        <v>2086.3200000000002</v>
      </c>
      <c r="K74" s="113">
        <f t="shared" si="3"/>
        <v>0.60545619930672301</v>
      </c>
      <c r="L74" s="112">
        <v>518.79</v>
      </c>
      <c r="M74" s="113">
        <f t="shared" si="4"/>
        <v>9.8108333506684076E-2</v>
      </c>
      <c r="N74" s="112">
        <v>96.73</v>
      </c>
      <c r="O74" s="112">
        <v>0</v>
      </c>
      <c r="P74" s="116">
        <v>0</v>
      </c>
      <c r="Q74" s="100"/>
      <c r="R74" s="98"/>
      <c r="S74" s="98"/>
      <c r="T74" s="98"/>
      <c r="U74" s="98"/>
    </row>
    <row r="75" spans="2:21" s="4" customFormat="1" ht="15.75" x14ac:dyDescent="0.25">
      <c r="B75" s="95">
        <f t="shared" si="5"/>
        <v>71</v>
      </c>
      <c r="C75" s="95" t="s">
        <v>123</v>
      </c>
      <c r="D75" s="95" t="s">
        <v>70</v>
      </c>
      <c r="E75" s="96" t="s">
        <v>80</v>
      </c>
      <c r="F75" s="96">
        <v>42461</v>
      </c>
      <c r="G75" s="95" t="s">
        <v>164</v>
      </c>
      <c r="H75" s="95" t="s">
        <v>429</v>
      </c>
      <c r="I75" s="112">
        <v>14087.62</v>
      </c>
      <c r="J75" s="112">
        <v>7626.77</v>
      </c>
      <c r="K75" s="113">
        <f t="shared" si="3"/>
        <v>0.45861898603170725</v>
      </c>
      <c r="L75" s="112">
        <v>1451.65</v>
      </c>
      <c r="M75" s="113">
        <f t="shared" si="4"/>
        <v>0.10304437513220828</v>
      </c>
      <c r="N75" s="112">
        <v>282.22000000000003</v>
      </c>
      <c r="O75" s="112">
        <v>0</v>
      </c>
      <c r="P75" s="116">
        <v>0</v>
      </c>
      <c r="Q75" s="100" t="s">
        <v>368</v>
      </c>
      <c r="R75" s="98"/>
      <c r="S75" s="98"/>
      <c r="T75" s="98"/>
      <c r="U75" s="98"/>
    </row>
    <row r="76" spans="2:21" s="4" customFormat="1" ht="15.75" x14ac:dyDescent="0.25">
      <c r="B76" s="95">
        <f t="shared" si="5"/>
        <v>72</v>
      </c>
      <c r="C76" s="95" t="s">
        <v>73</v>
      </c>
      <c r="D76" s="95" t="s">
        <v>74</v>
      </c>
      <c r="E76" s="96" t="s">
        <v>95</v>
      </c>
      <c r="F76" s="96">
        <v>42464</v>
      </c>
      <c r="G76" s="95" t="s">
        <v>165</v>
      </c>
      <c r="H76" s="115" t="s">
        <v>18</v>
      </c>
      <c r="I76" s="112">
        <v>6097.9</v>
      </c>
      <c r="J76" s="112">
        <v>2784.44</v>
      </c>
      <c r="K76" s="113">
        <f t="shared" si="3"/>
        <v>0.54337722822611056</v>
      </c>
      <c r="L76" s="112">
        <v>726.77</v>
      </c>
      <c r="M76" s="113">
        <f t="shared" si="4"/>
        <v>0.11918365338887159</v>
      </c>
      <c r="N76" s="112">
        <v>353.7</v>
      </c>
      <c r="O76" s="112">
        <v>0</v>
      </c>
      <c r="P76" s="116">
        <v>0</v>
      </c>
      <c r="Q76" s="100"/>
      <c r="R76" s="98"/>
      <c r="S76" s="98"/>
      <c r="T76" s="98"/>
      <c r="U76" s="98"/>
    </row>
    <row r="77" spans="2:21" s="4" customFormat="1" ht="15.75" x14ac:dyDescent="0.25">
      <c r="B77" s="95">
        <f t="shared" si="5"/>
        <v>73</v>
      </c>
      <c r="C77" s="95" t="s">
        <v>166</v>
      </c>
      <c r="D77" s="95" t="s">
        <v>93</v>
      </c>
      <c r="E77" s="96" t="s">
        <v>80</v>
      </c>
      <c r="F77" s="96">
        <v>42465</v>
      </c>
      <c r="G77" s="95" t="s">
        <v>167</v>
      </c>
      <c r="H77" s="115" t="s">
        <v>15</v>
      </c>
      <c r="I77" s="112">
        <v>12167.03</v>
      </c>
      <c r="J77" s="112">
        <v>6919.42</v>
      </c>
      <c r="K77" s="113">
        <f t="shared" si="3"/>
        <v>0.43129753111482427</v>
      </c>
      <c r="L77" s="112">
        <v>1005.16</v>
      </c>
      <c r="M77" s="113">
        <f t="shared" si="4"/>
        <v>8.2613423325166441E-2</v>
      </c>
      <c r="N77" s="112">
        <v>-841.31</v>
      </c>
      <c r="O77" s="112">
        <v>0</v>
      </c>
      <c r="P77" s="116">
        <v>0</v>
      </c>
      <c r="Q77" s="100"/>
      <c r="R77" s="98"/>
      <c r="S77" s="98"/>
      <c r="T77" s="98"/>
      <c r="U77" s="98"/>
    </row>
    <row r="78" spans="2:21" s="4" customFormat="1" ht="15.75" x14ac:dyDescent="0.25">
      <c r="B78" s="95">
        <f t="shared" si="5"/>
        <v>74</v>
      </c>
      <c r="C78" s="95" t="s">
        <v>73</v>
      </c>
      <c r="D78" s="95" t="s">
        <v>70</v>
      </c>
      <c r="E78" s="96" t="s">
        <v>71</v>
      </c>
      <c r="F78" s="96">
        <v>42466</v>
      </c>
      <c r="G78" s="95" t="s">
        <v>168</v>
      </c>
      <c r="H78" s="115" t="s">
        <v>24</v>
      </c>
      <c r="I78" s="112">
        <v>4529.72</v>
      </c>
      <c r="J78" s="112">
        <v>1982.21</v>
      </c>
      <c r="K78" s="113">
        <f t="shared" si="3"/>
        <v>0.56239900037971446</v>
      </c>
      <c r="L78" s="112">
        <v>473.58</v>
      </c>
      <c r="M78" s="113">
        <f t="shared" si="4"/>
        <v>0.10454950857889669</v>
      </c>
      <c r="N78" s="112">
        <v>136.52000000000001</v>
      </c>
      <c r="O78" s="112">
        <v>0</v>
      </c>
      <c r="P78" s="116">
        <v>0</v>
      </c>
      <c r="Q78" s="100"/>
      <c r="R78" s="98"/>
      <c r="S78" s="98"/>
      <c r="T78" s="98"/>
      <c r="U78" s="98"/>
    </row>
    <row r="79" spans="2:21" s="4" customFormat="1" ht="15.75" x14ac:dyDescent="0.25">
      <c r="B79" s="95">
        <f t="shared" si="5"/>
        <v>75</v>
      </c>
      <c r="C79" s="95" t="s">
        <v>166</v>
      </c>
      <c r="D79" s="95" t="s">
        <v>74</v>
      </c>
      <c r="E79" s="96" t="s">
        <v>80</v>
      </c>
      <c r="F79" s="96">
        <v>42468</v>
      </c>
      <c r="G79" s="95" t="s">
        <v>169</v>
      </c>
      <c r="H79" s="115" t="s">
        <v>15</v>
      </c>
      <c r="I79" s="112">
        <v>7338.2</v>
      </c>
      <c r="J79" s="112">
        <v>3861.8</v>
      </c>
      <c r="K79" s="113">
        <f t="shared" si="3"/>
        <v>0.47374015426126292</v>
      </c>
      <c r="L79" s="112">
        <v>845.82</v>
      </c>
      <c r="M79" s="113">
        <f t="shared" si="4"/>
        <v>0.11526259845738739</v>
      </c>
      <c r="N79" s="112">
        <v>369.07</v>
      </c>
      <c r="O79" s="112">
        <v>0</v>
      </c>
      <c r="P79" s="116">
        <v>0</v>
      </c>
      <c r="Q79" s="100" t="s">
        <v>369</v>
      </c>
      <c r="R79" s="98"/>
      <c r="S79" s="98"/>
      <c r="T79" s="98"/>
      <c r="U79" s="98"/>
    </row>
    <row r="80" spans="2:21" s="4" customFormat="1" ht="15.75" x14ac:dyDescent="0.25">
      <c r="B80" s="95">
        <f t="shared" si="5"/>
        <v>76</v>
      </c>
      <c r="C80" s="95" t="s">
        <v>73</v>
      </c>
      <c r="D80" s="95" t="s">
        <v>70</v>
      </c>
      <c r="E80" s="96" t="s">
        <v>72</v>
      </c>
      <c r="F80" s="96">
        <v>42470</v>
      </c>
      <c r="G80" s="95" t="s">
        <v>170</v>
      </c>
      <c r="H80" s="115" t="s">
        <v>18</v>
      </c>
      <c r="I80" s="112">
        <v>5045.1400000000003</v>
      </c>
      <c r="J80" s="112">
        <v>2323.02</v>
      </c>
      <c r="K80" s="113">
        <f t="shared" si="3"/>
        <v>0.53955291627189739</v>
      </c>
      <c r="L80" s="112">
        <v>534.15</v>
      </c>
      <c r="M80" s="113">
        <f t="shared" si="4"/>
        <v>0.10587416801119492</v>
      </c>
      <c r="N80" s="112">
        <v>135.34</v>
      </c>
      <c r="O80" s="112">
        <v>0</v>
      </c>
      <c r="P80" s="116">
        <v>0</v>
      </c>
      <c r="Q80" s="100"/>
      <c r="R80" s="98"/>
      <c r="S80" s="98"/>
      <c r="T80" s="98"/>
      <c r="U80" s="98"/>
    </row>
    <row r="81" spans="2:21" s="4" customFormat="1" ht="15.75" x14ac:dyDescent="0.25">
      <c r="B81" s="95">
        <f t="shared" si="5"/>
        <v>77</v>
      </c>
      <c r="C81" s="95" t="s">
        <v>420</v>
      </c>
      <c r="D81" s="95" t="s">
        <v>70</v>
      </c>
      <c r="E81" s="96" t="s">
        <v>80</v>
      </c>
      <c r="F81" s="96">
        <v>42471</v>
      </c>
      <c r="G81" s="95" t="s">
        <v>171</v>
      </c>
      <c r="H81" s="115" t="s">
        <v>15</v>
      </c>
      <c r="I81" s="112">
        <v>11519.26</v>
      </c>
      <c r="J81" s="112">
        <v>5170.76</v>
      </c>
      <c r="K81" s="113">
        <f t="shared" si="3"/>
        <v>0.55112047128027319</v>
      </c>
      <c r="L81" s="112">
        <v>1302.23</v>
      </c>
      <c r="M81" s="113">
        <f t="shared" si="4"/>
        <v>0.1130480603788785</v>
      </c>
      <c r="N81" s="112">
        <v>266.06</v>
      </c>
      <c r="O81" s="112">
        <v>0</v>
      </c>
      <c r="P81" s="116">
        <v>0</v>
      </c>
      <c r="Q81" s="100" t="s">
        <v>370</v>
      </c>
      <c r="R81" s="98"/>
      <c r="S81" s="98"/>
      <c r="T81" s="98"/>
      <c r="U81" s="98"/>
    </row>
    <row r="82" spans="2:21" s="4" customFormat="1" ht="15.75" x14ac:dyDescent="0.25">
      <c r="B82" s="95">
        <f t="shared" si="5"/>
        <v>78</v>
      </c>
      <c r="C82" s="95" t="s">
        <v>172</v>
      </c>
      <c r="D82" s="95" t="s">
        <v>70</v>
      </c>
      <c r="E82" s="96" t="s">
        <v>109</v>
      </c>
      <c r="F82" s="96">
        <v>42472</v>
      </c>
      <c r="G82" s="95" t="s">
        <v>173</v>
      </c>
      <c r="H82" s="115" t="s">
        <v>17</v>
      </c>
      <c r="I82" s="112">
        <v>12489.65</v>
      </c>
      <c r="J82" s="112">
        <v>5107.13</v>
      </c>
      <c r="K82" s="113">
        <f t="shared" si="3"/>
        <v>0.59109102336734809</v>
      </c>
      <c r="L82" s="112">
        <v>1923.21</v>
      </c>
      <c r="M82" s="113">
        <f t="shared" si="4"/>
        <v>0.15398429899957164</v>
      </c>
      <c r="N82" s="112">
        <v>1792.18</v>
      </c>
      <c r="O82" s="112">
        <v>0</v>
      </c>
      <c r="P82" s="116">
        <v>0</v>
      </c>
      <c r="Q82" s="100"/>
      <c r="R82" s="98"/>
      <c r="S82" s="98"/>
      <c r="T82" s="98"/>
      <c r="U82" s="98"/>
    </row>
    <row r="83" spans="2:21" s="4" customFormat="1" ht="15.75" x14ac:dyDescent="0.25">
      <c r="B83" s="95">
        <f t="shared" si="5"/>
        <v>79</v>
      </c>
      <c r="C83" s="95" t="s">
        <v>73</v>
      </c>
      <c r="D83" s="95" t="s">
        <v>70</v>
      </c>
      <c r="E83" s="96" t="s">
        <v>71</v>
      </c>
      <c r="F83" s="96">
        <v>42473</v>
      </c>
      <c r="G83" s="95" t="s">
        <v>174</v>
      </c>
      <c r="H83" s="115" t="s">
        <v>24</v>
      </c>
      <c r="I83" s="112">
        <v>7646.3</v>
      </c>
      <c r="J83" s="112">
        <v>3275.29</v>
      </c>
      <c r="K83" s="113">
        <f t="shared" si="3"/>
        <v>0.57165034068765286</v>
      </c>
      <c r="L83" s="112">
        <v>741.89</v>
      </c>
      <c r="M83" s="113">
        <f t="shared" si="4"/>
        <v>9.7026012581248447E-2</v>
      </c>
      <c r="N83" s="112">
        <v>-13.1</v>
      </c>
      <c r="O83" s="112">
        <v>0</v>
      </c>
      <c r="P83" s="116">
        <v>0</v>
      </c>
      <c r="Q83" s="100"/>
      <c r="R83" s="98"/>
      <c r="S83" s="98"/>
      <c r="T83" s="98"/>
      <c r="U83" s="98"/>
    </row>
    <row r="84" spans="2:21" s="4" customFormat="1" ht="15.75" x14ac:dyDescent="0.25">
      <c r="B84" s="95">
        <f t="shared" si="5"/>
        <v>80</v>
      </c>
      <c r="C84" s="95" t="s">
        <v>73</v>
      </c>
      <c r="D84" s="95" t="s">
        <v>74</v>
      </c>
      <c r="E84" s="96" t="s">
        <v>95</v>
      </c>
      <c r="F84" s="96">
        <v>42475</v>
      </c>
      <c r="G84" s="95" t="s">
        <v>175</v>
      </c>
      <c r="H84" s="115" t="s">
        <v>54</v>
      </c>
      <c r="I84" s="112">
        <v>6591.5</v>
      </c>
      <c r="J84" s="112">
        <v>3190.99</v>
      </c>
      <c r="K84" s="113">
        <f t="shared" si="3"/>
        <v>0.51589319578244708</v>
      </c>
      <c r="L84" s="112">
        <v>563.37</v>
      </c>
      <c r="M84" s="113">
        <f t="shared" si="4"/>
        <v>8.5469164833497688E-2</v>
      </c>
      <c r="N84" s="112">
        <v>-178.2</v>
      </c>
      <c r="O84" s="112">
        <v>0</v>
      </c>
      <c r="P84" s="116">
        <v>0</v>
      </c>
      <c r="Q84" s="100"/>
      <c r="R84" s="98"/>
      <c r="S84" s="98"/>
      <c r="T84" s="98"/>
      <c r="U84" s="98"/>
    </row>
    <row r="85" spans="2:21" s="4" customFormat="1" ht="15.75" x14ac:dyDescent="0.25">
      <c r="B85" s="95">
        <f t="shared" si="5"/>
        <v>81</v>
      </c>
      <c r="C85" s="95" t="s">
        <v>73</v>
      </c>
      <c r="D85" s="95" t="s">
        <v>74</v>
      </c>
      <c r="E85" s="96" t="s">
        <v>71</v>
      </c>
      <c r="F85" s="96">
        <v>42476</v>
      </c>
      <c r="G85" s="95" t="s">
        <v>176</v>
      </c>
      <c r="H85" s="115" t="s">
        <v>28</v>
      </c>
      <c r="I85" s="112">
        <v>29854.23</v>
      </c>
      <c r="J85" s="112">
        <v>14102.05</v>
      </c>
      <c r="K85" s="113">
        <f t="shared" si="3"/>
        <v>0.52763645218784738</v>
      </c>
      <c r="L85" s="112">
        <v>3006.67</v>
      </c>
      <c r="M85" s="113">
        <f t="shared" si="4"/>
        <v>0.10071169144205026</v>
      </c>
      <c r="N85" s="112">
        <v>1215.1300000000001</v>
      </c>
      <c r="O85" s="112">
        <v>0</v>
      </c>
      <c r="P85" s="116">
        <v>0</v>
      </c>
      <c r="Q85" s="100"/>
      <c r="R85" s="98"/>
      <c r="S85" s="98"/>
      <c r="T85" s="98"/>
      <c r="U85" s="98"/>
    </row>
    <row r="86" spans="2:21" s="4" customFormat="1" ht="15.75" x14ac:dyDescent="0.25">
      <c r="B86" s="95">
        <f t="shared" si="5"/>
        <v>82</v>
      </c>
      <c r="C86" s="95" t="s">
        <v>73</v>
      </c>
      <c r="D86" s="95" t="s">
        <v>76</v>
      </c>
      <c r="E86" s="96" t="s">
        <v>80</v>
      </c>
      <c r="F86" s="96">
        <v>42479</v>
      </c>
      <c r="G86" s="123" t="s">
        <v>177</v>
      </c>
      <c r="H86" s="115" t="s">
        <v>15</v>
      </c>
      <c r="I86" s="112">
        <v>6530.61</v>
      </c>
      <c r="J86" s="112">
        <v>2743.7</v>
      </c>
      <c r="K86" s="113">
        <f t="shared" si="3"/>
        <v>0.57987079308058509</v>
      </c>
      <c r="L86" s="112">
        <v>646.35</v>
      </c>
      <c r="M86" s="113">
        <f t="shared" si="4"/>
        <v>9.8972377771754869E-2</v>
      </c>
      <c r="N86" s="112">
        <v>-19.29</v>
      </c>
      <c r="O86" s="112">
        <v>0</v>
      </c>
      <c r="P86" s="116">
        <v>0</v>
      </c>
      <c r="Q86" s="100"/>
      <c r="R86" s="98"/>
      <c r="S86" s="98"/>
      <c r="T86" s="98"/>
      <c r="U86" s="98"/>
    </row>
    <row r="87" spans="2:21" s="4" customFormat="1" ht="15.75" x14ac:dyDescent="0.25">
      <c r="B87" s="95">
        <f t="shared" si="5"/>
        <v>83</v>
      </c>
      <c r="C87" s="95" t="s">
        <v>73</v>
      </c>
      <c r="D87" s="95" t="s">
        <v>93</v>
      </c>
      <c r="E87" s="96" t="s">
        <v>72</v>
      </c>
      <c r="F87" s="96">
        <v>42479</v>
      </c>
      <c r="G87" s="123" t="s">
        <v>178</v>
      </c>
      <c r="H87" s="115" t="s">
        <v>17</v>
      </c>
      <c r="I87" s="112">
        <v>3320.35</v>
      </c>
      <c r="J87" s="112">
        <v>1475.51</v>
      </c>
      <c r="K87" s="113">
        <f t="shared" si="3"/>
        <v>0.55561612480611988</v>
      </c>
      <c r="L87" s="112">
        <v>372.07</v>
      </c>
      <c r="M87" s="113">
        <f t="shared" si="4"/>
        <v>0.11205746382158507</v>
      </c>
      <c r="N87" s="112">
        <v>121.35</v>
      </c>
      <c r="O87" s="112">
        <v>0</v>
      </c>
      <c r="P87" s="116">
        <v>0</v>
      </c>
      <c r="Q87" s="100"/>
      <c r="R87" s="98"/>
      <c r="S87" s="98"/>
      <c r="T87" s="98"/>
      <c r="U87" s="98"/>
    </row>
    <row r="88" spans="2:21" s="4" customFormat="1" ht="15.75" x14ac:dyDescent="0.25">
      <c r="B88" s="95">
        <f t="shared" si="5"/>
        <v>84</v>
      </c>
      <c r="C88" s="95" t="s">
        <v>420</v>
      </c>
      <c r="D88" s="95" t="s">
        <v>70</v>
      </c>
      <c r="E88" s="96" t="s">
        <v>109</v>
      </c>
      <c r="F88" s="96">
        <v>42479</v>
      </c>
      <c r="G88" s="123" t="s">
        <v>179</v>
      </c>
      <c r="H88" s="115" t="s">
        <v>17</v>
      </c>
      <c r="I88" s="112">
        <v>7251.19</v>
      </c>
      <c r="J88" s="112">
        <v>2938.75</v>
      </c>
      <c r="K88" s="113">
        <f t="shared" si="3"/>
        <v>0.59472169395644026</v>
      </c>
      <c r="L88" s="112">
        <v>819.59</v>
      </c>
      <c r="M88" s="113">
        <f t="shared" si="4"/>
        <v>0.11302834431314034</v>
      </c>
      <c r="N88" s="112">
        <v>216.19</v>
      </c>
      <c r="O88" s="112">
        <v>0</v>
      </c>
      <c r="P88" s="116">
        <v>0</v>
      </c>
      <c r="Q88" s="100"/>
      <c r="R88" s="98"/>
      <c r="S88" s="98"/>
      <c r="T88" s="98"/>
      <c r="U88" s="98"/>
    </row>
    <row r="89" spans="2:21" s="4" customFormat="1" ht="15.75" x14ac:dyDescent="0.25">
      <c r="B89" s="95">
        <f t="shared" si="5"/>
        <v>85</v>
      </c>
      <c r="C89" s="95" t="s">
        <v>73</v>
      </c>
      <c r="D89" s="95" t="s">
        <v>93</v>
      </c>
      <c r="E89" s="96" t="s">
        <v>72</v>
      </c>
      <c r="F89" s="96">
        <v>42480</v>
      </c>
      <c r="G89" s="123" t="s">
        <v>178</v>
      </c>
      <c r="H89" s="115" t="s">
        <v>18</v>
      </c>
      <c r="I89" s="112">
        <v>4074.17</v>
      </c>
      <c r="J89" s="112">
        <v>1799.69</v>
      </c>
      <c r="K89" s="113">
        <f t="shared" si="3"/>
        <v>0.55826830986434051</v>
      </c>
      <c r="L89" s="112">
        <v>440.98</v>
      </c>
      <c r="M89" s="113">
        <f t="shared" si="4"/>
        <v>0.10823799694170838</v>
      </c>
      <c r="N89" s="112">
        <v>70.17</v>
      </c>
      <c r="O89" s="112">
        <v>0</v>
      </c>
      <c r="P89" s="116">
        <v>0</v>
      </c>
      <c r="Q89" s="100"/>
      <c r="R89" s="98"/>
      <c r="S89" s="98"/>
      <c r="T89" s="98"/>
      <c r="U89" s="98"/>
    </row>
    <row r="90" spans="2:21" s="4" customFormat="1" ht="15.75" x14ac:dyDescent="0.25">
      <c r="B90" s="95">
        <f t="shared" si="5"/>
        <v>86</v>
      </c>
      <c r="C90" s="95" t="s">
        <v>166</v>
      </c>
      <c r="D90" s="95" t="s">
        <v>93</v>
      </c>
      <c r="E90" s="96" t="s">
        <v>72</v>
      </c>
      <c r="F90" s="96">
        <v>42480</v>
      </c>
      <c r="G90" s="123" t="s">
        <v>180</v>
      </c>
      <c r="H90" s="115" t="s">
        <v>18</v>
      </c>
      <c r="I90" s="112">
        <v>7487.7</v>
      </c>
      <c r="J90" s="112">
        <v>4625.1400000000003</v>
      </c>
      <c r="K90" s="113">
        <f t="shared" si="3"/>
        <v>0.38230164135849454</v>
      </c>
      <c r="L90" s="112">
        <v>771.16</v>
      </c>
      <c r="M90" s="113">
        <f t="shared" si="4"/>
        <v>0.1029902373225423</v>
      </c>
      <c r="N90" s="112">
        <v>162.55000000000001</v>
      </c>
      <c r="O90" s="112">
        <v>0</v>
      </c>
      <c r="P90" s="116">
        <v>0</v>
      </c>
      <c r="Q90" s="100"/>
      <c r="R90" s="98"/>
      <c r="S90" s="98"/>
      <c r="T90" s="98"/>
      <c r="U90" s="98"/>
    </row>
    <row r="91" spans="2:21" s="4" customFormat="1" ht="15.75" x14ac:dyDescent="0.25">
      <c r="B91" s="95">
        <f t="shared" si="5"/>
        <v>87</v>
      </c>
      <c r="C91" s="95" t="s">
        <v>340</v>
      </c>
      <c r="D91" s="95" t="s">
        <v>70</v>
      </c>
      <c r="E91" s="96" t="s">
        <v>80</v>
      </c>
      <c r="F91" s="96">
        <v>42480</v>
      </c>
      <c r="G91" s="123" t="s">
        <v>181</v>
      </c>
      <c r="H91" s="115" t="s">
        <v>15</v>
      </c>
      <c r="I91" s="112">
        <v>6185.8</v>
      </c>
      <c r="J91" s="112">
        <v>2971.25</v>
      </c>
      <c r="K91" s="113">
        <f t="shared" si="3"/>
        <v>0.51966600924698503</v>
      </c>
      <c r="L91" s="112">
        <v>631.94000000000005</v>
      </c>
      <c r="M91" s="113">
        <f t="shared" si="4"/>
        <v>0.10215978531475316</v>
      </c>
      <c r="N91" s="112">
        <v>77.150000000000006</v>
      </c>
      <c r="O91" s="112">
        <v>0</v>
      </c>
      <c r="P91" s="116">
        <v>0</v>
      </c>
      <c r="Q91" s="100"/>
      <c r="R91" s="98"/>
      <c r="S91" s="98"/>
      <c r="T91" s="98"/>
      <c r="U91" s="98"/>
    </row>
    <row r="92" spans="2:21" s="4" customFormat="1" ht="15.75" x14ac:dyDescent="0.25">
      <c r="B92" s="95">
        <f t="shared" si="5"/>
        <v>88</v>
      </c>
      <c r="C92" s="95" t="s">
        <v>73</v>
      </c>
      <c r="D92" s="95" t="s">
        <v>76</v>
      </c>
      <c r="E92" s="96" t="s">
        <v>72</v>
      </c>
      <c r="F92" s="96">
        <v>42481</v>
      </c>
      <c r="G92" s="123" t="s">
        <v>182</v>
      </c>
      <c r="H92" s="115" t="s">
        <v>18</v>
      </c>
      <c r="I92" s="112">
        <v>39598.85</v>
      </c>
      <c r="J92" s="112">
        <v>18053.96</v>
      </c>
      <c r="K92" s="113">
        <f t="shared" si="3"/>
        <v>0.54407867905254825</v>
      </c>
      <c r="L92" s="112">
        <v>3229.57</v>
      </c>
      <c r="M92" s="113">
        <f t="shared" si="4"/>
        <v>8.1557166432863593E-2</v>
      </c>
      <c r="N92" s="112">
        <v>-2514.5500000000002</v>
      </c>
      <c r="O92" s="112">
        <v>300</v>
      </c>
      <c r="P92" s="116">
        <v>0</v>
      </c>
      <c r="Q92" s="100"/>
      <c r="R92" s="98"/>
      <c r="S92" s="98"/>
      <c r="T92" s="98"/>
      <c r="U92" s="98"/>
    </row>
    <row r="93" spans="2:21" s="4" customFormat="1" ht="15.75" x14ac:dyDescent="0.25">
      <c r="B93" s="95">
        <f t="shared" si="5"/>
        <v>89</v>
      </c>
      <c r="C93" s="95" t="s">
        <v>73</v>
      </c>
      <c r="D93" s="95" t="s">
        <v>93</v>
      </c>
      <c r="E93" s="95" t="s">
        <v>424</v>
      </c>
      <c r="F93" s="96">
        <v>42482</v>
      </c>
      <c r="G93" s="95" t="s">
        <v>183</v>
      </c>
      <c r="H93" s="115" t="s">
        <v>17</v>
      </c>
      <c r="I93" s="112">
        <v>2796.97</v>
      </c>
      <c r="J93" s="112">
        <v>888.58</v>
      </c>
      <c r="K93" s="113">
        <f t="shared" si="3"/>
        <v>0.68230620993432178</v>
      </c>
      <c r="L93" s="112">
        <v>315.18</v>
      </c>
      <c r="M93" s="113">
        <f t="shared" si="4"/>
        <v>0.11268622831135122</v>
      </c>
      <c r="N93" s="112">
        <v>59.97</v>
      </c>
      <c r="O93" s="112">
        <v>0</v>
      </c>
      <c r="P93" s="116">
        <v>0</v>
      </c>
      <c r="Q93" s="100"/>
      <c r="R93" s="98"/>
      <c r="S93" s="98"/>
      <c r="T93" s="98"/>
      <c r="U93" s="98"/>
    </row>
    <row r="94" spans="2:21" s="4" customFormat="1" ht="15.75" x14ac:dyDescent="0.25">
      <c r="B94" s="95">
        <f t="shared" si="5"/>
        <v>90</v>
      </c>
      <c r="C94" s="95" t="s">
        <v>73</v>
      </c>
      <c r="D94" s="95" t="s">
        <v>70</v>
      </c>
      <c r="E94" s="96" t="s">
        <v>109</v>
      </c>
      <c r="F94" s="96">
        <v>42485</v>
      </c>
      <c r="G94" s="95" t="s">
        <v>184</v>
      </c>
      <c r="H94" s="115" t="s">
        <v>22</v>
      </c>
      <c r="I94" s="112">
        <v>12916.62</v>
      </c>
      <c r="J94" s="112">
        <v>7133.08</v>
      </c>
      <c r="K94" s="113">
        <f t="shared" si="3"/>
        <v>0.44775955319580513</v>
      </c>
      <c r="L94" s="112">
        <v>896.81</v>
      </c>
      <c r="M94" s="113">
        <f t="shared" si="4"/>
        <v>6.9430702459312099E-2</v>
      </c>
      <c r="N94" s="112">
        <v>-838.38</v>
      </c>
      <c r="O94" s="112">
        <v>0</v>
      </c>
      <c r="P94" s="116">
        <v>0</v>
      </c>
      <c r="Q94" s="100" t="s">
        <v>371</v>
      </c>
      <c r="R94" s="98"/>
      <c r="S94" s="98"/>
      <c r="T94" s="98"/>
      <c r="U94" s="98"/>
    </row>
    <row r="95" spans="2:21" s="4" customFormat="1" ht="15.75" x14ac:dyDescent="0.25">
      <c r="B95" s="95">
        <f t="shared" si="5"/>
        <v>91</v>
      </c>
      <c r="C95" s="95" t="s">
        <v>73</v>
      </c>
      <c r="D95" s="95" t="s">
        <v>76</v>
      </c>
      <c r="E95" s="95" t="s">
        <v>424</v>
      </c>
      <c r="F95" s="96">
        <v>42486</v>
      </c>
      <c r="G95" s="95" t="s">
        <v>185</v>
      </c>
      <c r="H95" s="95" t="s">
        <v>27</v>
      </c>
      <c r="I95" s="112">
        <v>13395.22</v>
      </c>
      <c r="J95" s="112">
        <v>7744.5</v>
      </c>
      <c r="K95" s="113">
        <f t="shared" si="3"/>
        <v>0.42184600178272547</v>
      </c>
      <c r="L95" s="112">
        <v>994.47</v>
      </c>
      <c r="M95" s="113">
        <f t="shared" si="4"/>
        <v>7.4240661967477958E-2</v>
      </c>
      <c r="N95" s="112">
        <v>-477.38</v>
      </c>
      <c r="O95" s="112">
        <v>0</v>
      </c>
      <c r="P95" s="116">
        <v>0</v>
      </c>
      <c r="Q95" s="100"/>
      <c r="R95" s="98"/>
      <c r="S95" s="98"/>
      <c r="T95" s="98"/>
      <c r="U95" s="98"/>
    </row>
    <row r="96" spans="2:21" s="4" customFormat="1" ht="15.75" x14ac:dyDescent="0.25">
      <c r="B96" s="95">
        <f t="shared" si="5"/>
        <v>92</v>
      </c>
      <c r="C96" s="95" t="s">
        <v>73</v>
      </c>
      <c r="D96" s="95" t="s">
        <v>74</v>
      </c>
      <c r="E96" s="96" t="s">
        <v>71</v>
      </c>
      <c r="F96" s="96">
        <v>42487</v>
      </c>
      <c r="G96" s="95" t="s">
        <v>186</v>
      </c>
      <c r="H96" s="115" t="s">
        <v>17</v>
      </c>
      <c r="I96" s="112">
        <v>4100.29</v>
      </c>
      <c r="J96" s="112">
        <v>1862.53</v>
      </c>
      <c r="K96" s="113">
        <f t="shared" si="3"/>
        <v>0.54575651966080452</v>
      </c>
      <c r="L96" s="112">
        <v>461.15</v>
      </c>
      <c r="M96" s="113">
        <f t="shared" si="4"/>
        <v>0.11246765472686078</v>
      </c>
      <c r="N96" s="112">
        <v>171.54</v>
      </c>
      <c r="O96" s="112">
        <v>0</v>
      </c>
      <c r="P96" s="116">
        <v>0</v>
      </c>
      <c r="Q96" s="100"/>
      <c r="R96" s="98"/>
      <c r="S96" s="98"/>
      <c r="T96" s="98"/>
      <c r="U96" s="98"/>
    </row>
    <row r="97" spans="2:21" s="4" customFormat="1" ht="15.75" x14ac:dyDescent="0.25">
      <c r="B97" s="95">
        <f t="shared" si="5"/>
        <v>93</v>
      </c>
      <c r="C97" s="95" t="s">
        <v>73</v>
      </c>
      <c r="D97" s="95" t="s">
        <v>70</v>
      </c>
      <c r="E97" s="96" t="s">
        <v>109</v>
      </c>
      <c r="F97" s="96">
        <v>42487</v>
      </c>
      <c r="G97" s="95" t="s">
        <v>187</v>
      </c>
      <c r="H97" s="115" t="s">
        <v>17</v>
      </c>
      <c r="I97" s="112">
        <v>4749.62</v>
      </c>
      <c r="J97" s="112">
        <v>2055.54</v>
      </c>
      <c r="K97" s="113">
        <f t="shared" si="3"/>
        <v>0.56722011445126141</v>
      </c>
      <c r="L97" s="112">
        <v>525.41</v>
      </c>
      <c r="M97" s="113">
        <f t="shared" si="4"/>
        <v>0.11062148129745115</v>
      </c>
      <c r="N97" s="112">
        <v>206.62</v>
      </c>
      <c r="O97" s="112">
        <v>0</v>
      </c>
      <c r="P97" s="116">
        <v>0</v>
      </c>
      <c r="Q97" s="100"/>
      <c r="R97" s="98"/>
      <c r="S97" s="98"/>
      <c r="T97" s="98"/>
      <c r="U97" s="98"/>
    </row>
    <row r="98" spans="2:21" s="4" customFormat="1" ht="15.75" x14ac:dyDescent="0.25">
      <c r="B98" s="95">
        <f t="shared" si="5"/>
        <v>94</v>
      </c>
      <c r="C98" s="95" t="s">
        <v>188</v>
      </c>
      <c r="D98" s="95" t="s">
        <v>93</v>
      </c>
      <c r="E98" s="96" t="s">
        <v>95</v>
      </c>
      <c r="F98" s="96">
        <v>42487</v>
      </c>
      <c r="G98" s="95" t="s">
        <v>189</v>
      </c>
      <c r="H98" s="115" t="s">
        <v>18</v>
      </c>
      <c r="I98" s="112">
        <v>7354.35</v>
      </c>
      <c r="J98" s="112">
        <v>2881.78</v>
      </c>
      <c r="K98" s="113">
        <f t="shared" si="3"/>
        <v>0.60815299788560506</v>
      </c>
      <c r="L98" s="112">
        <v>1386</v>
      </c>
      <c r="M98" s="113">
        <f t="shared" si="4"/>
        <v>0.18845989108486813</v>
      </c>
      <c r="N98" s="112">
        <v>1805.15</v>
      </c>
      <c r="O98" s="112">
        <v>0</v>
      </c>
      <c r="P98" s="116">
        <v>0</v>
      </c>
      <c r="Q98" s="100"/>
      <c r="R98" s="98"/>
      <c r="S98" s="98"/>
      <c r="T98" s="98"/>
      <c r="U98" s="98"/>
    </row>
    <row r="99" spans="2:21" s="4" customFormat="1" ht="15.75" x14ac:dyDescent="0.25">
      <c r="B99" s="95">
        <f t="shared" si="5"/>
        <v>95</v>
      </c>
      <c r="C99" s="95" t="s">
        <v>340</v>
      </c>
      <c r="D99" s="95" t="s">
        <v>74</v>
      </c>
      <c r="E99" s="96" t="s">
        <v>80</v>
      </c>
      <c r="F99" s="96">
        <v>42487</v>
      </c>
      <c r="G99" s="95" t="s">
        <v>190</v>
      </c>
      <c r="H99" s="115" t="s">
        <v>15</v>
      </c>
      <c r="I99" s="112">
        <v>7386.04</v>
      </c>
      <c r="J99" s="112">
        <v>3670.94</v>
      </c>
      <c r="K99" s="113">
        <f t="shared" si="3"/>
        <v>0.50298942329042351</v>
      </c>
      <c r="L99" s="112">
        <v>467.32</v>
      </c>
      <c r="M99" s="113">
        <f t="shared" si="4"/>
        <v>6.3270710692062318E-2</v>
      </c>
      <c r="N99" s="112">
        <v>-634.46</v>
      </c>
      <c r="O99" s="112">
        <v>0</v>
      </c>
      <c r="P99" s="116">
        <v>0</v>
      </c>
      <c r="Q99" s="100"/>
      <c r="R99" s="98"/>
      <c r="S99" s="98"/>
      <c r="T99" s="98"/>
      <c r="U99" s="98"/>
    </row>
    <row r="100" spans="2:21" s="4" customFormat="1" ht="15.75" x14ac:dyDescent="0.25">
      <c r="B100" s="95">
        <f t="shared" si="5"/>
        <v>96</v>
      </c>
      <c r="C100" s="95" t="s">
        <v>191</v>
      </c>
      <c r="D100" s="95" t="s">
        <v>93</v>
      </c>
      <c r="E100" s="96" t="s">
        <v>80</v>
      </c>
      <c r="F100" s="96">
        <v>42488</v>
      </c>
      <c r="G100" s="95" t="s">
        <v>192</v>
      </c>
      <c r="H100" s="115" t="s">
        <v>15</v>
      </c>
      <c r="I100" s="112">
        <v>8187.22</v>
      </c>
      <c r="J100" s="112">
        <v>3524.14</v>
      </c>
      <c r="K100" s="113">
        <f t="shared" si="3"/>
        <v>0.56955596649412132</v>
      </c>
      <c r="L100" s="112">
        <v>893.35</v>
      </c>
      <c r="M100" s="113">
        <f t="shared" si="4"/>
        <v>0.10911518195431416</v>
      </c>
      <c r="N100" s="112">
        <v>282.43</v>
      </c>
      <c r="O100" s="112">
        <v>0</v>
      </c>
      <c r="P100" s="116">
        <v>0</v>
      </c>
      <c r="Q100" s="100"/>
      <c r="R100" s="98"/>
      <c r="S100" s="98"/>
      <c r="T100" s="98"/>
      <c r="U100" s="98"/>
    </row>
    <row r="101" spans="2:21" s="4" customFormat="1" ht="15.75" x14ac:dyDescent="0.25">
      <c r="B101" s="95">
        <f t="shared" si="5"/>
        <v>97</v>
      </c>
      <c r="C101" s="95" t="s">
        <v>420</v>
      </c>
      <c r="D101" s="95" t="s">
        <v>76</v>
      </c>
      <c r="E101" s="96" t="s">
        <v>71</v>
      </c>
      <c r="F101" s="96">
        <v>42488</v>
      </c>
      <c r="G101" s="95" t="s">
        <v>193</v>
      </c>
      <c r="H101" s="115" t="s">
        <v>14</v>
      </c>
      <c r="I101" s="112">
        <v>9307.74</v>
      </c>
      <c r="J101" s="112">
        <v>6310.1</v>
      </c>
      <c r="K101" s="113">
        <f t="shared" si="3"/>
        <v>0.32205884564889004</v>
      </c>
      <c r="L101" s="112">
        <v>299.87</v>
      </c>
      <c r="M101" s="113">
        <f t="shared" si="4"/>
        <v>3.2217272936287435E-2</v>
      </c>
      <c r="N101" s="112">
        <v>-761.06</v>
      </c>
      <c r="O101" s="112">
        <v>0</v>
      </c>
      <c r="P101" s="116">
        <v>0</v>
      </c>
      <c r="Q101" s="100" t="s">
        <v>372</v>
      </c>
      <c r="R101" s="98"/>
      <c r="S101" s="98"/>
      <c r="T101" s="98"/>
      <c r="U101" s="98"/>
    </row>
    <row r="102" spans="2:21" s="4" customFormat="1" ht="15.75" x14ac:dyDescent="0.25">
      <c r="B102" s="95">
        <f t="shared" si="5"/>
        <v>98</v>
      </c>
      <c r="C102" s="95" t="s">
        <v>73</v>
      </c>
      <c r="D102" s="95" t="s">
        <v>93</v>
      </c>
      <c r="E102" s="96" t="s">
        <v>80</v>
      </c>
      <c r="F102" s="96">
        <v>42490</v>
      </c>
      <c r="G102" s="95" t="s">
        <v>194</v>
      </c>
      <c r="H102" s="115" t="s">
        <v>15</v>
      </c>
      <c r="I102" s="112">
        <v>6978.69</v>
      </c>
      <c r="J102" s="112">
        <v>2660.53</v>
      </c>
      <c r="K102" s="113">
        <f t="shared" si="3"/>
        <v>0.61876369347255722</v>
      </c>
      <c r="L102" s="112">
        <v>922.16</v>
      </c>
      <c r="M102" s="113">
        <f t="shared" si="4"/>
        <v>0.13213941298438533</v>
      </c>
      <c r="N102" s="112">
        <v>604.49</v>
      </c>
      <c r="O102" s="112">
        <v>0</v>
      </c>
      <c r="P102" s="116">
        <v>0</v>
      </c>
      <c r="Q102" s="100" t="s">
        <v>373</v>
      </c>
      <c r="R102" s="98"/>
      <c r="S102" s="98"/>
      <c r="T102" s="98"/>
      <c r="U102" s="98"/>
    </row>
    <row r="103" spans="2:21" s="4" customFormat="1" ht="15.75" x14ac:dyDescent="0.25">
      <c r="B103" s="95">
        <f t="shared" si="5"/>
        <v>99</v>
      </c>
      <c r="C103" s="95" t="s">
        <v>420</v>
      </c>
      <c r="D103" s="95" t="s">
        <v>74</v>
      </c>
      <c r="E103" s="95" t="s">
        <v>424</v>
      </c>
      <c r="F103" s="96">
        <v>42490</v>
      </c>
      <c r="G103" s="95" t="s">
        <v>195</v>
      </c>
      <c r="H103" s="95" t="s">
        <v>22</v>
      </c>
      <c r="I103" s="112">
        <v>11374.8</v>
      </c>
      <c r="J103" s="112">
        <v>5575.17</v>
      </c>
      <c r="K103" s="113">
        <f t="shared" si="3"/>
        <v>0.50986654710412482</v>
      </c>
      <c r="L103" s="112">
        <v>1205.33</v>
      </c>
      <c r="M103" s="113">
        <f t="shared" si="4"/>
        <v>0.10596494004290186</v>
      </c>
      <c r="N103" s="112">
        <v>417.07</v>
      </c>
      <c r="O103" s="112">
        <v>0</v>
      </c>
      <c r="P103" s="116">
        <v>0</v>
      </c>
      <c r="Q103" s="100" t="s">
        <v>374</v>
      </c>
      <c r="R103" s="98"/>
      <c r="S103" s="98"/>
      <c r="T103" s="98"/>
      <c r="U103" s="98"/>
    </row>
    <row r="104" spans="2:21" s="4" customFormat="1" ht="15.75" x14ac:dyDescent="0.25">
      <c r="B104" s="95">
        <f t="shared" si="5"/>
        <v>100</v>
      </c>
      <c r="C104" s="95" t="s">
        <v>73</v>
      </c>
      <c r="D104" s="95" t="s">
        <v>74</v>
      </c>
      <c r="E104" s="95" t="s">
        <v>424</v>
      </c>
      <c r="F104" s="96">
        <v>42494</v>
      </c>
      <c r="G104" s="95" t="s">
        <v>196</v>
      </c>
      <c r="H104" s="115" t="s">
        <v>17</v>
      </c>
      <c r="I104" s="112">
        <v>6082.8</v>
      </c>
      <c r="J104" s="112">
        <v>2340.33</v>
      </c>
      <c r="K104" s="113">
        <f t="shared" si="3"/>
        <v>0.61525448806470706</v>
      </c>
      <c r="L104" s="112">
        <v>979.48</v>
      </c>
      <c r="M104" s="113">
        <f t="shared" si="4"/>
        <v>0.16102452817781285</v>
      </c>
      <c r="N104" s="112">
        <v>1124</v>
      </c>
      <c r="O104" s="112">
        <v>0</v>
      </c>
      <c r="P104" s="116">
        <v>0</v>
      </c>
      <c r="Q104" s="100"/>
      <c r="R104" s="98"/>
      <c r="S104" s="98"/>
      <c r="T104" s="98"/>
      <c r="U104" s="98"/>
    </row>
    <row r="105" spans="2:21" s="4" customFormat="1" ht="15.75" x14ac:dyDescent="0.25">
      <c r="B105" s="95">
        <f t="shared" si="5"/>
        <v>101</v>
      </c>
      <c r="C105" s="95" t="s">
        <v>73</v>
      </c>
      <c r="D105" s="95" t="s">
        <v>76</v>
      </c>
      <c r="E105" s="96" t="s">
        <v>80</v>
      </c>
      <c r="F105" s="96">
        <v>42495</v>
      </c>
      <c r="G105" s="95" t="s">
        <v>197</v>
      </c>
      <c r="H105" s="115" t="s">
        <v>15</v>
      </c>
      <c r="I105" s="112">
        <v>6299.24</v>
      </c>
      <c r="J105" s="112">
        <v>3382.54</v>
      </c>
      <c r="K105" s="113">
        <f t="shared" si="3"/>
        <v>0.4630241108451178</v>
      </c>
      <c r="L105" s="112">
        <v>360.4</v>
      </c>
      <c r="M105" s="113">
        <f t="shared" si="4"/>
        <v>5.7213251122357617E-2</v>
      </c>
      <c r="N105" s="112">
        <v>-630.05999999999995</v>
      </c>
      <c r="O105" s="112">
        <v>0</v>
      </c>
      <c r="P105" s="116">
        <v>0</v>
      </c>
      <c r="Q105" s="100" t="s">
        <v>375</v>
      </c>
      <c r="R105" s="98"/>
      <c r="S105" s="98"/>
      <c r="T105" s="98"/>
      <c r="U105" s="98"/>
    </row>
    <row r="106" spans="2:21" s="4" customFormat="1" ht="15.75" x14ac:dyDescent="0.25">
      <c r="B106" s="95">
        <f t="shared" si="5"/>
        <v>102</v>
      </c>
      <c r="C106" s="95" t="s">
        <v>73</v>
      </c>
      <c r="D106" s="95" t="s">
        <v>74</v>
      </c>
      <c r="E106" s="96" t="s">
        <v>71</v>
      </c>
      <c r="F106" s="96">
        <v>42495</v>
      </c>
      <c r="G106" s="95" t="s">
        <v>198</v>
      </c>
      <c r="H106" s="115" t="s">
        <v>17</v>
      </c>
      <c r="I106" s="112">
        <v>4198.25</v>
      </c>
      <c r="J106" s="112">
        <v>2775.57</v>
      </c>
      <c r="K106" s="113">
        <f t="shared" si="3"/>
        <v>0.33887453105460602</v>
      </c>
      <c r="L106" s="112">
        <v>168.11</v>
      </c>
      <c r="M106" s="113">
        <f t="shared" si="4"/>
        <v>4.0042875007443579E-2</v>
      </c>
      <c r="N106" s="112">
        <v>-439.95</v>
      </c>
      <c r="O106" s="112">
        <v>0</v>
      </c>
      <c r="P106" s="116">
        <v>0</v>
      </c>
      <c r="Q106" s="100"/>
      <c r="R106" s="98"/>
      <c r="S106" s="98"/>
      <c r="T106" s="98"/>
      <c r="U106" s="98"/>
    </row>
    <row r="107" spans="2:21" s="4" customFormat="1" ht="15.75" x14ac:dyDescent="0.25">
      <c r="B107" s="95">
        <f t="shared" si="5"/>
        <v>103</v>
      </c>
      <c r="C107" s="95" t="s">
        <v>199</v>
      </c>
      <c r="D107" s="95" t="s">
        <v>76</v>
      </c>
      <c r="E107" s="96" t="s">
        <v>72</v>
      </c>
      <c r="F107" s="96">
        <v>42495</v>
      </c>
      <c r="G107" s="95" t="s">
        <v>200</v>
      </c>
      <c r="H107" s="115" t="s">
        <v>18</v>
      </c>
      <c r="I107" s="112">
        <v>34275.72</v>
      </c>
      <c r="J107" s="112">
        <v>19154.22</v>
      </c>
      <c r="K107" s="113">
        <f t="shared" si="3"/>
        <v>0.44117235174053238</v>
      </c>
      <c r="L107" s="112">
        <v>3330.98</v>
      </c>
      <c r="M107" s="113">
        <f t="shared" si="4"/>
        <v>9.7181911860640707E-2</v>
      </c>
      <c r="N107" s="112">
        <v>-5.24</v>
      </c>
      <c r="O107" s="112">
        <v>0</v>
      </c>
      <c r="P107" s="116">
        <v>0</v>
      </c>
      <c r="Q107" s="100" t="s">
        <v>376</v>
      </c>
      <c r="R107" s="98"/>
      <c r="S107" s="98"/>
      <c r="T107" s="98"/>
      <c r="U107" s="98"/>
    </row>
    <row r="108" spans="2:21" s="4" customFormat="1" ht="15.75" x14ac:dyDescent="0.25">
      <c r="B108" s="95">
        <f t="shared" si="5"/>
        <v>104</v>
      </c>
      <c r="C108" s="95" t="s">
        <v>73</v>
      </c>
      <c r="D108" s="95" t="s">
        <v>70</v>
      </c>
      <c r="E108" s="96" t="s">
        <v>72</v>
      </c>
      <c r="F108" s="96">
        <v>42496</v>
      </c>
      <c r="G108" s="95" t="s">
        <v>201</v>
      </c>
      <c r="H108" s="115" t="s">
        <v>13</v>
      </c>
      <c r="I108" s="112">
        <v>23883.38</v>
      </c>
      <c r="J108" s="112">
        <v>11377.99</v>
      </c>
      <c r="K108" s="113">
        <f t="shared" si="3"/>
        <v>0.52360218696013716</v>
      </c>
      <c r="L108" s="112">
        <v>2337.46</v>
      </c>
      <c r="M108" s="113">
        <f t="shared" si="4"/>
        <v>9.7869732006106339E-2</v>
      </c>
      <c r="N108" s="112">
        <v>-2333.37</v>
      </c>
      <c r="O108" s="112">
        <v>0</v>
      </c>
      <c r="P108" s="116">
        <v>0</v>
      </c>
      <c r="Q108" s="100" t="s">
        <v>377</v>
      </c>
      <c r="R108" s="98"/>
      <c r="S108" s="98"/>
      <c r="T108" s="98"/>
      <c r="U108" s="98"/>
    </row>
    <row r="109" spans="2:21" s="4" customFormat="1" ht="15.75" x14ac:dyDescent="0.25">
      <c r="B109" s="95">
        <f t="shared" si="5"/>
        <v>105</v>
      </c>
      <c r="C109" s="95" t="s">
        <v>73</v>
      </c>
      <c r="D109" s="95" t="s">
        <v>74</v>
      </c>
      <c r="E109" s="95" t="s">
        <v>424</v>
      </c>
      <c r="F109" s="96">
        <v>42497</v>
      </c>
      <c r="G109" s="95" t="s">
        <v>202</v>
      </c>
      <c r="H109" s="115" t="s">
        <v>27</v>
      </c>
      <c r="I109" s="112">
        <v>7696.79</v>
      </c>
      <c r="J109" s="112">
        <v>2736.99</v>
      </c>
      <c r="K109" s="113">
        <f t="shared" si="3"/>
        <v>0.64439850898881224</v>
      </c>
      <c r="L109" s="112">
        <v>898.5</v>
      </c>
      <c r="M109" s="113">
        <f t="shared" si="4"/>
        <v>0.11673697736329042</v>
      </c>
      <c r="N109" s="112">
        <v>185.79</v>
      </c>
      <c r="O109" s="112">
        <v>100</v>
      </c>
      <c r="P109" s="116">
        <v>0</v>
      </c>
      <c r="Q109" s="100"/>
      <c r="R109" s="98"/>
      <c r="S109" s="98"/>
      <c r="T109" s="98"/>
      <c r="U109" s="98"/>
    </row>
    <row r="110" spans="2:21" s="4" customFormat="1" ht="15.75" x14ac:dyDescent="0.25">
      <c r="B110" s="95">
        <f t="shared" si="5"/>
        <v>106</v>
      </c>
      <c r="C110" s="95" t="s">
        <v>73</v>
      </c>
      <c r="D110" s="95" t="s">
        <v>74</v>
      </c>
      <c r="E110" s="96" t="s">
        <v>71</v>
      </c>
      <c r="F110" s="96">
        <v>42499</v>
      </c>
      <c r="G110" s="95" t="s">
        <v>203</v>
      </c>
      <c r="H110" s="95" t="s">
        <v>29</v>
      </c>
      <c r="I110" s="112">
        <v>40751.019999999997</v>
      </c>
      <c r="J110" s="112">
        <v>22446.15</v>
      </c>
      <c r="K110" s="113">
        <f t="shared" si="3"/>
        <v>0.44918802032439914</v>
      </c>
      <c r="L110" s="112">
        <v>2139.75</v>
      </c>
      <c r="M110" s="113">
        <f t="shared" si="4"/>
        <v>5.2507888146112666E-2</v>
      </c>
      <c r="N110" s="112">
        <v>-1028.8800000000001</v>
      </c>
      <c r="O110" s="112">
        <v>0</v>
      </c>
      <c r="P110" s="116">
        <v>0</v>
      </c>
      <c r="Q110" s="100"/>
      <c r="R110" s="98"/>
      <c r="S110" s="98"/>
      <c r="T110" s="98"/>
      <c r="U110" s="98"/>
    </row>
    <row r="111" spans="2:21" s="4" customFormat="1" ht="15.75" x14ac:dyDescent="0.25">
      <c r="B111" s="95">
        <f t="shared" si="5"/>
        <v>107</v>
      </c>
      <c r="C111" s="95" t="s">
        <v>73</v>
      </c>
      <c r="D111" s="95" t="s">
        <v>74</v>
      </c>
      <c r="E111" s="96" t="s">
        <v>72</v>
      </c>
      <c r="F111" s="96">
        <v>42501</v>
      </c>
      <c r="G111" s="95" t="s">
        <v>204</v>
      </c>
      <c r="H111" s="115" t="s">
        <v>18</v>
      </c>
      <c r="I111" s="112">
        <v>8295.26</v>
      </c>
      <c r="J111" s="112">
        <v>3924.98</v>
      </c>
      <c r="K111" s="113">
        <f t="shared" si="3"/>
        <v>0.5268406294679131</v>
      </c>
      <c r="L111" s="112">
        <v>904.53</v>
      </c>
      <c r="M111" s="113">
        <f t="shared" si="4"/>
        <v>0.10904179013074936</v>
      </c>
      <c r="N111" s="112">
        <v>248.76</v>
      </c>
      <c r="O111" s="112">
        <v>0</v>
      </c>
      <c r="P111" s="116">
        <v>0</v>
      </c>
      <c r="Q111" s="100" t="s">
        <v>378</v>
      </c>
      <c r="R111" s="98"/>
      <c r="S111" s="98"/>
      <c r="T111" s="98"/>
      <c r="U111" s="98"/>
    </row>
    <row r="112" spans="2:21" s="4" customFormat="1" ht="15.75" x14ac:dyDescent="0.25">
      <c r="B112" s="95">
        <f t="shared" si="5"/>
        <v>108</v>
      </c>
      <c r="C112" s="95" t="s">
        <v>73</v>
      </c>
      <c r="D112" s="95" t="s">
        <v>93</v>
      </c>
      <c r="E112" s="96" t="s">
        <v>72</v>
      </c>
      <c r="F112" s="96">
        <v>42503</v>
      </c>
      <c r="G112" s="95" t="s">
        <v>77</v>
      </c>
      <c r="H112" s="115" t="s">
        <v>18</v>
      </c>
      <c r="I112" s="112">
        <v>3682.81</v>
      </c>
      <c r="J112" s="112">
        <v>1921.17</v>
      </c>
      <c r="K112" s="113">
        <f t="shared" si="3"/>
        <v>0.47834126658719833</v>
      </c>
      <c r="L112" s="112">
        <v>403.19</v>
      </c>
      <c r="M112" s="113">
        <f t="shared" si="4"/>
        <v>0.10947890333739727</v>
      </c>
      <c r="N112" s="112">
        <v>148.51</v>
      </c>
      <c r="O112" s="112">
        <v>0</v>
      </c>
      <c r="P112" s="116">
        <v>0</v>
      </c>
      <c r="Q112" s="100"/>
      <c r="R112" s="98"/>
      <c r="S112" s="98"/>
      <c r="T112" s="98"/>
      <c r="U112" s="98"/>
    </row>
    <row r="113" spans="2:21" s="4" customFormat="1" ht="15.75" x14ac:dyDescent="0.25">
      <c r="B113" s="95">
        <f t="shared" si="5"/>
        <v>109</v>
      </c>
      <c r="C113" s="95" t="s">
        <v>420</v>
      </c>
      <c r="D113" s="95" t="s">
        <v>74</v>
      </c>
      <c r="E113" s="96" t="s">
        <v>109</v>
      </c>
      <c r="F113" s="96">
        <v>42503</v>
      </c>
      <c r="G113" s="95" t="s">
        <v>205</v>
      </c>
      <c r="H113" s="95" t="s">
        <v>22</v>
      </c>
      <c r="I113" s="112">
        <v>8782.74</v>
      </c>
      <c r="J113" s="112">
        <v>5077</v>
      </c>
      <c r="K113" s="113">
        <f t="shared" si="3"/>
        <v>0.42193438494137364</v>
      </c>
      <c r="L113" s="112">
        <v>156.79</v>
      </c>
      <c r="M113" s="113">
        <f t="shared" si="4"/>
        <v>1.7852059835541074E-2</v>
      </c>
      <c r="N113" s="112">
        <v>-1698.71</v>
      </c>
      <c r="O113" s="112">
        <v>0</v>
      </c>
      <c r="P113" s="116">
        <v>0</v>
      </c>
      <c r="Q113" s="100" t="s">
        <v>379</v>
      </c>
      <c r="R113" s="98"/>
      <c r="S113" s="98"/>
      <c r="T113" s="98"/>
      <c r="U113" s="98"/>
    </row>
    <row r="114" spans="2:21" s="4" customFormat="1" ht="15.75" x14ac:dyDescent="0.25">
      <c r="B114" s="95">
        <f t="shared" si="5"/>
        <v>110</v>
      </c>
      <c r="C114" s="95" t="s">
        <v>123</v>
      </c>
      <c r="D114" s="95" t="s">
        <v>74</v>
      </c>
      <c r="E114" s="96" t="s">
        <v>109</v>
      </c>
      <c r="F114" s="96">
        <v>42504</v>
      </c>
      <c r="G114" s="95" t="s">
        <v>206</v>
      </c>
      <c r="H114" s="115" t="s">
        <v>17</v>
      </c>
      <c r="I114" s="112">
        <v>6542.06</v>
      </c>
      <c r="J114" s="112">
        <v>2588.6</v>
      </c>
      <c r="K114" s="113">
        <f t="shared" si="3"/>
        <v>0.60431423741145762</v>
      </c>
      <c r="L114" s="112">
        <v>779.2</v>
      </c>
      <c r="M114" s="113">
        <f t="shared" si="4"/>
        <v>0.11910621425055716</v>
      </c>
      <c r="N114" s="112">
        <v>165.73</v>
      </c>
      <c r="O114" s="112">
        <v>0</v>
      </c>
      <c r="P114" s="116">
        <v>0</v>
      </c>
      <c r="Q114" s="100"/>
      <c r="R114" s="98"/>
      <c r="S114" s="98"/>
      <c r="T114" s="98"/>
      <c r="U114" s="98"/>
    </row>
    <row r="115" spans="2:21" s="4" customFormat="1" ht="15.75" x14ac:dyDescent="0.25">
      <c r="B115" s="95">
        <f t="shared" si="5"/>
        <v>111</v>
      </c>
      <c r="C115" s="95" t="s">
        <v>420</v>
      </c>
      <c r="D115" s="95" t="s">
        <v>76</v>
      </c>
      <c r="E115" s="96" t="s">
        <v>71</v>
      </c>
      <c r="F115" s="96">
        <v>42504</v>
      </c>
      <c r="G115" s="95" t="s">
        <v>207</v>
      </c>
      <c r="H115" s="115" t="s">
        <v>24</v>
      </c>
      <c r="I115" s="112">
        <v>4924.72</v>
      </c>
      <c r="J115" s="112">
        <v>2336.63</v>
      </c>
      <c r="K115" s="113">
        <f t="shared" si="3"/>
        <v>0.52553038548384479</v>
      </c>
      <c r="L115" s="112">
        <v>326.68</v>
      </c>
      <c r="M115" s="113">
        <f t="shared" si="4"/>
        <v>6.6334735781932774E-2</v>
      </c>
      <c r="N115" s="112">
        <v>-434.48</v>
      </c>
      <c r="O115" s="112">
        <v>50</v>
      </c>
      <c r="P115" s="116">
        <v>0</v>
      </c>
      <c r="Q115" s="100"/>
      <c r="R115" s="98"/>
      <c r="S115" s="98"/>
      <c r="T115" s="98"/>
      <c r="U115" s="98"/>
    </row>
    <row r="116" spans="2:21" s="4" customFormat="1" ht="15.75" x14ac:dyDescent="0.25">
      <c r="B116" s="95">
        <f t="shared" si="5"/>
        <v>112</v>
      </c>
      <c r="C116" s="95" t="s">
        <v>100</v>
      </c>
      <c r="D116" s="95" t="s">
        <v>74</v>
      </c>
      <c r="E116" s="96" t="s">
        <v>95</v>
      </c>
      <c r="F116" s="96">
        <v>42506</v>
      </c>
      <c r="G116" s="95" t="s">
        <v>208</v>
      </c>
      <c r="H116" s="115" t="s">
        <v>18</v>
      </c>
      <c r="I116" s="112">
        <v>11725.33</v>
      </c>
      <c r="J116" s="112">
        <v>6650.34</v>
      </c>
      <c r="K116" s="113">
        <f t="shared" si="3"/>
        <v>0.43282278622435361</v>
      </c>
      <c r="L116" s="112">
        <v>1061.6400000000001</v>
      </c>
      <c r="M116" s="113">
        <f t="shared" si="4"/>
        <v>9.0542441022981882E-2</v>
      </c>
      <c r="N116" s="112">
        <v>-470.67</v>
      </c>
      <c r="O116" s="112">
        <v>200</v>
      </c>
      <c r="P116" s="116">
        <v>0</v>
      </c>
      <c r="Q116" s="100" t="s">
        <v>380</v>
      </c>
      <c r="R116" s="98"/>
      <c r="S116" s="98"/>
      <c r="T116" s="98"/>
      <c r="U116" s="98"/>
    </row>
    <row r="117" spans="2:21" s="4" customFormat="1" ht="15.75" x14ac:dyDescent="0.25">
      <c r="B117" s="95">
        <f t="shared" si="5"/>
        <v>113</v>
      </c>
      <c r="C117" s="95" t="s">
        <v>73</v>
      </c>
      <c r="D117" s="95" t="s">
        <v>70</v>
      </c>
      <c r="E117" s="96" t="s">
        <v>109</v>
      </c>
      <c r="F117" s="96">
        <v>42507</v>
      </c>
      <c r="G117" s="95" t="s">
        <v>209</v>
      </c>
      <c r="H117" s="115" t="s">
        <v>24</v>
      </c>
      <c r="I117" s="112">
        <v>11739.03</v>
      </c>
      <c r="J117" s="112">
        <v>5369.32</v>
      </c>
      <c r="K117" s="113">
        <f t="shared" si="3"/>
        <v>0.54260956825223217</v>
      </c>
      <c r="L117" s="112">
        <v>1133.77</v>
      </c>
      <c r="M117" s="113">
        <f t="shared" si="4"/>
        <v>9.6581233713518067E-2</v>
      </c>
      <c r="N117" s="112">
        <v>721.93</v>
      </c>
      <c r="O117" s="112">
        <v>0</v>
      </c>
      <c r="P117" s="116">
        <v>0</v>
      </c>
      <c r="Q117" s="100" t="s">
        <v>381</v>
      </c>
      <c r="R117" s="98"/>
      <c r="S117" s="98"/>
      <c r="T117" s="98"/>
      <c r="U117" s="98"/>
    </row>
    <row r="118" spans="2:21" s="4" customFormat="1" ht="15.75" x14ac:dyDescent="0.25">
      <c r="B118" s="95">
        <f t="shared" si="5"/>
        <v>114</v>
      </c>
      <c r="C118" s="95" t="s">
        <v>73</v>
      </c>
      <c r="D118" s="95" t="s">
        <v>70</v>
      </c>
      <c r="E118" s="95" t="s">
        <v>424</v>
      </c>
      <c r="F118" s="96">
        <v>42508</v>
      </c>
      <c r="G118" s="95" t="s">
        <v>210</v>
      </c>
      <c r="H118" s="115" t="s">
        <v>17</v>
      </c>
      <c r="I118" s="112">
        <v>4944.6099999999997</v>
      </c>
      <c r="J118" s="112">
        <v>2357.96</v>
      </c>
      <c r="K118" s="113">
        <f t="shared" si="3"/>
        <v>0.5231251807523748</v>
      </c>
      <c r="L118" s="112">
        <v>508.3</v>
      </c>
      <c r="M118" s="113">
        <f t="shared" si="4"/>
        <v>0.1027988051636024</v>
      </c>
      <c r="N118" s="112">
        <v>122.11</v>
      </c>
      <c r="O118" s="112">
        <v>0</v>
      </c>
      <c r="P118" s="116">
        <v>0</v>
      </c>
      <c r="Q118" s="100"/>
      <c r="R118" s="98"/>
      <c r="S118" s="98"/>
      <c r="T118" s="98"/>
      <c r="U118" s="98"/>
    </row>
    <row r="119" spans="2:21" s="4" customFormat="1" ht="15.75" x14ac:dyDescent="0.25">
      <c r="B119" s="95">
        <f t="shared" si="5"/>
        <v>115</v>
      </c>
      <c r="C119" s="95" t="s">
        <v>340</v>
      </c>
      <c r="D119" s="95" t="s">
        <v>93</v>
      </c>
      <c r="E119" s="96" t="s">
        <v>95</v>
      </c>
      <c r="F119" s="96">
        <v>42509</v>
      </c>
      <c r="G119" s="95" t="s">
        <v>211</v>
      </c>
      <c r="H119" s="115" t="s">
        <v>18</v>
      </c>
      <c r="I119" s="112">
        <v>30561.57</v>
      </c>
      <c r="J119" s="112">
        <v>22493.25</v>
      </c>
      <c r="K119" s="113">
        <f t="shared" si="3"/>
        <v>0.26400214386891774</v>
      </c>
      <c r="L119" s="112">
        <v>2054.46</v>
      </c>
      <c r="M119" s="113">
        <f t="shared" si="4"/>
        <v>6.7223640670292795E-2</v>
      </c>
      <c r="N119" s="112">
        <v>-11204.09</v>
      </c>
      <c r="O119" s="112">
        <v>0</v>
      </c>
      <c r="P119" s="116">
        <v>0</v>
      </c>
      <c r="Q119" s="100" t="s">
        <v>382</v>
      </c>
      <c r="R119" s="98"/>
      <c r="S119" s="98"/>
      <c r="T119" s="98"/>
      <c r="U119" s="98"/>
    </row>
    <row r="120" spans="2:21" s="4" customFormat="1" ht="15.75" x14ac:dyDescent="0.25">
      <c r="B120" s="95">
        <f t="shared" si="5"/>
        <v>116</v>
      </c>
      <c r="C120" s="95" t="s">
        <v>420</v>
      </c>
      <c r="D120" s="95" t="s">
        <v>93</v>
      </c>
      <c r="E120" s="96" t="s">
        <v>109</v>
      </c>
      <c r="F120" s="96">
        <v>42513</v>
      </c>
      <c r="G120" s="95" t="s">
        <v>212</v>
      </c>
      <c r="H120" s="115" t="s">
        <v>213</v>
      </c>
      <c r="I120" s="112">
        <v>13291.45</v>
      </c>
      <c r="J120" s="112">
        <v>7862.55</v>
      </c>
      <c r="K120" s="113">
        <f t="shared" si="3"/>
        <v>0.40845054527534619</v>
      </c>
      <c r="L120" s="112">
        <v>1624.62</v>
      </c>
      <c r="M120" s="113">
        <f t="shared" si="4"/>
        <v>0.12223045642123319</v>
      </c>
      <c r="N120" s="112">
        <v>887.45</v>
      </c>
      <c r="O120" s="112">
        <v>0</v>
      </c>
      <c r="P120" s="116">
        <v>0</v>
      </c>
      <c r="Q120" s="100" t="s">
        <v>383</v>
      </c>
      <c r="R120" s="98"/>
      <c r="S120" s="98"/>
      <c r="T120" s="98"/>
      <c r="U120" s="98"/>
    </row>
    <row r="121" spans="2:21" s="4" customFormat="1" ht="15.75" x14ac:dyDescent="0.25">
      <c r="B121" s="95">
        <f t="shared" si="5"/>
        <v>117</v>
      </c>
      <c r="C121" s="95" t="s">
        <v>73</v>
      </c>
      <c r="D121" s="95" t="s">
        <v>214</v>
      </c>
      <c r="E121" s="96" t="s">
        <v>109</v>
      </c>
      <c r="F121" s="96">
        <v>42514</v>
      </c>
      <c r="G121" s="95" t="s">
        <v>215</v>
      </c>
      <c r="H121" s="115" t="s">
        <v>24</v>
      </c>
      <c r="I121" s="112">
        <v>10632.77</v>
      </c>
      <c r="J121" s="112">
        <v>4124.41</v>
      </c>
      <c r="K121" s="113">
        <f t="shared" si="3"/>
        <v>0.61210390142926074</v>
      </c>
      <c r="L121" s="112">
        <v>1006.38</v>
      </c>
      <c r="M121" s="113">
        <f t="shared" si="4"/>
        <v>9.4648901462177776E-2</v>
      </c>
      <c r="N121" s="112">
        <v>0</v>
      </c>
      <c r="O121" s="112">
        <v>0</v>
      </c>
      <c r="P121" s="116">
        <v>0</v>
      </c>
      <c r="Q121" s="100"/>
      <c r="R121" s="98"/>
      <c r="S121" s="98"/>
      <c r="T121" s="98"/>
      <c r="U121" s="98"/>
    </row>
    <row r="122" spans="2:21" s="4" customFormat="1" ht="15.75" x14ac:dyDescent="0.25">
      <c r="B122" s="95">
        <f t="shared" si="5"/>
        <v>118</v>
      </c>
      <c r="C122" s="95" t="s">
        <v>422</v>
      </c>
      <c r="D122" s="95" t="s">
        <v>74</v>
      </c>
      <c r="E122" s="96" t="s">
        <v>109</v>
      </c>
      <c r="F122" s="96">
        <v>42514</v>
      </c>
      <c r="G122" s="95" t="s">
        <v>216</v>
      </c>
      <c r="H122" s="115" t="s">
        <v>17</v>
      </c>
      <c r="I122" s="112">
        <v>11937.62</v>
      </c>
      <c r="J122" s="112">
        <v>6889.26</v>
      </c>
      <c r="K122" s="113">
        <f t="shared" si="3"/>
        <v>0.42289501592444728</v>
      </c>
      <c r="L122" s="112">
        <v>716.92</v>
      </c>
      <c r="M122" s="113">
        <f t="shared" si="4"/>
        <v>6.005552195496254E-2</v>
      </c>
      <c r="N122" s="112">
        <v>-100.5</v>
      </c>
      <c r="O122" s="112">
        <v>0</v>
      </c>
      <c r="P122" s="116">
        <v>0</v>
      </c>
      <c r="Q122" s="100" t="s">
        <v>384</v>
      </c>
      <c r="R122" s="98"/>
      <c r="S122" s="98"/>
      <c r="T122" s="98"/>
      <c r="U122" s="98"/>
    </row>
    <row r="123" spans="2:21" s="4" customFormat="1" ht="15.75" x14ac:dyDescent="0.25">
      <c r="B123" s="95">
        <f t="shared" si="5"/>
        <v>119</v>
      </c>
      <c r="C123" s="95" t="s">
        <v>217</v>
      </c>
      <c r="D123" s="95" t="s">
        <v>70</v>
      </c>
      <c r="E123" s="96" t="s">
        <v>71</v>
      </c>
      <c r="F123" s="96">
        <v>42516</v>
      </c>
      <c r="G123" s="95" t="s">
        <v>218</v>
      </c>
      <c r="H123" s="115" t="s">
        <v>426</v>
      </c>
      <c r="I123" s="112">
        <v>22205.5</v>
      </c>
      <c r="J123" s="112">
        <v>8830.48</v>
      </c>
      <c r="K123" s="113">
        <f t="shared" si="3"/>
        <v>0.60232915268739728</v>
      </c>
      <c r="L123" s="112">
        <v>2689.47</v>
      </c>
      <c r="M123" s="113">
        <f t="shared" si="4"/>
        <v>0.12111729076129787</v>
      </c>
      <c r="N123" s="112">
        <v>1355.96</v>
      </c>
      <c r="O123" s="112">
        <v>0</v>
      </c>
      <c r="P123" s="116">
        <v>0</v>
      </c>
      <c r="Q123" s="100"/>
      <c r="R123" s="98"/>
      <c r="S123" s="98"/>
      <c r="T123" s="98"/>
      <c r="U123" s="98"/>
    </row>
    <row r="124" spans="2:21" s="4" customFormat="1" ht="15.75" x14ac:dyDescent="0.25">
      <c r="B124" s="95">
        <f t="shared" si="5"/>
        <v>120</v>
      </c>
      <c r="C124" s="95" t="s">
        <v>420</v>
      </c>
      <c r="D124" s="95" t="s">
        <v>76</v>
      </c>
      <c r="E124" s="96" t="s">
        <v>80</v>
      </c>
      <c r="F124" s="96">
        <v>42521</v>
      </c>
      <c r="G124" s="95" t="s">
        <v>219</v>
      </c>
      <c r="H124" s="95" t="s">
        <v>429</v>
      </c>
      <c r="I124" s="112">
        <v>23509.63</v>
      </c>
      <c r="J124" s="112">
        <v>11518.41</v>
      </c>
      <c r="K124" s="113">
        <f t="shared" si="3"/>
        <v>0.51005566655026047</v>
      </c>
      <c r="L124" s="112">
        <v>3086.56</v>
      </c>
      <c r="M124" s="113">
        <f t="shared" si="4"/>
        <v>0.13128917809425328</v>
      </c>
      <c r="N124" s="112">
        <v>2170.23</v>
      </c>
      <c r="O124" s="112">
        <v>0</v>
      </c>
      <c r="P124" s="116">
        <v>0</v>
      </c>
      <c r="Q124" s="100" t="s">
        <v>385</v>
      </c>
      <c r="R124" s="98"/>
      <c r="S124" s="98"/>
      <c r="T124" s="98"/>
      <c r="U124" s="98"/>
    </row>
    <row r="125" spans="2:21" s="4" customFormat="1" ht="15.75" x14ac:dyDescent="0.25">
      <c r="B125" s="95">
        <f t="shared" si="5"/>
        <v>121</v>
      </c>
      <c r="C125" s="95" t="s">
        <v>220</v>
      </c>
      <c r="D125" s="95" t="s">
        <v>93</v>
      </c>
      <c r="E125" s="96" t="s">
        <v>80</v>
      </c>
      <c r="F125" s="96">
        <v>42521</v>
      </c>
      <c r="G125" s="95" t="s">
        <v>221</v>
      </c>
      <c r="H125" s="115" t="s">
        <v>15</v>
      </c>
      <c r="I125" s="112">
        <v>7743.06</v>
      </c>
      <c r="J125" s="112">
        <v>3612.07</v>
      </c>
      <c r="K125" s="113">
        <f t="shared" si="3"/>
        <v>0.53350871619230633</v>
      </c>
      <c r="L125" s="112">
        <v>828.91</v>
      </c>
      <c r="M125" s="113">
        <f t="shared" si="4"/>
        <v>0.10705199236477567</v>
      </c>
      <c r="N125" s="112">
        <v>180.26</v>
      </c>
      <c r="O125" s="112">
        <v>0</v>
      </c>
      <c r="P125" s="116">
        <v>0</v>
      </c>
      <c r="Q125" s="100"/>
      <c r="R125" s="98"/>
      <c r="S125" s="98"/>
      <c r="T125" s="98"/>
      <c r="U125" s="98"/>
    </row>
    <row r="126" spans="2:21" s="4" customFormat="1" ht="15.75" x14ac:dyDescent="0.25">
      <c r="B126" s="95">
        <f t="shared" si="5"/>
        <v>122</v>
      </c>
      <c r="C126" s="95" t="s">
        <v>222</v>
      </c>
      <c r="D126" s="95" t="s">
        <v>74</v>
      </c>
      <c r="E126" s="96" t="s">
        <v>109</v>
      </c>
      <c r="F126" s="96">
        <v>42522</v>
      </c>
      <c r="G126" s="95" t="s">
        <v>223</v>
      </c>
      <c r="H126" s="115" t="s">
        <v>27</v>
      </c>
      <c r="I126" s="112">
        <v>14018.69</v>
      </c>
      <c r="J126" s="112">
        <v>8083.38</v>
      </c>
      <c r="K126" s="113">
        <f t="shared" si="3"/>
        <v>0.42338549465035608</v>
      </c>
      <c r="L126" s="112">
        <v>636.99</v>
      </c>
      <c r="M126" s="113">
        <f t="shared" si="4"/>
        <v>4.5438625149710851E-2</v>
      </c>
      <c r="N126" s="112">
        <v>-1429.19</v>
      </c>
      <c r="O126" s="112">
        <v>0</v>
      </c>
      <c r="P126" s="116">
        <v>0</v>
      </c>
      <c r="Q126" s="100" t="s">
        <v>366</v>
      </c>
      <c r="R126" s="98"/>
      <c r="S126" s="98"/>
      <c r="T126" s="98"/>
      <c r="U126" s="98"/>
    </row>
    <row r="127" spans="2:21" s="4" customFormat="1" ht="15.75" x14ac:dyDescent="0.25">
      <c r="B127" s="95">
        <f t="shared" si="5"/>
        <v>123</v>
      </c>
      <c r="C127" s="95" t="s">
        <v>224</v>
      </c>
      <c r="D127" s="95" t="s">
        <v>70</v>
      </c>
      <c r="E127" s="96" t="s">
        <v>109</v>
      </c>
      <c r="F127" s="96">
        <v>42522</v>
      </c>
      <c r="G127" s="95" t="s">
        <v>225</v>
      </c>
      <c r="H127" s="115" t="s">
        <v>28</v>
      </c>
      <c r="I127" s="112">
        <v>30967.74</v>
      </c>
      <c r="J127" s="112">
        <v>13094.36</v>
      </c>
      <c r="K127" s="113">
        <f t="shared" si="3"/>
        <v>0.57716126523924571</v>
      </c>
      <c r="L127" s="112">
        <v>2954.43</v>
      </c>
      <c r="M127" s="113">
        <f t="shared" si="4"/>
        <v>9.5403474712717165E-2</v>
      </c>
      <c r="N127" s="112">
        <v>469.86</v>
      </c>
      <c r="O127" s="112">
        <v>100</v>
      </c>
      <c r="P127" s="116">
        <v>0</v>
      </c>
      <c r="Q127" s="100" t="s">
        <v>386</v>
      </c>
      <c r="R127" s="98"/>
      <c r="S127" s="98"/>
      <c r="T127" s="98"/>
      <c r="U127" s="98"/>
    </row>
    <row r="128" spans="2:21" s="4" customFormat="1" ht="15.75" x14ac:dyDescent="0.25">
      <c r="B128" s="95">
        <f t="shared" si="5"/>
        <v>124</v>
      </c>
      <c r="C128" s="95" t="s">
        <v>73</v>
      </c>
      <c r="D128" s="95" t="s">
        <v>70</v>
      </c>
      <c r="E128" s="95" t="s">
        <v>424</v>
      </c>
      <c r="F128" s="96">
        <v>42524</v>
      </c>
      <c r="G128" s="95" t="s">
        <v>226</v>
      </c>
      <c r="H128" s="115" t="s">
        <v>28</v>
      </c>
      <c r="I128" s="112">
        <v>10519.89</v>
      </c>
      <c r="J128" s="112">
        <v>4863.55</v>
      </c>
      <c r="K128" s="113">
        <f t="shared" si="3"/>
        <v>0.5376805270777546</v>
      </c>
      <c r="L128" s="112">
        <v>731.86</v>
      </c>
      <c r="M128" s="113">
        <f t="shared" si="4"/>
        <v>6.9569168498910164E-2</v>
      </c>
      <c r="N128" s="112">
        <v>-234.21</v>
      </c>
      <c r="O128" s="112">
        <v>0</v>
      </c>
      <c r="P128" s="116">
        <v>0</v>
      </c>
      <c r="Q128" s="100"/>
      <c r="R128" s="98"/>
      <c r="S128" s="98"/>
      <c r="T128" s="98"/>
      <c r="U128" s="98"/>
    </row>
    <row r="129" spans="2:21" s="4" customFormat="1" ht="15.75" x14ac:dyDescent="0.25">
      <c r="B129" s="95">
        <f t="shared" si="5"/>
        <v>125</v>
      </c>
      <c r="C129" s="95" t="s">
        <v>420</v>
      </c>
      <c r="D129" s="95" t="s">
        <v>227</v>
      </c>
      <c r="E129" s="95" t="s">
        <v>424</v>
      </c>
      <c r="F129" s="96">
        <v>42525</v>
      </c>
      <c r="G129" s="95" t="s">
        <v>228</v>
      </c>
      <c r="H129" s="115" t="s">
        <v>17</v>
      </c>
      <c r="I129" s="112">
        <v>5979.06</v>
      </c>
      <c r="J129" s="112">
        <v>3941.5</v>
      </c>
      <c r="K129" s="113">
        <f t="shared" si="3"/>
        <v>0.34078266483360264</v>
      </c>
      <c r="L129" s="112">
        <v>417.65</v>
      </c>
      <c r="M129" s="113">
        <f t="shared" si="4"/>
        <v>6.9852117222439641E-2</v>
      </c>
      <c r="N129" s="112">
        <v>-786.14</v>
      </c>
      <c r="O129" s="112">
        <v>300</v>
      </c>
      <c r="P129" s="116">
        <v>0</v>
      </c>
      <c r="Q129" s="100" t="s">
        <v>387</v>
      </c>
      <c r="R129" s="98"/>
      <c r="S129" s="98"/>
      <c r="T129" s="98"/>
      <c r="U129" s="98"/>
    </row>
    <row r="130" spans="2:21" s="4" customFormat="1" ht="15.75" x14ac:dyDescent="0.25">
      <c r="B130" s="95">
        <f t="shared" si="5"/>
        <v>126</v>
      </c>
      <c r="C130" s="95" t="s">
        <v>73</v>
      </c>
      <c r="D130" s="95" t="s">
        <v>70</v>
      </c>
      <c r="E130" s="96" t="s">
        <v>80</v>
      </c>
      <c r="F130" s="96">
        <v>42527</v>
      </c>
      <c r="G130" s="95" t="s">
        <v>229</v>
      </c>
      <c r="H130" s="115" t="s">
        <v>15</v>
      </c>
      <c r="I130" s="112">
        <v>11190.67</v>
      </c>
      <c r="J130" s="112">
        <v>4868.13</v>
      </c>
      <c r="K130" s="113">
        <f t="shared" si="3"/>
        <v>0.56498315114287168</v>
      </c>
      <c r="L130" s="112">
        <v>1424.04</v>
      </c>
      <c r="M130" s="113">
        <f t="shared" si="4"/>
        <v>0.12725243439400857</v>
      </c>
      <c r="N130" s="112">
        <v>806.17</v>
      </c>
      <c r="O130" s="112">
        <v>0</v>
      </c>
      <c r="P130" s="116">
        <v>0</v>
      </c>
      <c r="Q130" s="100"/>
      <c r="R130" s="98"/>
      <c r="S130" s="98"/>
      <c r="T130" s="98"/>
      <c r="U130" s="98"/>
    </row>
    <row r="131" spans="2:21" s="4" customFormat="1" ht="15.75" x14ac:dyDescent="0.25">
      <c r="B131" s="95">
        <f t="shared" si="5"/>
        <v>127</v>
      </c>
      <c r="C131" s="95" t="s">
        <v>73</v>
      </c>
      <c r="D131" s="95" t="s">
        <v>93</v>
      </c>
      <c r="E131" s="96" t="s">
        <v>80</v>
      </c>
      <c r="F131" s="96">
        <v>42527</v>
      </c>
      <c r="G131" s="95" t="s">
        <v>230</v>
      </c>
      <c r="H131" s="115" t="s">
        <v>15</v>
      </c>
      <c r="I131" s="112">
        <v>8234.17</v>
      </c>
      <c r="J131" s="112">
        <v>3629.76</v>
      </c>
      <c r="K131" s="113">
        <f t="shared" si="3"/>
        <v>0.55918325708602079</v>
      </c>
      <c r="L131" s="112">
        <v>1089.3</v>
      </c>
      <c r="M131" s="113">
        <f t="shared" si="4"/>
        <v>0.13229020046950693</v>
      </c>
      <c r="N131" s="112">
        <v>708.47</v>
      </c>
      <c r="O131" s="112">
        <v>0</v>
      </c>
      <c r="P131" s="116">
        <v>0</v>
      </c>
      <c r="Q131" s="100" t="s">
        <v>388</v>
      </c>
      <c r="R131" s="98"/>
      <c r="S131" s="98"/>
      <c r="T131" s="98"/>
      <c r="U131" s="98"/>
    </row>
    <row r="132" spans="2:21" s="4" customFormat="1" ht="15.75" x14ac:dyDescent="0.25">
      <c r="B132" s="95">
        <f t="shared" si="5"/>
        <v>128</v>
      </c>
      <c r="C132" s="95" t="s">
        <v>420</v>
      </c>
      <c r="D132" s="95" t="s">
        <v>227</v>
      </c>
      <c r="E132" s="95" t="s">
        <v>424</v>
      </c>
      <c r="F132" s="96">
        <v>42527</v>
      </c>
      <c r="G132" s="95" t="s">
        <v>231</v>
      </c>
      <c r="H132" s="115" t="s">
        <v>17</v>
      </c>
      <c r="I132" s="112">
        <v>4761.12</v>
      </c>
      <c r="J132" s="112">
        <v>3112.36</v>
      </c>
      <c r="K132" s="113">
        <f t="shared" si="3"/>
        <v>0.34629666969116507</v>
      </c>
      <c r="L132" s="112">
        <v>21.76</v>
      </c>
      <c r="M132" s="113">
        <f t="shared" si="4"/>
        <v>4.5703531942064054E-3</v>
      </c>
      <c r="N132" s="112">
        <v>-2077.88</v>
      </c>
      <c r="O132" s="112">
        <v>500</v>
      </c>
      <c r="P132" s="116">
        <v>0</v>
      </c>
      <c r="Q132" s="100" t="s">
        <v>364</v>
      </c>
      <c r="R132" s="98"/>
      <c r="S132" s="98"/>
      <c r="T132" s="98"/>
      <c r="U132" s="98"/>
    </row>
    <row r="133" spans="2:21" s="4" customFormat="1" ht="15.75" x14ac:dyDescent="0.25">
      <c r="B133" s="95">
        <f t="shared" si="5"/>
        <v>129</v>
      </c>
      <c r="C133" s="95" t="s">
        <v>340</v>
      </c>
      <c r="D133" s="95" t="s">
        <v>74</v>
      </c>
      <c r="E133" s="96" t="s">
        <v>71</v>
      </c>
      <c r="F133" s="96">
        <v>42527</v>
      </c>
      <c r="G133" s="95" t="s">
        <v>232</v>
      </c>
      <c r="H133" s="95" t="s">
        <v>28</v>
      </c>
      <c r="I133" s="112">
        <v>30934.58</v>
      </c>
      <c r="J133" s="112">
        <v>16160.49</v>
      </c>
      <c r="K133" s="113">
        <f t="shared" ref="K133:K196" si="6">IF(J133,(I133-J133)/I133,"")</f>
        <v>0.4775914203457749</v>
      </c>
      <c r="L133" s="112">
        <v>2308.81</v>
      </c>
      <c r="M133" s="113">
        <f t="shared" ref="M133:M196" si="7">IF(J133,L133/I133,"")</f>
        <v>7.4635246381234199E-2</v>
      </c>
      <c r="N133" s="112">
        <v>-72.52</v>
      </c>
      <c r="O133" s="112">
        <v>0</v>
      </c>
      <c r="P133" s="116">
        <v>0</v>
      </c>
      <c r="Q133" s="100"/>
      <c r="R133" s="98"/>
      <c r="S133" s="98"/>
      <c r="T133" s="98"/>
      <c r="U133" s="98"/>
    </row>
    <row r="134" spans="2:21" s="4" customFormat="1" ht="15.75" x14ac:dyDescent="0.25">
      <c r="B134" s="95">
        <f t="shared" si="5"/>
        <v>130</v>
      </c>
      <c r="C134" s="95" t="s">
        <v>73</v>
      </c>
      <c r="D134" s="95" t="s">
        <v>76</v>
      </c>
      <c r="E134" s="96" t="s">
        <v>80</v>
      </c>
      <c r="F134" s="96">
        <v>42528</v>
      </c>
      <c r="G134" s="95" t="s">
        <v>233</v>
      </c>
      <c r="H134" s="115" t="s">
        <v>15</v>
      </c>
      <c r="I134" s="112">
        <v>6997.08</v>
      </c>
      <c r="J134" s="112">
        <v>3691.01</v>
      </c>
      <c r="K134" s="113">
        <f t="shared" si="6"/>
        <v>0.47249281128699394</v>
      </c>
      <c r="L134" s="112">
        <v>753.55</v>
      </c>
      <c r="M134" s="113">
        <f t="shared" si="7"/>
        <v>0.10769492416836737</v>
      </c>
      <c r="N134" s="112">
        <v>256.48</v>
      </c>
      <c r="O134" s="112">
        <v>0</v>
      </c>
      <c r="P134" s="116">
        <v>0</v>
      </c>
      <c r="Q134" s="100" t="s">
        <v>389</v>
      </c>
      <c r="R134" s="98"/>
      <c r="S134" s="98"/>
      <c r="T134" s="98"/>
      <c r="U134" s="98"/>
    </row>
    <row r="135" spans="2:21" s="4" customFormat="1" ht="15.75" x14ac:dyDescent="0.25">
      <c r="B135" s="95">
        <f t="shared" ref="B135:B198" si="8">B134+1</f>
        <v>131</v>
      </c>
      <c r="C135" s="95" t="s">
        <v>234</v>
      </c>
      <c r="D135" s="95" t="s">
        <v>74</v>
      </c>
      <c r="E135" s="96" t="s">
        <v>80</v>
      </c>
      <c r="F135" s="96">
        <v>42528</v>
      </c>
      <c r="G135" s="95" t="s">
        <v>235</v>
      </c>
      <c r="H135" s="95" t="s">
        <v>429</v>
      </c>
      <c r="I135" s="112">
        <v>15020.6</v>
      </c>
      <c r="J135" s="112">
        <v>8099.66</v>
      </c>
      <c r="K135" s="113">
        <f t="shared" si="6"/>
        <v>0.46076321851324181</v>
      </c>
      <c r="L135" s="112">
        <v>1423.62</v>
      </c>
      <c r="M135" s="113">
        <f t="shared" si="7"/>
        <v>9.4777838435215631E-2</v>
      </c>
      <c r="N135" s="112">
        <v>155.47</v>
      </c>
      <c r="O135" s="112">
        <v>0</v>
      </c>
      <c r="P135" s="116">
        <v>0</v>
      </c>
      <c r="Q135" s="100"/>
      <c r="R135" s="98"/>
      <c r="S135" s="98"/>
      <c r="T135" s="98"/>
      <c r="U135" s="98"/>
    </row>
    <row r="136" spans="2:21" s="4" customFormat="1" ht="15.75" x14ac:dyDescent="0.25">
      <c r="B136" s="95">
        <f t="shared" si="8"/>
        <v>132</v>
      </c>
      <c r="C136" s="95" t="s">
        <v>236</v>
      </c>
      <c r="D136" s="95" t="s">
        <v>74</v>
      </c>
      <c r="E136" s="96" t="s">
        <v>71</v>
      </c>
      <c r="F136" s="96">
        <v>42528</v>
      </c>
      <c r="G136" s="95" t="s">
        <v>237</v>
      </c>
      <c r="H136" s="115" t="s">
        <v>17</v>
      </c>
      <c r="I136" s="112">
        <v>8558.14</v>
      </c>
      <c r="J136" s="112">
        <v>5382.74</v>
      </c>
      <c r="K136" s="113">
        <f t="shared" si="6"/>
        <v>0.3710385667913822</v>
      </c>
      <c r="L136" s="112">
        <v>413.01</v>
      </c>
      <c r="M136" s="113">
        <f t="shared" si="7"/>
        <v>4.8259318029384893E-2</v>
      </c>
      <c r="N136" s="112">
        <v>-902.61</v>
      </c>
      <c r="O136" s="112">
        <v>0</v>
      </c>
      <c r="P136" s="116">
        <v>0</v>
      </c>
      <c r="Q136" s="100"/>
      <c r="R136" s="98"/>
      <c r="S136" s="98"/>
      <c r="T136" s="98"/>
      <c r="U136" s="98"/>
    </row>
    <row r="137" spans="2:21" s="4" customFormat="1" ht="15.75" x14ac:dyDescent="0.25">
      <c r="B137" s="95">
        <f t="shared" si="8"/>
        <v>133</v>
      </c>
      <c r="C137" s="95" t="s">
        <v>420</v>
      </c>
      <c r="D137" s="95" t="s">
        <v>70</v>
      </c>
      <c r="E137" s="96" t="s">
        <v>104</v>
      </c>
      <c r="F137" s="96">
        <v>42529</v>
      </c>
      <c r="G137" s="95" t="s">
        <v>238</v>
      </c>
      <c r="H137" s="115" t="s">
        <v>24</v>
      </c>
      <c r="I137" s="112">
        <v>4746.95</v>
      </c>
      <c r="J137" s="112">
        <v>2171.37</v>
      </c>
      <c r="K137" s="113">
        <f t="shared" si="6"/>
        <v>0.54257575917167866</v>
      </c>
      <c r="L137" s="112">
        <v>300</v>
      </c>
      <c r="M137" s="113">
        <f t="shared" si="7"/>
        <v>6.319847481014125E-2</v>
      </c>
      <c r="N137" s="112">
        <v>-327.35000000000002</v>
      </c>
      <c r="O137" s="112">
        <v>0</v>
      </c>
      <c r="P137" s="116">
        <v>0</v>
      </c>
      <c r="Q137" s="100"/>
      <c r="R137" s="98"/>
      <c r="S137" s="98"/>
      <c r="T137" s="98"/>
      <c r="U137" s="98"/>
    </row>
    <row r="138" spans="2:21" s="4" customFormat="1" ht="15.75" x14ac:dyDescent="0.25">
      <c r="B138" s="95">
        <f t="shared" si="8"/>
        <v>134</v>
      </c>
      <c r="C138" s="95" t="s">
        <v>420</v>
      </c>
      <c r="D138" s="95" t="s">
        <v>227</v>
      </c>
      <c r="E138" s="95" t="s">
        <v>424</v>
      </c>
      <c r="F138" s="96">
        <v>42529</v>
      </c>
      <c r="G138" s="95" t="s">
        <v>132</v>
      </c>
      <c r="H138" s="95" t="s">
        <v>27</v>
      </c>
      <c r="I138" s="112">
        <v>12734.97</v>
      </c>
      <c r="J138" s="112">
        <v>10422.129999999999</v>
      </c>
      <c r="K138" s="113">
        <f t="shared" si="6"/>
        <v>0.18161330572431661</v>
      </c>
      <c r="L138" s="112">
        <v>0</v>
      </c>
      <c r="M138" s="113">
        <f t="shared" si="7"/>
        <v>0</v>
      </c>
      <c r="N138" s="112">
        <v>-2473.63</v>
      </c>
      <c r="O138" s="112">
        <v>0</v>
      </c>
      <c r="P138" s="116">
        <v>0</v>
      </c>
      <c r="Q138" s="100" t="s">
        <v>364</v>
      </c>
      <c r="R138" s="98"/>
      <c r="S138" s="98"/>
      <c r="T138" s="98"/>
      <c r="U138" s="98"/>
    </row>
    <row r="139" spans="2:21" s="4" customFormat="1" ht="15.75" x14ac:dyDescent="0.25">
      <c r="B139" s="95">
        <f t="shared" si="8"/>
        <v>135</v>
      </c>
      <c r="C139" s="95" t="s">
        <v>73</v>
      </c>
      <c r="D139" s="95" t="s">
        <v>93</v>
      </c>
      <c r="E139" s="96" t="s">
        <v>104</v>
      </c>
      <c r="F139" s="96">
        <v>42530</v>
      </c>
      <c r="G139" s="95" t="s">
        <v>239</v>
      </c>
      <c r="H139" s="115" t="s">
        <v>17</v>
      </c>
      <c r="I139" s="112">
        <v>3676.73</v>
      </c>
      <c r="J139" s="112">
        <v>1515.53</v>
      </c>
      <c r="K139" s="113">
        <f t="shared" si="6"/>
        <v>0.58780492448452837</v>
      </c>
      <c r="L139" s="112">
        <v>539.87</v>
      </c>
      <c r="M139" s="113">
        <f t="shared" si="7"/>
        <v>0.14683427937324742</v>
      </c>
      <c r="N139" s="112">
        <v>533.73</v>
      </c>
      <c r="O139" s="112">
        <v>0</v>
      </c>
      <c r="P139" s="116">
        <v>0</v>
      </c>
      <c r="Q139" s="100"/>
      <c r="R139" s="98"/>
      <c r="S139" s="98"/>
      <c r="T139" s="98"/>
      <c r="U139" s="98"/>
    </row>
    <row r="140" spans="2:21" s="4" customFormat="1" ht="15.75" x14ac:dyDescent="0.25">
      <c r="B140" s="95">
        <f t="shared" si="8"/>
        <v>136</v>
      </c>
      <c r="C140" s="95" t="s">
        <v>73</v>
      </c>
      <c r="D140" s="95" t="s">
        <v>74</v>
      </c>
      <c r="E140" s="96" t="s">
        <v>109</v>
      </c>
      <c r="F140" s="96">
        <v>42530</v>
      </c>
      <c r="G140" s="95" t="s">
        <v>240</v>
      </c>
      <c r="H140" s="115" t="s">
        <v>24</v>
      </c>
      <c r="I140" s="112">
        <v>5877.55</v>
      </c>
      <c r="J140" s="112">
        <v>2798.71</v>
      </c>
      <c r="K140" s="113">
        <f t="shared" si="6"/>
        <v>0.52383050760946315</v>
      </c>
      <c r="L140" s="112">
        <v>827.72</v>
      </c>
      <c r="M140" s="113">
        <f t="shared" si="7"/>
        <v>0.14082738556030999</v>
      </c>
      <c r="N140" s="112">
        <v>643.65</v>
      </c>
      <c r="O140" s="112">
        <v>0</v>
      </c>
      <c r="P140" s="116">
        <v>0</v>
      </c>
      <c r="Q140" s="100" t="s">
        <v>390</v>
      </c>
      <c r="R140" s="98"/>
      <c r="S140" s="98"/>
      <c r="T140" s="98"/>
      <c r="U140" s="98"/>
    </row>
    <row r="141" spans="2:21" s="4" customFormat="1" ht="15.75" x14ac:dyDescent="0.25">
      <c r="B141" s="95">
        <f t="shared" si="8"/>
        <v>137</v>
      </c>
      <c r="C141" s="95" t="s">
        <v>241</v>
      </c>
      <c r="D141" s="95" t="s">
        <v>70</v>
      </c>
      <c r="E141" s="95" t="s">
        <v>424</v>
      </c>
      <c r="F141" s="96">
        <v>42531</v>
      </c>
      <c r="G141" s="95" t="s">
        <v>242</v>
      </c>
      <c r="H141" s="95" t="s">
        <v>27</v>
      </c>
      <c r="I141" s="112">
        <v>17432.060000000001</v>
      </c>
      <c r="J141" s="112">
        <v>5843.72</v>
      </c>
      <c r="K141" s="113">
        <f t="shared" si="6"/>
        <v>0.66477169078123866</v>
      </c>
      <c r="L141" s="112">
        <v>1924.36</v>
      </c>
      <c r="M141" s="113">
        <f t="shared" si="7"/>
        <v>0.11039200186323359</v>
      </c>
      <c r="N141" s="112">
        <v>114.76</v>
      </c>
      <c r="O141" s="112">
        <v>200</v>
      </c>
      <c r="P141" s="116">
        <v>0</v>
      </c>
      <c r="Q141" s="100"/>
      <c r="R141" s="98"/>
      <c r="S141" s="98"/>
      <c r="T141" s="98"/>
      <c r="U141" s="98"/>
    </row>
    <row r="142" spans="2:21" s="4" customFormat="1" ht="15.75" x14ac:dyDescent="0.25">
      <c r="B142" s="95">
        <f t="shared" si="8"/>
        <v>138</v>
      </c>
      <c r="C142" s="95" t="s">
        <v>243</v>
      </c>
      <c r="D142" s="95" t="s">
        <v>93</v>
      </c>
      <c r="E142" s="96" t="s">
        <v>104</v>
      </c>
      <c r="F142" s="96">
        <v>42531</v>
      </c>
      <c r="G142" s="95" t="s">
        <v>244</v>
      </c>
      <c r="H142" s="115" t="s">
        <v>24</v>
      </c>
      <c r="I142" s="112">
        <v>10150.64</v>
      </c>
      <c r="J142" s="112">
        <v>4766.59</v>
      </c>
      <c r="K142" s="113">
        <f t="shared" si="6"/>
        <v>0.53041483098602649</v>
      </c>
      <c r="L142" s="112">
        <v>976.35</v>
      </c>
      <c r="M142" s="113">
        <f t="shared" si="7"/>
        <v>9.6186053293191368E-2</v>
      </c>
      <c r="N142" s="112">
        <v>-168.45</v>
      </c>
      <c r="O142" s="112">
        <v>100</v>
      </c>
      <c r="P142" s="116">
        <v>0</v>
      </c>
      <c r="Q142" s="100" t="s">
        <v>373</v>
      </c>
      <c r="R142" s="98"/>
      <c r="S142" s="98"/>
      <c r="T142" s="98"/>
      <c r="U142" s="98"/>
    </row>
    <row r="143" spans="2:21" s="4" customFormat="1" ht="15.75" x14ac:dyDescent="0.25">
      <c r="B143" s="95">
        <f t="shared" si="8"/>
        <v>139</v>
      </c>
      <c r="C143" s="95" t="s">
        <v>73</v>
      </c>
      <c r="D143" s="95" t="s">
        <v>70</v>
      </c>
      <c r="E143" s="96" t="s">
        <v>71</v>
      </c>
      <c r="F143" s="96">
        <v>42534</v>
      </c>
      <c r="G143" s="95" t="s">
        <v>245</v>
      </c>
      <c r="H143" s="115" t="s">
        <v>14</v>
      </c>
      <c r="I143" s="112">
        <v>5546.74</v>
      </c>
      <c r="J143" s="112">
        <v>2825.77</v>
      </c>
      <c r="K143" s="113">
        <f t="shared" si="6"/>
        <v>0.49055300951549918</v>
      </c>
      <c r="L143" s="112">
        <v>564.75</v>
      </c>
      <c r="M143" s="113">
        <f t="shared" si="7"/>
        <v>0.10181656252140897</v>
      </c>
      <c r="N143" s="112">
        <v>-166.66</v>
      </c>
      <c r="O143" s="112">
        <v>120</v>
      </c>
      <c r="P143" s="116">
        <v>0</v>
      </c>
      <c r="Q143" s="100" t="s">
        <v>391</v>
      </c>
      <c r="R143" s="98"/>
      <c r="S143" s="98"/>
      <c r="T143" s="98"/>
      <c r="U143" s="98"/>
    </row>
    <row r="144" spans="2:21" s="4" customFormat="1" ht="15.75" x14ac:dyDescent="0.25">
      <c r="B144" s="95">
        <f t="shared" si="8"/>
        <v>140</v>
      </c>
      <c r="C144" s="95" t="s">
        <v>73</v>
      </c>
      <c r="D144" s="95" t="s">
        <v>74</v>
      </c>
      <c r="E144" s="95" t="s">
        <v>424</v>
      </c>
      <c r="F144" s="96">
        <v>42534</v>
      </c>
      <c r="G144" s="95" t="s">
        <v>246</v>
      </c>
      <c r="H144" s="115" t="s">
        <v>24</v>
      </c>
      <c r="I144" s="112">
        <v>22273.119999999999</v>
      </c>
      <c r="J144" s="112">
        <v>11787.31</v>
      </c>
      <c r="K144" s="113">
        <f t="shared" si="6"/>
        <v>0.47078316823148258</v>
      </c>
      <c r="L144" s="112">
        <v>598.52</v>
      </c>
      <c r="M144" s="113">
        <f t="shared" si="7"/>
        <v>2.6871852708556323E-2</v>
      </c>
      <c r="N144" s="112">
        <v>-1101.98</v>
      </c>
      <c r="O144" s="112">
        <v>100</v>
      </c>
      <c r="P144" s="116">
        <v>0</v>
      </c>
      <c r="Q144" s="100"/>
      <c r="R144" s="98"/>
      <c r="S144" s="98"/>
      <c r="T144" s="98"/>
      <c r="U144" s="98"/>
    </row>
    <row r="145" spans="2:21" s="4" customFormat="1" ht="15.75" x14ac:dyDescent="0.25">
      <c r="B145" s="95">
        <f t="shared" si="8"/>
        <v>141</v>
      </c>
      <c r="C145" s="95" t="s">
        <v>417</v>
      </c>
      <c r="D145" s="95" t="s">
        <v>70</v>
      </c>
      <c r="E145" s="95" t="s">
        <v>424</v>
      </c>
      <c r="F145" s="96">
        <v>42535</v>
      </c>
      <c r="G145" s="95" t="s">
        <v>142</v>
      </c>
      <c r="H145" s="115" t="s">
        <v>14</v>
      </c>
      <c r="I145" s="112">
        <v>13041.35</v>
      </c>
      <c r="J145" s="112">
        <v>6261.14</v>
      </c>
      <c r="K145" s="113">
        <f t="shared" si="6"/>
        <v>0.51990093050182684</v>
      </c>
      <c r="L145" s="112">
        <v>1720.8</v>
      </c>
      <c r="M145" s="113">
        <f t="shared" si="7"/>
        <v>0.13194952976493998</v>
      </c>
      <c r="N145" s="112">
        <v>1079.67</v>
      </c>
      <c r="O145" s="112">
        <v>170</v>
      </c>
      <c r="P145" s="116">
        <v>0</v>
      </c>
      <c r="Q145" s="100" t="s">
        <v>392</v>
      </c>
      <c r="R145" s="98"/>
      <c r="S145" s="98"/>
      <c r="T145" s="98"/>
      <c r="U145" s="98"/>
    </row>
    <row r="146" spans="2:21" s="4" customFormat="1" ht="15.75" x14ac:dyDescent="0.25">
      <c r="B146" s="95">
        <f t="shared" si="8"/>
        <v>142</v>
      </c>
      <c r="C146" s="95" t="s">
        <v>417</v>
      </c>
      <c r="D146" s="95" t="s">
        <v>74</v>
      </c>
      <c r="E146" s="96" t="s">
        <v>71</v>
      </c>
      <c r="F146" s="96">
        <v>42536</v>
      </c>
      <c r="G146" s="95" t="s">
        <v>94</v>
      </c>
      <c r="H146" s="115" t="s">
        <v>14</v>
      </c>
      <c r="I146" s="112">
        <v>11871.33</v>
      </c>
      <c r="J146" s="112">
        <v>5987.07</v>
      </c>
      <c r="K146" s="113">
        <f t="shared" si="6"/>
        <v>0.49566981964110174</v>
      </c>
      <c r="L146" s="112">
        <v>1096.52</v>
      </c>
      <c r="M146" s="113">
        <f t="shared" si="7"/>
        <v>9.2367072602648564E-2</v>
      </c>
      <c r="N146" s="112">
        <v>-327.78</v>
      </c>
      <c r="O146" s="112">
        <v>100</v>
      </c>
      <c r="P146" s="116">
        <v>0</v>
      </c>
      <c r="Q146" s="100" t="s">
        <v>393</v>
      </c>
      <c r="R146" s="98"/>
      <c r="S146" s="98"/>
      <c r="T146" s="98"/>
      <c r="U146" s="98"/>
    </row>
    <row r="147" spans="2:21" s="4" customFormat="1" ht="15.75" x14ac:dyDescent="0.25">
      <c r="B147" s="95">
        <f t="shared" si="8"/>
        <v>143</v>
      </c>
      <c r="C147" s="95" t="s">
        <v>73</v>
      </c>
      <c r="D147" s="95" t="s">
        <v>227</v>
      </c>
      <c r="E147" s="96" t="s">
        <v>71</v>
      </c>
      <c r="F147" s="96">
        <v>42537</v>
      </c>
      <c r="G147" s="95" t="s">
        <v>247</v>
      </c>
      <c r="H147" s="115" t="s">
        <v>24</v>
      </c>
      <c r="I147" s="112">
        <v>5545.42</v>
      </c>
      <c r="J147" s="112">
        <v>2521.08</v>
      </c>
      <c r="K147" s="113">
        <f t="shared" si="6"/>
        <v>0.54537618431065638</v>
      </c>
      <c r="L147" s="112">
        <v>725.21</v>
      </c>
      <c r="M147" s="113">
        <f t="shared" si="7"/>
        <v>0.13077638844307554</v>
      </c>
      <c r="N147" s="112">
        <v>673.42</v>
      </c>
      <c r="O147" s="112">
        <v>0</v>
      </c>
      <c r="P147" s="116">
        <v>0</v>
      </c>
      <c r="Q147" s="100"/>
      <c r="R147" s="98"/>
      <c r="S147" s="98"/>
      <c r="T147" s="98"/>
      <c r="U147" s="98"/>
    </row>
    <row r="148" spans="2:21" s="4" customFormat="1" ht="15.75" x14ac:dyDescent="0.25">
      <c r="B148" s="95">
        <f t="shared" si="8"/>
        <v>144</v>
      </c>
      <c r="C148" s="95" t="s">
        <v>73</v>
      </c>
      <c r="D148" s="95" t="s">
        <v>74</v>
      </c>
      <c r="E148" s="95" t="s">
        <v>424</v>
      </c>
      <c r="F148" s="96">
        <v>42537</v>
      </c>
      <c r="G148" s="95" t="s">
        <v>248</v>
      </c>
      <c r="H148" s="115" t="s">
        <v>24</v>
      </c>
      <c r="I148" s="112">
        <v>5131.2</v>
      </c>
      <c r="J148" s="112">
        <v>2058.31</v>
      </c>
      <c r="K148" s="113">
        <f t="shared" si="6"/>
        <v>0.59886381353289675</v>
      </c>
      <c r="L148" s="112">
        <v>573.41999999999996</v>
      </c>
      <c r="M148" s="113">
        <f t="shared" si="7"/>
        <v>0.11175163704396632</v>
      </c>
      <c r="N148" s="112">
        <v>129</v>
      </c>
      <c r="O148" s="112">
        <v>50</v>
      </c>
      <c r="P148" s="116">
        <v>0</v>
      </c>
      <c r="Q148" s="100"/>
    </row>
    <row r="149" spans="2:21" s="4" customFormat="1" ht="15.75" x14ac:dyDescent="0.25">
      <c r="B149" s="95">
        <f t="shared" si="8"/>
        <v>145</v>
      </c>
      <c r="C149" s="95" t="s">
        <v>425</v>
      </c>
      <c r="D149" s="95" t="s">
        <v>227</v>
      </c>
      <c r="E149" s="96" t="s">
        <v>80</v>
      </c>
      <c r="F149" s="96">
        <v>42537</v>
      </c>
      <c r="G149" s="95" t="s">
        <v>249</v>
      </c>
      <c r="H149" s="95" t="s">
        <v>429</v>
      </c>
      <c r="I149" s="112">
        <v>20699.04</v>
      </c>
      <c r="J149" s="112">
        <v>7285.83</v>
      </c>
      <c r="K149" s="113">
        <f t="shared" si="6"/>
        <v>0.648011212114185</v>
      </c>
      <c r="L149" s="112">
        <v>2079.2600000000002</v>
      </c>
      <c r="M149" s="113">
        <f t="shared" si="7"/>
        <v>0.10045200163872335</v>
      </c>
      <c r="N149" s="112">
        <v>67.14</v>
      </c>
      <c r="O149" s="112">
        <v>0</v>
      </c>
      <c r="P149" s="116">
        <v>0</v>
      </c>
      <c r="Q149" s="100"/>
    </row>
    <row r="150" spans="2:21" s="4" customFormat="1" ht="15.75" x14ac:dyDescent="0.25">
      <c r="B150" s="95">
        <f t="shared" si="8"/>
        <v>146</v>
      </c>
      <c r="C150" s="95" t="s">
        <v>241</v>
      </c>
      <c r="D150" s="95" t="s">
        <v>76</v>
      </c>
      <c r="E150" s="96" t="s">
        <v>71</v>
      </c>
      <c r="F150" s="96">
        <v>42538</v>
      </c>
      <c r="G150" s="95" t="s">
        <v>131</v>
      </c>
      <c r="H150" s="115" t="s">
        <v>17</v>
      </c>
      <c r="I150" s="112">
        <v>10467.01</v>
      </c>
      <c r="J150" s="112">
        <v>4923.91</v>
      </c>
      <c r="K150" s="113">
        <f t="shared" si="6"/>
        <v>0.52957816988805784</v>
      </c>
      <c r="L150" s="112">
        <v>1021.49</v>
      </c>
      <c r="M150" s="113">
        <f t="shared" si="7"/>
        <v>9.7591384741201159E-2</v>
      </c>
      <c r="N150" s="112">
        <v>261.70999999999998</v>
      </c>
      <c r="O150" s="112">
        <v>50</v>
      </c>
      <c r="P150" s="116">
        <v>0</v>
      </c>
      <c r="Q150" s="100"/>
    </row>
    <row r="151" spans="2:21" s="4" customFormat="1" ht="15.75" x14ac:dyDescent="0.25">
      <c r="B151" s="95">
        <f t="shared" si="8"/>
        <v>147</v>
      </c>
      <c r="C151" s="95" t="s">
        <v>107</v>
      </c>
      <c r="D151" s="95" t="s">
        <v>93</v>
      </c>
      <c r="E151" s="96" t="s">
        <v>72</v>
      </c>
      <c r="F151" s="96">
        <v>42539</v>
      </c>
      <c r="G151" s="95" t="s">
        <v>250</v>
      </c>
      <c r="H151" s="115" t="s">
        <v>18</v>
      </c>
      <c r="I151" s="112">
        <v>10635.29</v>
      </c>
      <c r="J151" s="112">
        <v>5095</v>
      </c>
      <c r="K151" s="113">
        <f t="shared" si="6"/>
        <v>0.52093454903439407</v>
      </c>
      <c r="L151" s="112">
        <v>979.75</v>
      </c>
      <c r="M151" s="113">
        <f t="shared" si="7"/>
        <v>9.2122546728862109E-2</v>
      </c>
      <c r="N151" s="112">
        <v>-148.21</v>
      </c>
      <c r="O151" s="112">
        <v>0</v>
      </c>
      <c r="P151" s="116">
        <v>0</v>
      </c>
      <c r="Q151" s="100"/>
    </row>
    <row r="152" spans="2:21" s="4" customFormat="1" ht="15.75" x14ac:dyDescent="0.25">
      <c r="B152" s="95">
        <f t="shared" si="8"/>
        <v>148</v>
      </c>
      <c r="C152" s="95" t="s">
        <v>73</v>
      </c>
      <c r="D152" s="95" t="s">
        <v>74</v>
      </c>
      <c r="E152" s="96" t="s">
        <v>251</v>
      </c>
      <c r="F152" s="96">
        <v>42541</v>
      </c>
      <c r="G152" s="95" t="s">
        <v>252</v>
      </c>
      <c r="H152" s="95" t="s">
        <v>22</v>
      </c>
      <c r="I152" s="112">
        <v>8303.2099999999991</v>
      </c>
      <c r="J152" s="112">
        <v>3772.09</v>
      </c>
      <c r="K152" s="113">
        <f t="shared" si="6"/>
        <v>0.54570702174219365</v>
      </c>
      <c r="L152" s="112">
        <v>860.34</v>
      </c>
      <c r="M152" s="113">
        <f t="shared" si="7"/>
        <v>0.10361534876270745</v>
      </c>
      <c r="N152" s="112">
        <v>293.81</v>
      </c>
      <c r="O152" s="112">
        <v>0</v>
      </c>
      <c r="P152" s="116">
        <v>0</v>
      </c>
      <c r="Q152" s="100"/>
    </row>
    <row r="153" spans="2:21" s="4" customFormat="1" ht="15.75" x14ac:dyDescent="0.25">
      <c r="B153" s="95">
        <f t="shared" si="8"/>
        <v>149</v>
      </c>
      <c r="C153" s="95" t="s">
        <v>420</v>
      </c>
      <c r="D153" s="95" t="s">
        <v>93</v>
      </c>
      <c r="E153" s="96" t="s">
        <v>72</v>
      </c>
      <c r="F153" s="96">
        <v>42541</v>
      </c>
      <c r="G153" s="95" t="s">
        <v>253</v>
      </c>
      <c r="H153" s="115" t="s">
        <v>13</v>
      </c>
      <c r="I153" s="112">
        <v>2374.4</v>
      </c>
      <c r="J153" s="112">
        <v>700.01</v>
      </c>
      <c r="K153" s="113">
        <f t="shared" si="6"/>
        <v>0.70518446765498655</v>
      </c>
      <c r="L153" s="112">
        <v>487.13</v>
      </c>
      <c r="M153" s="113">
        <f t="shared" si="7"/>
        <v>0.20515919811320754</v>
      </c>
      <c r="N153" s="112">
        <v>685.48</v>
      </c>
      <c r="O153" s="112">
        <v>0</v>
      </c>
      <c r="P153" s="116">
        <v>0</v>
      </c>
      <c r="Q153" s="100"/>
    </row>
    <row r="154" spans="2:21" s="4" customFormat="1" ht="15.75" x14ac:dyDescent="0.25">
      <c r="B154" s="95">
        <f t="shared" si="8"/>
        <v>150</v>
      </c>
      <c r="C154" s="95" t="s">
        <v>73</v>
      </c>
      <c r="D154" s="95" t="s">
        <v>93</v>
      </c>
      <c r="E154" s="96" t="s">
        <v>72</v>
      </c>
      <c r="F154" s="96">
        <v>42543</v>
      </c>
      <c r="G154" s="95" t="s">
        <v>254</v>
      </c>
      <c r="H154" s="115" t="s">
        <v>18</v>
      </c>
      <c r="I154" s="112">
        <v>11568.51</v>
      </c>
      <c r="J154" s="112">
        <v>6233.44</v>
      </c>
      <c r="K154" s="113">
        <f t="shared" si="6"/>
        <v>0.46117174986234188</v>
      </c>
      <c r="L154" s="112">
        <v>805.44</v>
      </c>
      <c r="M154" s="113">
        <f t="shared" si="7"/>
        <v>6.9623486516413952E-2</v>
      </c>
      <c r="N154" s="112">
        <v>-817.29</v>
      </c>
      <c r="O154" s="112">
        <v>0</v>
      </c>
      <c r="P154" s="116">
        <v>0</v>
      </c>
      <c r="Q154" s="100"/>
    </row>
    <row r="155" spans="2:21" s="4" customFormat="1" ht="15.75" x14ac:dyDescent="0.25">
      <c r="B155" s="95">
        <f t="shared" si="8"/>
        <v>151</v>
      </c>
      <c r="C155" s="95" t="s">
        <v>73</v>
      </c>
      <c r="D155" s="95" t="s">
        <v>93</v>
      </c>
      <c r="E155" s="96" t="s">
        <v>255</v>
      </c>
      <c r="F155" s="96">
        <v>42543</v>
      </c>
      <c r="G155" s="95" t="s">
        <v>256</v>
      </c>
      <c r="H155" s="115" t="s">
        <v>15</v>
      </c>
      <c r="I155" s="112">
        <v>8091.43</v>
      </c>
      <c r="J155" s="112">
        <v>4758.1499999999996</v>
      </c>
      <c r="K155" s="113">
        <f t="shared" si="6"/>
        <v>0.41195190466950843</v>
      </c>
      <c r="L155" s="112">
        <v>374.5</v>
      </c>
      <c r="M155" s="113">
        <f t="shared" si="7"/>
        <v>4.6283537026211678E-2</v>
      </c>
      <c r="N155" s="112">
        <v>-1042.8699999999999</v>
      </c>
      <c r="O155" s="112">
        <v>0</v>
      </c>
      <c r="P155" s="116">
        <v>0</v>
      </c>
      <c r="Q155" s="100"/>
    </row>
    <row r="156" spans="2:21" s="4" customFormat="1" ht="15.75" x14ac:dyDescent="0.25">
      <c r="B156" s="95">
        <f t="shared" si="8"/>
        <v>152</v>
      </c>
      <c r="C156" s="95" t="s">
        <v>73</v>
      </c>
      <c r="D156" s="95" t="s">
        <v>227</v>
      </c>
      <c r="E156" s="96" t="s">
        <v>71</v>
      </c>
      <c r="F156" s="96">
        <v>42543</v>
      </c>
      <c r="G156" s="95" t="s">
        <v>257</v>
      </c>
      <c r="H156" s="115" t="s">
        <v>17</v>
      </c>
      <c r="I156" s="112">
        <v>3759.07</v>
      </c>
      <c r="J156" s="112">
        <v>1703.86</v>
      </c>
      <c r="K156" s="113">
        <f t="shared" si="6"/>
        <v>0.54673363358490268</v>
      </c>
      <c r="L156" s="112">
        <v>161.38999999999999</v>
      </c>
      <c r="M156" s="113">
        <f t="shared" si="7"/>
        <v>4.2933491528489756E-2</v>
      </c>
      <c r="N156" s="112">
        <v>-448.8</v>
      </c>
      <c r="O156" s="112">
        <v>0</v>
      </c>
      <c r="P156" s="116">
        <v>0</v>
      </c>
      <c r="Q156" s="100"/>
    </row>
    <row r="157" spans="2:21" s="4" customFormat="1" ht="15.75" x14ac:dyDescent="0.25">
      <c r="B157" s="95">
        <f t="shared" si="8"/>
        <v>153</v>
      </c>
      <c r="C157" s="95" t="s">
        <v>420</v>
      </c>
      <c r="D157" s="95" t="s">
        <v>74</v>
      </c>
      <c r="E157" s="96" t="s">
        <v>71</v>
      </c>
      <c r="F157" s="96">
        <v>42544</v>
      </c>
      <c r="G157" s="95" t="s">
        <v>258</v>
      </c>
      <c r="H157" s="115" t="s">
        <v>28</v>
      </c>
      <c r="I157" s="112">
        <v>16567.77</v>
      </c>
      <c r="J157" s="112">
        <v>7168.41</v>
      </c>
      <c r="K157" s="113">
        <f t="shared" si="6"/>
        <v>0.5673280109513833</v>
      </c>
      <c r="L157" s="112">
        <v>1402.37</v>
      </c>
      <c r="M157" s="113">
        <f t="shared" si="7"/>
        <v>8.4644463316427013E-2</v>
      </c>
      <c r="N157" s="112">
        <v>-238.53</v>
      </c>
      <c r="O157" s="112">
        <v>100</v>
      </c>
      <c r="P157" s="116">
        <v>0</v>
      </c>
      <c r="Q157" s="100"/>
    </row>
    <row r="158" spans="2:21" s="4" customFormat="1" ht="15.75" x14ac:dyDescent="0.25">
      <c r="B158" s="95">
        <f t="shared" si="8"/>
        <v>154</v>
      </c>
      <c r="C158" s="95" t="s">
        <v>340</v>
      </c>
      <c r="D158" s="95" t="s">
        <v>74</v>
      </c>
      <c r="E158" s="96" t="s">
        <v>72</v>
      </c>
      <c r="F158" s="96">
        <v>42546</v>
      </c>
      <c r="G158" s="95" t="s">
        <v>259</v>
      </c>
      <c r="H158" s="115" t="s">
        <v>13</v>
      </c>
      <c r="I158" s="112">
        <v>4663.55</v>
      </c>
      <c r="J158" s="112">
        <v>1754.26</v>
      </c>
      <c r="K158" s="113">
        <f t="shared" si="6"/>
        <v>0.62383591898875312</v>
      </c>
      <c r="L158" s="112">
        <v>749.7</v>
      </c>
      <c r="M158" s="113">
        <f t="shared" si="7"/>
        <v>0.16075736295311513</v>
      </c>
      <c r="N158" s="112">
        <v>749.7</v>
      </c>
      <c r="O158" s="112">
        <v>0</v>
      </c>
      <c r="P158" s="116">
        <v>0</v>
      </c>
      <c r="Q158" s="100"/>
    </row>
    <row r="159" spans="2:21" s="4" customFormat="1" ht="15.75" x14ac:dyDescent="0.25">
      <c r="B159" s="95">
        <f t="shared" si="8"/>
        <v>155</v>
      </c>
      <c r="C159" s="95" t="s">
        <v>73</v>
      </c>
      <c r="D159" s="95" t="s">
        <v>76</v>
      </c>
      <c r="E159" s="96" t="s">
        <v>255</v>
      </c>
      <c r="F159" s="96">
        <v>42549</v>
      </c>
      <c r="G159" s="95" t="s">
        <v>260</v>
      </c>
      <c r="H159" s="115" t="s">
        <v>15</v>
      </c>
      <c r="I159" s="112">
        <v>6329.28</v>
      </c>
      <c r="J159" s="112">
        <v>2502.79</v>
      </c>
      <c r="K159" s="113">
        <f t="shared" si="6"/>
        <v>0.60456955609484808</v>
      </c>
      <c r="L159" s="112">
        <v>816.86</v>
      </c>
      <c r="M159" s="113">
        <f t="shared" si="7"/>
        <v>0.1290604934526518</v>
      </c>
      <c r="N159" s="112">
        <v>378.58</v>
      </c>
      <c r="O159" s="112">
        <v>50</v>
      </c>
      <c r="P159" s="116">
        <v>0</v>
      </c>
      <c r="Q159" s="100"/>
    </row>
    <row r="160" spans="2:21" s="4" customFormat="1" ht="15.75" x14ac:dyDescent="0.25">
      <c r="B160" s="95">
        <f t="shared" si="8"/>
        <v>156</v>
      </c>
      <c r="C160" s="95" t="s">
        <v>420</v>
      </c>
      <c r="D160" s="95" t="s">
        <v>227</v>
      </c>
      <c r="E160" s="96" t="s">
        <v>109</v>
      </c>
      <c r="F160" s="96">
        <v>42549</v>
      </c>
      <c r="G160" s="95" t="s">
        <v>261</v>
      </c>
      <c r="H160" s="115" t="s">
        <v>22</v>
      </c>
      <c r="I160" s="112">
        <v>4802.79</v>
      </c>
      <c r="J160" s="112">
        <v>2337.44</v>
      </c>
      <c r="K160" s="113">
        <f t="shared" si="6"/>
        <v>0.51331621828145724</v>
      </c>
      <c r="L160" s="112">
        <v>434.4</v>
      </c>
      <c r="M160" s="113">
        <f t="shared" si="7"/>
        <v>9.0447427432804678E-2</v>
      </c>
      <c r="N160" s="112">
        <v>49.79</v>
      </c>
      <c r="O160" s="112">
        <v>0</v>
      </c>
      <c r="P160" s="116">
        <v>0</v>
      </c>
      <c r="Q160" s="100"/>
    </row>
    <row r="161" spans="2:17" s="4" customFormat="1" ht="15.75" x14ac:dyDescent="0.25">
      <c r="B161" s="95">
        <f t="shared" si="8"/>
        <v>157</v>
      </c>
      <c r="C161" s="95" t="s">
        <v>73</v>
      </c>
      <c r="D161" s="95" t="s">
        <v>93</v>
      </c>
      <c r="E161" s="96" t="s">
        <v>80</v>
      </c>
      <c r="F161" s="96">
        <v>42550</v>
      </c>
      <c r="G161" s="95" t="s">
        <v>231</v>
      </c>
      <c r="H161" s="115" t="s">
        <v>15</v>
      </c>
      <c r="I161" s="112">
        <v>10821.65</v>
      </c>
      <c r="J161" s="112">
        <v>4502.47</v>
      </c>
      <c r="K161" s="113">
        <f t="shared" si="6"/>
        <v>0.58393867848248648</v>
      </c>
      <c r="L161" s="112">
        <v>1208.5999999999999</v>
      </c>
      <c r="M161" s="113">
        <f t="shared" si="7"/>
        <v>0.11168352330744387</v>
      </c>
      <c r="N161" s="112">
        <v>234.85</v>
      </c>
      <c r="O161" s="112">
        <v>50</v>
      </c>
      <c r="P161" s="116">
        <v>0</v>
      </c>
      <c r="Q161" s="100"/>
    </row>
    <row r="162" spans="2:17" s="4" customFormat="1" ht="15.75" x14ac:dyDescent="0.25">
      <c r="B162" s="95">
        <f t="shared" si="8"/>
        <v>158</v>
      </c>
      <c r="C162" s="95" t="s">
        <v>73</v>
      </c>
      <c r="D162" s="95" t="s">
        <v>76</v>
      </c>
      <c r="E162" s="96" t="s">
        <v>255</v>
      </c>
      <c r="F162" s="96">
        <v>42550</v>
      </c>
      <c r="G162" s="95" t="s">
        <v>262</v>
      </c>
      <c r="H162" s="115" t="s">
        <v>15</v>
      </c>
      <c r="I162" s="112">
        <v>9794.89</v>
      </c>
      <c r="J162" s="112">
        <v>3921.29</v>
      </c>
      <c r="K162" s="113">
        <f t="shared" si="6"/>
        <v>0.59965961843369342</v>
      </c>
      <c r="L162" s="112">
        <v>1227.75</v>
      </c>
      <c r="M162" s="113">
        <f t="shared" si="7"/>
        <v>0.12534597121560326</v>
      </c>
      <c r="N162" s="112">
        <v>589.39</v>
      </c>
      <c r="O162" s="112">
        <v>50</v>
      </c>
      <c r="P162" s="116">
        <v>0</v>
      </c>
      <c r="Q162" s="100"/>
    </row>
    <row r="163" spans="2:17" s="4" customFormat="1" ht="15.75" x14ac:dyDescent="0.25">
      <c r="B163" s="95">
        <f t="shared" si="8"/>
        <v>159</v>
      </c>
      <c r="C163" s="95" t="s">
        <v>263</v>
      </c>
      <c r="D163" s="95" t="s">
        <v>70</v>
      </c>
      <c r="E163" s="96" t="s">
        <v>109</v>
      </c>
      <c r="F163" s="96">
        <v>42550</v>
      </c>
      <c r="G163" s="95" t="s">
        <v>264</v>
      </c>
      <c r="H163" s="95" t="s">
        <v>27</v>
      </c>
      <c r="I163" s="112">
        <v>27618</v>
      </c>
      <c r="J163" s="112">
        <v>9868.35</v>
      </c>
      <c r="K163" s="113">
        <f t="shared" si="6"/>
        <v>0.64268411905279166</v>
      </c>
      <c r="L163" s="112">
        <v>3549.83</v>
      </c>
      <c r="M163" s="113">
        <f t="shared" si="7"/>
        <v>0.12853320298356144</v>
      </c>
      <c r="N163" s="112">
        <v>1969.83</v>
      </c>
      <c r="O163" s="112">
        <v>100</v>
      </c>
      <c r="P163" s="116">
        <v>0</v>
      </c>
      <c r="Q163" s="100"/>
    </row>
    <row r="164" spans="2:17" s="4" customFormat="1" ht="15.75" x14ac:dyDescent="0.25">
      <c r="B164" s="95">
        <f t="shared" si="8"/>
        <v>160</v>
      </c>
      <c r="C164" s="95" t="s">
        <v>420</v>
      </c>
      <c r="D164" s="95" t="s">
        <v>93</v>
      </c>
      <c r="E164" s="96" t="s">
        <v>109</v>
      </c>
      <c r="F164" s="96">
        <v>42551</v>
      </c>
      <c r="G164" s="95" t="s">
        <v>265</v>
      </c>
      <c r="H164" s="115" t="s">
        <v>17</v>
      </c>
      <c r="I164" s="112">
        <v>7280.51</v>
      </c>
      <c r="J164" s="112">
        <v>3038.06</v>
      </c>
      <c r="K164" s="113">
        <f t="shared" si="6"/>
        <v>0.58271329893098156</v>
      </c>
      <c r="L164" s="112">
        <v>859.98</v>
      </c>
      <c r="M164" s="113">
        <f t="shared" si="7"/>
        <v>0.11812084592974943</v>
      </c>
      <c r="N164" s="112">
        <v>419.31</v>
      </c>
      <c r="O164" s="112">
        <v>50</v>
      </c>
      <c r="P164" s="116">
        <v>0</v>
      </c>
      <c r="Q164" s="100"/>
    </row>
    <row r="165" spans="2:17" s="4" customFormat="1" ht="15.75" x14ac:dyDescent="0.25">
      <c r="B165" s="95">
        <f t="shared" si="8"/>
        <v>161</v>
      </c>
      <c r="C165" s="95" t="s">
        <v>73</v>
      </c>
      <c r="D165" s="95" t="s">
        <v>70</v>
      </c>
      <c r="E165" s="95" t="s">
        <v>424</v>
      </c>
      <c r="F165" s="96">
        <v>42553</v>
      </c>
      <c r="G165" s="95" t="s">
        <v>266</v>
      </c>
      <c r="H165" s="115" t="s">
        <v>28</v>
      </c>
      <c r="I165" s="112">
        <v>19988.349999999999</v>
      </c>
      <c r="J165" s="112">
        <v>9065.32</v>
      </c>
      <c r="K165" s="113">
        <f t="shared" si="6"/>
        <v>0.54646981866937494</v>
      </c>
      <c r="L165" s="112">
        <v>1981.98</v>
      </c>
      <c r="M165" s="113">
        <f t="shared" si="7"/>
        <v>9.9156758812008E-2</v>
      </c>
      <c r="N165" s="112">
        <v>808.35</v>
      </c>
      <c r="O165" s="112">
        <v>0</v>
      </c>
      <c r="P165" s="116">
        <v>0</v>
      </c>
      <c r="Q165" s="100"/>
    </row>
    <row r="166" spans="2:17" s="4" customFormat="1" ht="15.75" x14ac:dyDescent="0.25">
      <c r="B166" s="95">
        <f t="shared" si="8"/>
        <v>162</v>
      </c>
      <c r="C166" s="95" t="s">
        <v>73</v>
      </c>
      <c r="D166" s="95" t="s">
        <v>76</v>
      </c>
      <c r="E166" s="96" t="s">
        <v>251</v>
      </c>
      <c r="F166" s="96">
        <v>42556</v>
      </c>
      <c r="G166" s="95" t="s">
        <v>267</v>
      </c>
      <c r="H166" s="95" t="s">
        <v>22</v>
      </c>
      <c r="I166" s="112">
        <v>6573.33</v>
      </c>
      <c r="J166" s="112">
        <v>4629.54</v>
      </c>
      <c r="K166" s="113">
        <f t="shared" si="6"/>
        <v>0.29570856780353338</v>
      </c>
      <c r="L166" s="112">
        <v>353.86</v>
      </c>
      <c r="M166" s="113">
        <f t="shared" si="7"/>
        <v>5.3832684499332914E-2</v>
      </c>
      <c r="N166" s="112">
        <v>139.33000000000001</v>
      </c>
      <c r="O166" s="112">
        <v>0</v>
      </c>
      <c r="P166" s="116">
        <v>0</v>
      </c>
      <c r="Q166" s="100" t="s">
        <v>394</v>
      </c>
    </row>
    <row r="167" spans="2:17" s="4" customFormat="1" ht="15.75" x14ac:dyDescent="0.25">
      <c r="B167" s="95">
        <f t="shared" si="8"/>
        <v>163</v>
      </c>
      <c r="C167" s="95" t="s">
        <v>420</v>
      </c>
      <c r="D167" s="95" t="s">
        <v>74</v>
      </c>
      <c r="E167" s="96" t="s">
        <v>109</v>
      </c>
      <c r="F167" s="96">
        <v>42557</v>
      </c>
      <c r="G167" s="95" t="s">
        <v>268</v>
      </c>
      <c r="H167" s="115" t="s">
        <v>24</v>
      </c>
      <c r="I167" s="112">
        <v>4974.33</v>
      </c>
      <c r="J167" s="112">
        <v>2696.62</v>
      </c>
      <c r="K167" s="113">
        <f t="shared" si="6"/>
        <v>0.45789282174684831</v>
      </c>
      <c r="L167" s="112">
        <v>311.57</v>
      </c>
      <c r="M167" s="113">
        <f t="shared" si="7"/>
        <v>6.2635571021625022E-2</v>
      </c>
      <c r="N167" s="112">
        <v>-65.67</v>
      </c>
      <c r="O167" s="112">
        <v>0</v>
      </c>
      <c r="P167" s="116">
        <v>0</v>
      </c>
      <c r="Q167" s="100" t="s">
        <v>395</v>
      </c>
    </row>
    <row r="168" spans="2:17" s="4" customFormat="1" ht="15.75" x14ac:dyDescent="0.25">
      <c r="B168" s="95">
        <f t="shared" si="8"/>
        <v>164</v>
      </c>
      <c r="C168" s="95" t="s">
        <v>73</v>
      </c>
      <c r="D168" s="95" t="s">
        <v>76</v>
      </c>
      <c r="E168" s="96" t="s">
        <v>80</v>
      </c>
      <c r="F168" s="96">
        <v>42558</v>
      </c>
      <c r="G168" s="95" t="s">
        <v>142</v>
      </c>
      <c r="H168" s="95" t="s">
        <v>429</v>
      </c>
      <c r="I168" s="112">
        <v>14074.43</v>
      </c>
      <c r="J168" s="112">
        <v>7402.45</v>
      </c>
      <c r="K168" s="113">
        <f t="shared" si="6"/>
        <v>0.4740497483734688</v>
      </c>
      <c r="L168" s="112">
        <v>1179.2</v>
      </c>
      <c r="M168" s="113">
        <f t="shared" si="7"/>
        <v>8.3783144326271125E-2</v>
      </c>
      <c r="N168" s="112">
        <v>-526.87</v>
      </c>
      <c r="O168" s="112">
        <v>0</v>
      </c>
      <c r="P168" s="116">
        <v>0</v>
      </c>
      <c r="Q168" s="100"/>
    </row>
    <row r="169" spans="2:17" s="4" customFormat="1" ht="15.75" x14ac:dyDescent="0.25">
      <c r="B169" s="95">
        <f t="shared" si="8"/>
        <v>165</v>
      </c>
      <c r="C169" s="95" t="s">
        <v>420</v>
      </c>
      <c r="D169" s="95" t="s">
        <v>76</v>
      </c>
      <c r="E169" s="96" t="s">
        <v>95</v>
      </c>
      <c r="F169" s="96">
        <v>42565</v>
      </c>
      <c r="G169" s="95" t="s">
        <v>176</v>
      </c>
      <c r="H169" s="115" t="s">
        <v>18</v>
      </c>
      <c r="I169" s="112">
        <v>5486.87</v>
      </c>
      <c r="J169" s="112">
        <v>2766.18</v>
      </c>
      <c r="K169" s="113">
        <f t="shared" si="6"/>
        <v>0.49585464937204637</v>
      </c>
      <c r="L169" s="112">
        <v>464.38</v>
      </c>
      <c r="M169" s="113">
        <f t="shared" si="7"/>
        <v>8.4634773559424586E-2</v>
      </c>
      <c r="N169" s="112">
        <v>-149.53</v>
      </c>
      <c r="O169" s="112">
        <v>0</v>
      </c>
      <c r="P169" s="116">
        <v>0</v>
      </c>
      <c r="Q169" s="100"/>
    </row>
    <row r="170" spans="2:17" s="4" customFormat="1" ht="15.75" x14ac:dyDescent="0.25">
      <c r="B170" s="95">
        <f t="shared" si="8"/>
        <v>166</v>
      </c>
      <c r="C170" s="95" t="s">
        <v>420</v>
      </c>
      <c r="D170" s="95" t="s">
        <v>74</v>
      </c>
      <c r="E170" s="96" t="s">
        <v>72</v>
      </c>
      <c r="F170" s="96">
        <v>42570</v>
      </c>
      <c r="G170" s="95" t="s">
        <v>269</v>
      </c>
      <c r="H170" s="115" t="s">
        <v>18</v>
      </c>
      <c r="I170" s="112">
        <v>4653.87</v>
      </c>
      <c r="J170" s="112">
        <v>2283.42</v>
      </c>
      <c r="K170" s="113">
        <f t="shared" si="6"/>
        <v>0.50935028266797311</v>
      </c>
      <c r="L170" s="112">
        <v>453.95</v>
      </c>
      <c r="M170" s="113">
        <f t="shared" si="7"/>
        <v>9.7542475402192158E-2</v>
      </c>
      <c r="N170" s="112">
        <v>-162.33000000000001</v>
      </c>
      <c r="O170" s="112">
        <v>100</v>
      </c>
      <c r="P170" s="116">
        <v>0</v>
      </c>
      <c r="Q170" s="100"/>
    </row>
    <row r="171" spans="2:17" s="4" customFormat="1" ht="15.75" x14ac:dyDescent="0.25">
      <c r="B171" s="95">
        <f t="shared" si="8"/>
        <v>167</v>
      </c>
      <c r="C171" s="95" t="s">
        <v>107</v>
      </c>
      <c r="D171" s="95" t="s">
        <v>76</v>
      </c>
      <c r="E171" s="96" t="s">
        <v>251</v>
      </c>
      <c r="F171" s="96">
        <v>42570</v>
      </c>
      <c r="G171" s="95" t="s">
        <v>270</v>
      </c>
      <c r="H171" s="115" t="s">
        <v>17</v>
      </c>
      <c r="I171" s="112">
        <v>6258.77</v>
      </c>
      <c r="J171" s="112">
        <v>3018.42</v>
      </c>
      <c r="K171" s="113">
        <f t="shared" si="6"/>
        <v>0.51772952193482114</v>
      </c>
      <c r="L171" s="112">
        <v>547.63</v>
      </c>
      <c r="M171" s="113">
        <f t="shared" si="7"/>
        <v>8.7498022774442893E-2</v>
      </c>
      <c r="N171" s="112">
        <v>-73.87</v>
      </c>
      <c r="O171" s="112">
        <v>50</v>
      </c>
      <c r="P171" s="116">
        <v>0</v>
      </c>
      <c r="Q171" s="100"/>
    </row>
    <row r="172" spans="2:17" s="4" customFormat="1" ht="15.75" x14ac:dyDescent="0.25">
      <c r="B172" s="95">
        <f t="shared" si="8"/>
        <v>168</v>
      </c>
      <c r="C172" s="95" t="s">
        <v>340</v>
      </c>
      <c r="D172" s="95" t="s">
        <v>74</v>
      </c>
      <c r="E172" s="96" t="s">
        <v>72</v>
      </c>
      <c r="F172" s="96">
        <v>42572</v>
      </c>
      <c r="G172" s="95" t="s">
        <v>271</v>
      </c>
      <c r="H172" s="115" t="s">
        <v>18</v>
      </c>
      <c r="I172" s="112">
        <v>3997.69</v>
      </c>
      <c r="J172" s="112">
        <v>2468.64</v>
      </c>
      <c r="K172" s="113">
        <f t="shared" si="6"/>
        <v>0.38248338415434918</v>
      </c>
      <c r="L172" s="112">
        <v>201.13</v>
      </c>
      <c r="M172" s="113">
        <f t="shared" si="7"/>
        <v>5.0311554922968009E-2</v>
      </c>
      <c r="N172" s="112">
        <v>-301.11</v>
      </c>
      <c r="O172" s="112">
        <v>0</v>
      </c>
      <c r="P172" s="116">
        <v>0</v>
      </c>
      <c r="Q172" s="100"/>
    </row>
    <row r="173" spans="2:17" s="4" customFormat="1" ht="15.75" x14ac:dyDescent="0.25">
      <c r="B173" s="95">
        <f t="shared" si="8"/>
        <v>169</v>
      </c>
      <c r="C173" s="95" t="s">
        <v>73</v>
      </c>
      <c r="D173" s="95" t="s">
        <v>74</v>
      </c>
      <c r="E173" s="96" t="s">
        <v>251</v>
      </c>
      <c r="F173" s="96">
        <v>42573</v>
      </c>
      <c r="G173" s="95" t="s">
        <v>272</v>
      </c>
      <c r="H173" s="115" t="s">
        <v>24</v>
      </c>
      <c r="I173" s="112">
        <v>4006.99</v>
      </c>
      <c r="J173" s="112">
        <v>1936.18</v>
      </c>
      <c r="K173" s="113">
        <f t="shared" si="6"/>
        <v>0.5167993930606265</v>
      </c>
      <c r="L173" s="112">
        <v>398.25</v>
      </c>
      <c r="M173" s="113">
        <f t="shared" si="7"/>
        <v>9.938881804047428E-2</v>
      </c>
      <c r="N173" s="112">
        <v>67.39</v>
      </c>
      <c r="O173" s="112">
        <v>0</v>
      </c>
      <c r="P173" s="116">
        <v>0</v>
      </c>
      <c r="Q173" s="100"/>
    </row>
    <row r="174" spans="2:17" s="4" customFormat="1" ht="15.75" x14ac:dyDescent="0.25">
      <c r="B174" s="95">
        <f t="shared" si="8"/>
        <v>170</v>
      </c>
      <c r="C174" s="95" t="s">
        <v>273</v>
      </c>
      <c r="D174" s="95" t="s">
        <v>93</v>
      </c>
      <c r="E174" s="96" t="s">
        <v>95</v>
      </c>
      <c r="F174" s="96">
        <v>42573</v>
      </c>
      <c r="G174" s="95" t="s">
        <v>274</v>
      </c>
      <c r="H174" s="115" t="s">
        <v>18</v>
      </c>
      <c r="I174" s="112">
        <v>9903.35</v>
      </c>
      <c r="J174" s="112">
        <v>4589.1000000000004</v>
      </c>
      <c r="K174" s="113">
        <f t="shared" si="6"/>
        <v>0.5366113486850409</v>
      </c>
      <c r="L174" s="112">
        <v>925.33</v>
      </c>
      <c r="M174" s="113">
        <f t="shared" si="7"/>
        <v>9.3436059515214553E-2</v>
      </c>
      <c r="N174" s="112">
        <v>-137.65</v>
      </c>
      <c r="O174" s="112">
        <v>50</v>
      </c>
      <c r="P174" s="116">
        <v>0</v>
      </c>
      <c r="Q174" s="100"/>
    </row>
    <row r="175" spans="2:17" s="4" customFormat="1" ht="15.75" x14ac:dyDescent="0.25">
      <c r="B175" s="95">
        <f t="shared" si="8"/>
        <v>171</v>
      </c>
      <c r="C175" s="95" t="s">
        <v>73</v>
      </c>
      <c r="D175" s="95" t="s">
        <v>74</v>
      </c>
      <c r="E175" s="96" t="s">
        <v>251</v>
      </c>
      <c r="F175" s="96">
        <v>42576</v>
      </c>
      <c r="G175" s="95" t="s">
        <v>176</v>
      </c>
      <c r="H175" s="115" t="s">
        <v>24</v>
      </c>
      <c r="I175" s="112">
        <v>5125.22</v>
      </c>
      <c r="J175" s="112">
        <v>2036.54</v>
      </c>
      <c r="K175" s="113">
        <f t="shared" si="6"/>
        <v>0.60264339872239636</v>
      </c>
      <c r="L175" s="112">
        <v>596.47</v>
      </c>
      <c r="M175" s="113">
        <f t="shared" si="7"/>
        <v>0.11637939444550673</v>
      </c>
      <c r="N175" s="112">
        <v>128.62</v>
      </c>
      <c r="O175" s="112">
        <v>50</v>
      </c>
      <c r="P175" s="116">
        <v>0</v>
      </c>
      <c r="Q175" s="100"/>
    </row>
    <row r="176" spans="2:17" s="4" customFormat="1" ht="15.75" x14ac:dyDescent="0.25">
      <c r="B176" s="95">
        <f t="shared" si="8"/>
        <v>172</v>
      </c>
      <c r="C176" s="95" t="s">
        <v>420</v>
      </c>
      <c r="D176" s="95" t="s">
        <v>76</v>
      </c>
      <c r="E176" s="96" t="s">
        <v>71</v>
      </c>
      <c r="F176" s="96">
        <v>42580</v>
      </c>
      <c r="G176" s="95" t="s">
        <v>275</v>
      </c>
      <c r="H176" s="115" t="s">
        <v>17</v>
      </c>
      <c r="I176" s="112">
        <v>7446.19</v>
      </c>
      <c r="J176" s="112">
        <v>3943.19</v>
      </c>
      <c r="K176" s="113">
        <f t="shared" si="6"/>
        <v>0.47044193070550172</v>
      </c>
      <c r="L176" s="112">
        <v>1118.17</v>
      </c>
      <c r="M176" s="113">
        <f t="shared" si="7"/>
        <v>0.15016672956236682</v>
      </c>
      <c r="N176" s="112">
        <v>1068.8900000000001</v>
      </c>
      <c r="O176" s="112">
        <v>0</v>
      </c>
      <c r="P176" s="116">
        <v>0</v>
      </c>
      <c r="Q176" s="100"/>
    </row>
    <row r="177" spans="2:17" s="4" customFormat="1" ht="15.75" x14ac:dyDescent="0.25">
      <c r="B177" s="95">
        <f t="shared" si="8"/>
        <v>173</v>
      </c>
      <c r="C177" s="95" t="s">
        <v>188</v>
      </c>
      <c r="D177" s="95" t="s">
        <v>93</v>
      </c>
      <c r="E177" s="96" t="s">
        <v>109</v>
      </c>
      <c r="F177" s="96">
        <v>42581</v>
      </c>
      <c r="G177" s="95" t="s">
        <v>276</v>
      </c>
      <c r="H177" s="115" t="s">
        <v>17</v>
      </c>
      <c r="I177" s="112">
        <v>4999.53</v>
      </c>
      <c r="J177" s="112">
        <v>2536.9</v>
      </c>
      <c r="K177" s="113">
        <f t="shared" si="6"/>
        <v>0.49257230179636879</v>
      </c>
      <c r="L177" s="112">
        <v>505.94</v>
      </c>
      <c r="M177" s="113">
        <f t="shared" si="7"/>
        <v>0.10119751256618123</v>
      </c>
      <c r="N177" s="112">
        <v>183.65</v>
      </c>
      <c r="O177" s="112">
        <v>0</v>
      </c>
      <c r="P177" s="116">
        <v>0</v>
      </c>
      <c r="Q177" s="100"/>
    </row>
    <row r="178" spans="2:17" s="4" customFormat="1" ht="15.75" x14ac:dyDescent="0.25">
      <c r="B178" s="95">
        <f t="shared" si="8"/>
        <v>174</v>
      </c>
      <c r="C178" s="95" t="s">
        <v>73</v>
      </c>
      <c r="D178" s="95" t="s">
        <v>76</v>
      </c>
      <c r="E178" s="96" t="s">
        <v>71</v>
      </c>
      <c r="F178" s="96">
        <v>42581</v>
      </c>
      <c r="G178" s="95" t="s">
        <v>277</v>
      </c>
      <c r="H178" s="115" t="s">
        <v>17</v>
      </c>
      <c r="I178" s="112">
        <v>4609.8999999999996</v>
      </c>
      <c r="J178" s="112">
        <v>2385.2800000000002</v>
      </c>
      <c r="K178" s="113">
        <f t="shared" si="6"/>
        <v>0.48257445931582021</v>
      </c>
      <c r="L178" s="112">
        <v>539.13</v>
      </c>
      <c r="M178" s="113">
        <f t="shared" si="7"/>
        <v>0.11695047614915725</v>
      </c>
      <c r="N178" s="112">
        <v>239.1</v>
      </c>
      <c r="O178" s="112">
        <v>0</v>
      </c>
      <c r="P178" s="116">
        <v>0</v>
      </c>
      <c r="Q178" s="100"/>
    </row>
    <row r="179" spans="2:17" s="4" customFormat="1" ht="15.75" x14ac:dyDescent="0.25">
      <c r="B179" s="95">
        <f t="shared" si="8"/>
        <v>175</v>
      </c>
      <c r="C179" s="95" t="s">
        <v>73</v>
      </c>
      <c r="D179" s="95" t="s">
        <v>76</v>
      </c>
      <c r="E179" s="96" t="s">
        <v>71</v>
      </c>
      <c r="F179" s="96">
        <v>42583</v>
      </c>
      <c r="G179" s="95" t="s">
        <v>278</v>
      </c>
      <c r="H179" s="115" t="s">
        <v>17</v>
      </c>
      <c r="I179" s="112">
        <v>3352.82</v>
      </c>
      <c r="J179" s="112">
        <v>1416.43</v>
      </c>
      <c r="K179" s="113">
        <f t="shared" si="6"/>
        <v>0.57754069708484201</v>
      </c>
      <c r="L179" s="112">
        <v>429.71</v>
      </c>
      <c r="M179" s="113">
        <f t="shared" si="7"/>
        <v>0.12816375469008176</v>
      </c>
      <c r="N179" s="112">
        <v>279.82</v>
      </c>
      <c r="O179" s="112">
        <v>0</v>
      </c>
      <c r="P179" s="116">
        <v>0</v>
      </c>
      <c r="Q179" s="100"/>
    </row>
    <row r="180" spans="2:17" s="4" customFormat="1" ht="15.75" x14ac:dyDescent="0.25">
      <c r="B180" s="95">
        <f t="shared" si="8"/>
        <v>176</v>
      </c>
      <c r="C180" s="95" t="s">
        <v>73</v>
      </c>
      <c r="D180" s="95" t="s">
        <v>74</v>
      </c>
      <c r="E180" s="96" t="s">
        <v>72</v>
      </c>
      <c r="F180" s="96">
        <v>42583</v>
      </c>
      <c r="G180" s="95" t="s">
        <v>279</v>
      </c>
      <c r="H180" s="115" t="s">
        <v>18</v>
      </c>
      <c r="I180" s="112">
        <v>58859.87</v>
      </c>
      <c r="J180" s="112">
        <v>32000.6</v>
      </c>
      <c r="K180" s="113">
        <f t="shared" si="6"/>
        <v>0.45632567656027789</v>
      </c>
      <c r="L180" s="112">
        <v>5062.24</v>
      </c>
      <c r="M180" s="113">
        <f t="shared" si="7"/>
        <v>8.6004947003790522E-2</v>
      </c>
      <c r="N180" s="112">
        <v>-1998.13</v>
      </c>
      <c r="O180" s="112">
        <v>0</v>
      </c>
      <c r="P180" s="116">
        <v>0</v>
      </c>
      <c r="Q180" s="100"/>
    </row>
    <row r="181" spans="2:17" s="4" customFormat="1" ht="15.75" x14ac:dyDescent="0.25">
      <c r="B181" s="95">
        <f t="shared" si="8"/>
        <v>177</v>
      </c>
      <c r="C181" s="95" t="s">
        <v>73</v>
      </c>
      <c r="D181" s="95" t="s">
        <v>74</v>
      </c>
      <c r="E181" s="96" t="s">
        <v>72</v>
      </c>
      <c r="F181" s="96">
        <v>42584</v>
      </c>
      <c r="G181" s="95" t="s">
        <v>280</v>
      </c>
      <c r="H181" s="115" t="s">
        <v>18</v>
      </c>
      <c r="I181" s="112">
        <v>2210</v>
      </c>
      <c r="J181" s="112">
        <v>1397.06</v>
      </c>
      <c r="K181" s="113">
        <f t="shared" si="6"/>
        <v>0.36784615384615388</v>
      </c>
      <c r="L181" s="112">
        <v>121.31</v>
      </c>
      <c r="M181" s="113">
        <f t="shared" si="7"/>
        <v>5.4891402714932126E-2</v>
      </c>
      <c r="N181" s="112">
        <v>-445.79</v>
      </c>
      <c r="O181" s="112">
        <v>110.69</v>
      </c>
      <c r="P181" s="116">
        <v>0</v>
      </c>
      <c r="Q181" s="100" t="s">
        <v>396</v>
      </c>
    </row>
    <row r="182" spans="2:17" s="4" customFormat="1" ht="15.75" x14ac:dyDescent="0.25">
      <c r="B182" s="95">
        <f t="shared" si="8"/>
        <v>178</v>
      </c>
      <c r="C182" s="95" t="s">
        <v>420</v>
      </c>
      <c r="D182" s="95" t="s">
        <v>70</v>
      </c>
      <c r="E182" s="96" t="s">
        <v>72</v>
      </c>
      <c r="F182" s="96">
        <v>42584</v>
      </c>
      <c r="G182" s="95" t="s">
        <v>149</v>
      </c>
      <c r="H182" s="115" t="s">
        <v>13</v>
      </c>
      <c r="I182" s="112">
        <v>1954.62</v>
      </c>
      <c r="J182" s="112">
        <v>952.5</v>
      </c>
      <c r="K182" s="113">
        <f t="shared" si="6"/>
        <v>0.51269300426681397</v>
      </c>
      <c r="L182" s="112">
        <v>179.76</v>
      </c>
      <c r="M182" s="113">
        <f t="shared" si="7"/>
        <v>9.1966724990023632E-2</v>
      </c>
      <c r="N182" s="112">
        <v>22</v>
      </c>
      <c r="O182" s="112">
        <v>0</v>
      </c>
      <c r="P182" s="116">
        <v>0</v>
      </c>
      <c r="Q182" s="100"/>
    </row>
    <row r="183" spans="2:17" s="4" customFormat="1" ht="15.75" x14ac:dyDescent="0.25">
      <c r="B183" s="95">
        <f t="shared" si="8"/>
        <v>179</v>
      </c>
      <c r="C183" s="95" t="s">
        <v>73</v>
      </c>
      <c r="D183" s="95" t="s">
        <v>74</v>
      </c>
      <c r="E183" s="95" t="s">
        <v>424</v>
      </c>
      <c r="F183" s="96">
        <v>42585</v>
      </c>
      <c r="G183" s="95" t="s">
        <v>281</v>
      </c>
      <c r="H183" s="95" t="s">
        <v>22</v>
      </c>
      <c r="I183" s="112">
        <v>12499.94</v>
      </c>
      <c r="J183" s="112">
        <v>5386.46</v>
      </c>
      <c r="K183" s="113">
        <f t="shared" si="6"/>
        <v>0.56908113158943163</v>
      </c>
      <c r="L183" s="112">
        <v>1270.47</v>
      </c>
      <c r="M183" s="113">
        <f t="shared" si="7"/>
        <v>0.10163808786282173</v>
      </c>
      <c r="N183" s="112">
        <v>88.94</v>
      </c>
      <c r="O183" s="112">
        <v>0</v>
      </c>
      <c r="P183" s="116">
        <v>0</v>
      </c>
      <c r="Q183" s="100"/>
    </row>
    <row r="184" spans="2:17" s="4" customFormat="1" ht="15.75" x14ac:dyDescent="0.25">
      <c r="B184" s="95">
        <f t="shared" si="8"/>
        <v>180</v>
      </c>
      <c r="C184" s="95" t="s">
        <v>420</v>
      </c>
      <c r="D184" s="95" t="s">
        <v>76</v>
      </c>
      <c r="E184" s="96" t="s">
        <v>109</v>
      </c>
      <c r="F184" s="96">
        <v>42590</v>
      </c>
      <c r="G184" s="95" t="s">
        <v>282</v>
      </c>
      <c r="H184" s="115" t="s">
        <v>24</v>
      </c>
      <c r="I184" s="112">
        <v>4549.67</v>
      </c>
      <c r="J184" s="112">
        <v>2219.29</v>
      </c>
      <c r="K184" s="113">
        <f t="shared" si="6"/>
        <v>0.51220857776498074</v>
      </c>
      <c r="L184" s="112">
        <v>501.04</v>
      </c>
      <c r="M184" s="113">
        <f t="shared" si="7"/>
        <v>0.1101266685276075</v>
      </c>
      <c r="N184" s="112">
        <v>279.67</v>
      </c>
      <c r="O184" s="112">
        <v>0</v>
      </c>
      <c r="P184" s="116">
        <v>0</v>
      </c>
      <c r="Q184" s="100"/>
    </row>
    <row r="185" spans="2:17" s="4" customFormat="1" ht="15.75" x14ac:dyDescent="0.25">
      <c r="B185" s="95">
        <f t="shared" si="8"/>
        <v>181</v>
      </c>
      <c r="C185" s="95" t="s">
        <v>123</v>
      </c>
      <c r="D185" s="95" t="s">
        <v>70</v>
      </c>
      <c r="E185" s="96" t="s">
        <v>109</v>
      </c>
      <c r="F185" s="96">
        <v>42590</v>
      </c>
      <c r="G185" s="95" t="s">
        <v>283</v>
      </c>
      <c r="H185" s="95" t="s">
        <v>27</v>
      </c>
      <c r="I185" s="112">
        <v>29853.98</v>
      </c>
      <c r="J185" s="112">
        <v>15834.57</v>
      </c>
      <c r="K185" s="113">
        <f t="shared" si="6"/>
        <v>0.46959936330097363</v>
      </c>
      <c r="L185" s="112">
        <v>2034.39</v>
      </c>
      <c r="M185" s="113">
        <f t="shared" si="7"/>
        <v>6.8144682886502911E-2</v>
      </c>
      <c r="N185" s="112">
        <v>323.77999999999997</v>
      </c>
      <c r="O185" s="112">
        <v>0</v>
      </c>
      <c r="P185" s="116">
        <v>0</v>
      </c>
      <c r="Q185" s="100"/>
    </row>
    <row r="186" spans="2:17" s="4" customFormat="1" ht="15.75" x14ac:dyDescent="0.25">
      <c r="B186" s="95">
        <f t="shared" si="8"/>
        <v>182</v>
      </c>
      <c r="C186" s="95" t="s">
        <v>217</v>
      </c>
      <c r="D186" s="95" t="s">
        <v>93</v>
      </c>
      <c r="E186" s="96" t="s">
        <v>71</v>
      </c>
      <c r="F186" s="96">
        <v>42591</v>
      </c>
      <c r="G186" s="95" t="s">
        <v>284</v>
      </c>
      <c r="H186" s="115" t="s">
        <v>14</v>
      </c>
      <c r="I186" s="112">
        <v>11127.09</v>
      </c>
      <c r="J186" s="112">
        <v>5012.68</v>
      </c>
      <c r="K186" s="113">
        <f t="shared" si="6"/>
        <v>0.54950665448019198</v>
      </c>
      <c r="L186" s="112">
        <v>1291</v>
      </c>
      <c r="M186" s="113">
        <f t="shared" si="7"/>
        <v>0.11602314711213803</v>
      </c>
      <c r="N186" s="112">
        <v>567.59</v>
      </c>
      <c r="O186" s="112">
        <v>100</v>
      </c>
      <c r="P186" s="116">
        <v>0</v>
      </c>
      <c r="Q186" s="100"/>
    </row>
    <row r="187" spans="2:17" s="4" customFormat="1" ht="15.75" x14ac:dyDescent="0.25">
      <c r="B187" s="95">
        <f t="shared" si="8"/>
        <v>183</v>
      </c>
      <c r="C187" s="95" t="s">
        <v>418</v>
      </c>
      <c r="D187" s="95" t="s">
        <v>76</v>
      </c>
      <c r="E187" s="96" t="s">
        <v>255</v>
      </c>
      <c r="F187" s="96">
        <v>42592</v>
      </c>
      <c r="G187" s="95" t="s">
        <v>285</v>
      </c>
      <c r="H187" s="115" t="s">
        <v>15</v>
      </c>
      <c r="I187" s="112">
        <v>7202.33</v>
      </c>
      <c r="J187" s="112">
        <v>3046.95</v>
      </c>
      <c r="K187" s="113">
        <f t="shared" si="6"/>
        <v>0.57694940387346871</v>
      </c>
      <c r="L187" s="112">
        <v>756.39</v>
      </c>
      <c r="M187" s="113">
        <f t="shared" si="7"/>
        <v>0.10502018096921413</v>
      </c>
      <c r="N187" s="112">
        <v>134.15</v>
      </c>
      <c r="O187" s="112">
        <v>0</v>
      </c>
      <c r="P187" s="116">
        <v>0</v>
      </c>
      <c r="Q187" s="100"/>
    </row>
    <row r="188" spans="2:17" s="4" customFormat="1" ht="15.75" x14ac:dyDescent="0.25">
      <c r="B188" s="95">
        <f t="shared" si="8"/>
        <v>184</v>
      </c>
      <c r="C188" s="95" t="s">
        <v>73</v>
      </c>
      <c r="D188" s="95" t="s">
        <v>93</v>
      </c>
      <c r="E188" s="96" t="s">
        <v>80</v>
      </c>
      <c r="F188" s="96">
        <v>42593</v>
      </c>
      <c r="G188" s="95" t="s">
        <v>286</v>
      </c>
      <c r="H188" s="115" t="s">
        <v>15</v>
      </c>
      <c r="I188" s="112">
        <v>9121.77</v>
      </c>
      <c r="J188" s="112">
        <v>2739</v>
      </c>
      <c r="K188" s="113">
        <f t="shared" si="6"/>
        <v>0.69972932884736183</v>
      </c>
      <c r="L188" s="112">
        <v>912.15</v>
      </c>
      <c r="M188" s="113">
        <f t="shared" si="7"/>
        <v>9.9997040048148536E-2</v>
      </c>
      <c r="N188" s="112">
        <v>-421.33</v>
      </c>
      <c r="O188" s="112">
        <v>200</v>
      </c>
      <c r="P188" s="116">
        <v>0</v>
      </c>
      <c r="Q188" s="100" t="s">
        <v>397</v>
      </c>
    </row>
    <row r="189" spans="2:17" s="4" customFormat="1" ht="15.75" x14ac:dyDescent="0.25">
      <c r="B189" s="95">
        <f t="shared" si="8"/>
        <v>185</v>
      </c>
      <c r="C189" s="95" t="s">
        <v>420</v>
      </c>
      <c r="D189" s="95" t="s">
        <v>74</v>
      </c>
      <c r="E189" s="96" t="s">
        <v>251</v>
      </c>
      <c r="F189" s="96">
        <v>42595</v>
      </c>
      <c r="G189" s="95" t="s">
        <v>287</v>
      </c>
      <c r="H189" s="115" t="s">
        <v>24</v>
      </c>
      <c r="I189" s="112">
        <v>5398.49</v>
      </c>
      <c r="J189" s="112">
        <v>2613.4899999999998</v>
      </c>
      <c r="K189" s="113">
        <f t="shared" si="6"/>
        <v>0.51588499747151517</v>
      </c>
      <c r="L189" s="112">
        <v>349.24</v>
      </c>
      <c r="M189" s="113">
        <f t="shared" si="7"/>
        <v>6.4692163919910936E-2</v>
      </c>
      <c r="N189" s="112">
        <v>-278.51</v>
      </c>
      <c r="O189" s="112">
        <v>100</v>
      </c>
      <c r="P189" s="116">
        <v>0</v>
      </c>
      <c r="Q189" s="100"/>
    </row>
    <row r="190" spans="2:17" s="4" customFormat="1" ht="15.75" x14ac:dyDescent="0.25">
      <c r="B190" s="95">
        <f t="shared" si="8"/>
        <v>186</v>
      </c>
      <c r="C190" s="95" t="s">
        <v>288</v>
      </c>
      <c r="D190" s="95" t="s">
        <v>76</v>
      </c>
      <c r="E190" s="96" t="s">
        <v>80</v>
      </c>
      <c r="F190" s="96">
        <v>42598</v>
      </c>
      <c r="G190" s="95" t="s">
        <v>289</v>
      </c>
      <c r="H190" s="115" t="s">
        <v>15</v>
      </c>
      <c r="I190" s="112">
        <v>6327.78</v>
      </c>
      <c r="J190" s="112">
        <v>3825.89</v>
      </c>
      <c r="K190" s="113">
        <f t="shared" si="6"/>
        <v>0.39538195069992949</v>
      </c>
      <c r="L190" s="112">
        <v>219.8</v>
      </c>
      <c r="M190" s="113">
        <f t="shared" si="7"/>
        <v>3.4735720900537004E-2</v>
      </c>
      <c r="N190" s="112">
        <v>-630.92999999999995</v>
      </c>
      <c r="O190" s="112">
        <v>0</v>
      </c>
      <c r="P190" s="116">
        <v>0</v>
      </c>
      <c r="Q190" s="100"/>
    </row>
    <row r="191" spans="2:17" s="4" customFormat="1" ht="15.75" x14ac:dyDescent="0.25">
      <c r="B191" s="95">
        <f t="shared" si="8"/>
        <v>187</v>
      </c>
      <c r="C191" s="95" t="s">
        <v>288</v>
      </c>
      <c r="D191" s="95" t="s">
        <v>93</v>
      </c>
      <c r="E191" s="96" t="s">
        <v>80</v>
      </c>
      <c r="F191" s="96">
        <v>42598</v>
      </c>
      <c r="G191" s="95" t="s">
        <v>290</v>
      </c>
      <c r="H191" s="115" t="s">
        <v>15</v>
      </c>
      <c r="I191" s="112">
        <v>8891.93</v>
      </c>
      <c r="J191" s="112">
        <v>4899.6899999999996</v>
      </c>
      <c r="K191" s="113">
        <f t="shared" si="6"/>
        <v>0.44897339497724348</v>
      </c>
      <c r="L191" s="112">
        <v>240.83</v>
      </c>
      <c r="M191" s="113">
        <f t="shared" si="7"/>
        <v>2.7084108849259946E-2</v>
      </c>
      <c r="N191" s="112">
        <v>-1344.67</v>
      </c>
      <c r="O191" s="112">
        <v>50</v>
      </c>
      <c r="P191" s="116">
        <v>0</v>
      </c>
      <c r="Q191" s="100" t="s">
        <v>398</v>
      </c>
    </row>
    <row r="192" spans="2:17" s="4" customFormat="1" ht="15.75" x14ac:dyDescent="0.25">
      <c r="B192" s="95">
        <f t="shared" si="8"/>
        <v>188</v>
      </c>
      <c r="C192" s="95" t="s">
        <v>224</v>
      </c>
      <c r="D192" s="95" t="s">
        <v>93</v>
      </c>
      <c r="E192" s="96" t="s">
        <v>255</v>
      </c>
      <c r="F192" s="96">
        <v>42599</v>
      </c>
      <c r="G192" s="95" t="s">
        <v>291</v>
      </c>
      <c r="H192" s="115" t="s">
        <v>15</v>
      </c>
      <c r="I192" s="112">
        <v>8579.7099999999991</v>
      </c>
      <c r="J192" s="112">
        <v>3795.64</v>
      </c>
      <c r="K192" s="113">
        <f t="shared" si="6"/>
        <v>0.557602762797344</v>
      </c>
      <c r="L192" s="112">
        <v>838.05</v>
      </c>
      <c r="M192" s="113">
        <f t="shared" si="7"/>
        <v>9.7678126649968361E-2</v>
      </c>
      <c r="N192" s="112">
        <v>55.11</v>
      </c>
      <c r="O192" s="112">
        <v>100</v>
      </c>
      <c r="P192" s="116">
        <v>0</v>
      </c>
      <c r="Q192" s="100"/>
    </row>
    <row r="193" spans="2:21" s="4" customFormat="1" ht="15.75" x14ac:dyDescent="0.25">
      <c r="B193" s="95">
        <f t="shared" si="8"/>
        <v>189</v>
      </c>
      <c r="C193" s="95" t="s">
        <v>420</v>
      </c>
      <c r="D193" s="95" t="s">
        <v>292</v>
      </c>
      <c r="E193" s="95" t="s">
        <v>424</v>
      </c>
      <c r="F193" s="96">
        <v>42599</v>
      </c>
      <c r="G193" s="95" t="s">
        <v>231</v>
      </c>
      <c r="H193" s="115" t="s">
        <v>17</v>
      </c>
      <c r="I193" s="112">
        <v>4237.45</v>
      </c>
      <c r="J193" s="112">
        <v>2294.29</v>
      </c>
      <c r="K193" s="113">
        <f t="shared" si="6"/>
        <v>0.45856824269312912</v>
      </c>
      <c r="L193" s="112">
        <v>0</v>
      </c>
      <c r="M193" s="113">
        <f t="shared" si="7"/>
        <v>0</v>
      </c>
      <c r="N193" s="112"/>
      <c r="O193" s="112"/>
      <c r="P193" s="116">
        <v>0</v>
      </c>
      <c r="Q193" s="100" t="s">
        <v>399</v>
      </c>
    </row>
    <row r="194" spans="2:21" s="4" customFormat="1" ht="15.75" x14ac:dyDescent="0.25">
      <c r="B194" s="95">
        <f t="shared" si="8"/>
        <v>190</v>
      </c>
      <c r="C194" s="95" t="s">
        <v>293</v>
      </c>
      <c r="D194" s="95" t="s">
        <v>93</v>
      </c>
      <c r="E194" s="96" t="s">
        <v>80</v>
      </c>
      <c r="F194" s="96">
        <v>42600</v>
      </c>
      <c r="G194" s="95" t="s">
        <v>294</v>
      </c>
      <c r="H194" s="115" t="s">
        <v>15</v>
      </c>
      <c r="I194" s="112">
        <v>5188.1899999999996</v>
      </c>
      <c r="J194" s="112">
        <v>3200.98</v>
      </c>
      <c r="K194" s="113">
        <f t="shared" si="6"/>
        <v>0.3830256794758865</v>
      </c>
      <c r="L194" s="112">
        <v>355.11</v>
      </c>
      <c r="M194" s="113">
        <f t="shared" si="7"/>
        <v>6.8445835638247646E-2</v>
      </c>
      <c r="N194" s="112">
        <v>-98.56</v>
      </c>
      <c r="O194" s="112">
        <v>0</v>
      </c>
      <c r="P194" s="116">
        <v>0</v>
      </c>
      <c r="Q194" s="100"/>
    </row>
    <row r="195" spans="2:21" s="4" customFormat="1" ht="15.75" x14ac:dyDescent="0.25">
      <c r="B195" s="95">
        <f t="shared" si="8"/>
        <v>191</v>
      </c>
      <c r="C195" s="95" t="s">
        <v>224</v>
      </c>
      <c r="D195" s="95" t="s">
        <v>93</v>
      </c>
      <c r="E195" s="96" t="s">
        <v>255</v>
      </c>
      <c r="F195" s="96">
        <v>42600</v>
      </c>
      <c r="G195" s="95" t="s">
        <v>295</v>
      </c>
      <c r="H195" s="95" t="s">
        <v>429</v>
      </c>
      <c r="I195" s="112">
        <v>15044.2</v>
      </c>
      <c r="J195" s="112">
        <v>7028.2</v>
      </c>
      <c r="K195" s="113">
        <f t="shared" si="6"/>
        <v>0.53282992781271188</v>
      </c>
      <c r="L195" s="112">
        <v>1810.51</v>
      </c>
      <c r="M195" s="113">
        <f t="shared" si="7"/>
        <v>0.120346046981561</v>
      </c>
      <c r="N195" s="112">
        <v>1349.91</v>
      </c>
      <c r="O195" s="112">
        <v>0</v>
      </c>
      <c r="P195" s="116">
        <v>0</v>
      </c>
      <c r="Q195" s="100" t="s">
        <v>400</v>
      </c>
    </row>
    <row r="196" spans="2:21" s="4" customFormat="1" ht="15.75" x14ac:dyDescent="0.25">
      <c r="B196" s="95">
        <f t="shared" si="8"/>
        <v>192</v>
      </c>
      <c r="C196" s="95" t="s">
        <v>188</v>
      </c>
      <c r="D196" s="95" t="s">
        <v>74</v>
      </c>
      <c r="E196" s="96" t="s">
        <v>72</v>
      </c>
      <c r="F196" s="96">
        <v>42601</v>
      </c>
      <c r="G196" s="95" t="s">
        <v>94</v>
      </c>
      <c r="H196" s="115" t="s">
        <v>18</v>
      </c>
      <c r="I196" s="112">
        <v>42448.38</v>
      </c>
      <c r="J196" s="112">
        <v>27463.19</v>
      </c>
      <c r="K196" s="113">
        <f t="shared" si="6"/>
        <v>0.3530214816207356</v>
      </c>
      <c r="L196" s="112">
        <v>384.25</v>
      </c>
      <c r="M196" s="113">
        <f t="shared" si="7"/>
        <v>9.0521711311479965E-3</v>
      </c>
      <c r="N196" s="112">
        <v>-10600.22</v>
      </c>
      <c r="O196" s="112">
        <v>900</v>
      </c>
      <c r="P196" s="116">
        <v>0</v>
      </c>
      <c r="Q196" s="100" t="s">
        <v>401</v>
      </c>
    </row>
    <row r="197" spans="2:21" s="4" customFormat="1" ht="15.75" x14ac:dyDescent="0.25">
      <c r="B197" s="95">
        <f t="shared" si="8"/>
        <v>193</v>
      </c>
      <c r="C197" s="95" t="s">
        <v>224</v>
      </c>
      <c r="D197" s="95" t="s">
        <v>76</v>
      </c>
      <c r="E197" s="96" t="s">
        <v>71</v>
      </c>
      <c r="F197" s="96">
        <v>42602</v>
      </c>
      <c r="G197" s="95" t="s">
        <v>296</v>
      </c>
      <c r="H197" s="115" t="s">
        <v>17</v>
      </c>
      <c r="I197" s="112">
        <v>6938.06</v>
      </c>
      <c r="J197" s="112">
        <v>3357.52</v>
      </c>
      <c r="K197" s="113">
        <f t="shared" ref="K197:K260" si="9">IF(J197,(I197-J197)/I197,"")</f>
        <v>0.51607221615264209</v>
      </c>
      <c r="L197" s="112">
        <v>953.93</v>
      </c>
      <c r="M197" s="113">
        <f t="shared" ref="M197:M260" si="10">IF(J197,L197/I197,"")</f>
        <v>0.13749232494386038</v>
      </c>
      <c r="N197" s="112">
        <v>1051.06</v>
      </c>
      <c r="O197" s="112">
        <v>0</v>
      </c>
      <c r="P197" s="116">
        <v>0</v>
      </c>
      <c r="Q197" s="100" t="s">
        <v>402</v>
      </c>
    </row>
    <row r="198" spans="2:21" s="4" customFormat="1" ht="15.75" x14ac:dyDescent="0.25">
      <c r="B198" s="95">
        <f t="shared" si="8"/>
        <v>194</v>
      </c>
      <c r="C198" s="95" t="s">
        <v>224</v>
      </c>
      <c r="D198" s="95" t="s">
        <v>70</v>
      </c>
      <c r="E198" s="96" t="s">
        <v>255</v>
      </c>
      <c r="F198" s="96">
        <v>42604</v>
      </c>
      <c r="G198" s="95" t="s">
        <v>297</v>
      </c>
      <c r="H198" s="115" t="s">
        <v>15</v>
      </c>
      <c r="I198" s="112">
        <v>10519.83</v>
      </c>
      <c r="J198" s="112">
        <v>5210.79</v>
      </c>
      <c r="K198" s="113">
        <f t="shared" si="9"/>
        <v>0.50466975226785982</v>
      </c>
      <c r="L198" s="112">
        <v>822.82</v>
      </c>
      <c r="M198" s="113">
        <f t="shared" si="10"/>
        <v>7.8216092845606822E-2</v>
      </c>
      <c r="N198" s="112">
        <v>-177.57</v>
      </c>
      <c r="O198" s="112">
        <v>0</v>
      </c>
      <c r="P198" s="116">
        <v>0</v>
      </c>
      <c r="Q198" s="100"/>
    </row>
    <row r="199" spans="2:21" s="4" customFormat="1" ht="15.75" x14ac:dyDescent="0.25">
      <c r="B199" s="95">
        <f t="shared" ref="B199:B262" si="11">B198+1</f>
        <v>195</v>
      </c>
      <c r="C199" s="95" t="s">
        <v>73</v>
      </c>
      <c r="D199" s="95" t="s">
        <v>76</v>
      </c>
      <c r="E199" s="95" t="s">
        <v>424</v>
      </c>
      <c r="F199" s="96">
        <v>42604</v>
      </c>
      <c r="G199" s="95" t="s">
        <v>298</v>
      </c>
      <c r="H199" s="115" t="s">
        <v>24</v>
      </c>
      <c r="I199" s="112">
        <v>6829.59</v>
      </c>
      <c r="J199" s="112">
        <v>2640.82</v>
      </c>
      <c r="K199" s="113">
        <f t="shared" si="9"/>
        <v>0.61332671507367209</v>
      </c>
      <c r="L199" s="112">
        <v>663.88</v>
      </c>
      <c r="M199" s="113">
        <f t="shared" si="10"/>
        <v>9.7206420883244812E-2</v>
      </c>
      <c r="N199" s="112">
        <v>-63.31</v>
      </c>
      <c r="O199" s="112">
        <v>50</v>
      </c>
      <c r="P199" s="116">
        <v>0</v>
      </c>
      <c r="Q199" s="100" t="s">
        <v>403</v>
      </c>
    </row>
    <row r="200" spans="2:21" s="4" customFormat="1" ht="15.75" x14ac:dyDescent="0.25">
      <c r="B200" s="95">
        <f t="shared" si="11"/>
        <v>196</v>
      </c>
      <c r="C200" s="95" t="s">
        <v>73</v>
      </c>
      <c r="D200" s="95" t="s">
        <v>76</v>
      </c>
      <c r="E200" s="95" t="s">
        <v>424</v>
      </c>
      <c r="F200" s="96">
        <v>42605</v>
      </c>
      <c r="G200" s="95" t="s">
        <v>168</v>
      </c>
      <c r="H200" s="115" t="s">
        <v>22</v>
      </c>
      <c r="I200" s="112">
        <v>2918.58</v>
      </c>
      <c r="J200" s="112">
        <v>1389.29</v>
      </c>
      <c r="K200" s="113">
        <f t="shared" si="9"/>
        <v>0.52398426632129325</v>
      </c>
      <c r="L200" s="112">
        <v>278.39</v>
      </c>
      <c r="M200" s="113">
        <f t="shared" si="10"/>
        <v>9.5385427159783182E-2</v>
      </c>
      <c r="N200" s="112">
        <v>69.58</v>
      </c>
      <c r="O200" s="112">
        <v>0</v>
      </c>
      <c r="P200" s="116">
        <v>0</v>
      </c>
      <c r="Q200" s="100"/>
    </row>
    <row r="201" spans="2:21" s="4" customFormat="1" ht="15.75" x14ac:dyDescent="0.25">
      <c r="B201" s="95">
        <f t="shared" si="11"/>
        <v>197</v>
      </c>
      <c r="C201" s="95" t="s">
        <v>420</v>
      </c>
      <c r="D201" s="95" t="s">
        <v>70</v>
      </c>
      <c r="E201" s="95" t="s">
        <v>424</v>
      </c>
      <c r="F201" s="96">
        <v>42607</v>
      </c>
      <c r="G201" s="95" t="s">
        <v>299</v>
      </c>
      <c r="H201" s="95" t="s">
        <v>27</v>
      </c>
      <c r="I201" s="112">
        <v>15633.27</v>
      </c>
      <c r="J201" s="112">
        <v>6549.65</v>
      </c>
      <c r="K201" s="113">
        <f t="shared" si="9"/>
        <v>0.58104414495495826</v>
      </c>
      <c r="L201" s="112">
        <v>1038.3</v>
      </c>
      <c r="M201" s="113">
        <f t="shared" si="10"/>
        <v>6.6416047314477394E-2</v>
      </c>
      <c r="N201" s="112">
        <v>-822.33</v>
      </c>
      <c r="O201" s="112">
        <v>100</v>
      </c>
      <c r="P201" s="116">
        <v>0</v>
      </c>
      <c r="Q201" s="100" t="s">
        <v>404</v>
      </c>
    </row>
    <row r="202" spans="2:21" s="4" customFormat="1" ht="15.75" x14ac:dyDescent="0.25">
      <c r="B202" s="95">
        <f t="shared" si="11"/>
        <v>198</v>
      </c>
      <c r="C202" s="95" t="s">
        <v>188</v>
      </c>
      <c r="D202" s="95" t="s">
        <v>74</v>
      </c>
      <c r="E202" s="96" t="s">
        <v>72</v>
      </c>
      <c r="F202" s="96">
        <v>42607</v>
      </c>
      <c r="G202" s="95" t="s">
        <v>94</v>
      </c>
      <c r="H202" s="115" t="s">
        <v>54</v>
      </c>
      <c r="I202" s="112">
        <v>2729.41</v>
      </c>
      <c r="J202" s="112">
        <v>2254.96</v>
      </c>
      <c r="K202" s="113">
        <f t="shared" si="9"/>
        <v>0.17382877618239834</v>
      </c>
      <c r="L202" s="112">
        <v>106.55</v>
      </c>
      <c r="M202" s="113">
        <f t="shared" si="10"/>
        <v>3.9037740757159975E-2</v>
      </c>
      <c r="N202" s="112">
        <v>-512.12</v>
      </c>
      <c r="O202" s="112">
        <v>93.46</v>
      </c>
      <c r="P202" s="116">
        <v>0</v>
      </c>
      <c r="Q202" s="100" t="s">
        <v>405</v>
      </c>
      <c r="U202" s="101"/>
    </row>
    <row r="203" spans="2:21" s="4" customFormat="1" ht="15.75" x14ac:dyDescent="0.25">
      <c r="B203" s="95">
        <f t="shared" si="11"/>
        <v>199</v>
      </c>
      <c r="C203" s="95" t="s">
        <v>107</v>
      </c>
      <c r="D203" s="95" t="s">
        <v>93</v>
      </c>
      <c r="E203" s="96" t="s">
        <v>80</v>
      </c>
      <c r="F203" s="96">
        <v>42607</v>
      </c>
      <c r="G203" s="95" t="s">
        <v>300</v>
      </c>
      <c r="H203" s="95" t="s">
        <v>429</v>
      </c>
      <c r="I203" s="112">
        <v>13495.93</v>
      </c>
      <c r="J203" s="112">
        <v>7332.35</v>
      </c>
      <c r="K203" s="113">
        <f t="shared" si="9"/>
        <v>0.45669916782318815</v>
      </c>
      <c r="L203" s="112">
        <v>1548.51</v>
      </c>
      <c r="M203" s="113">
        <f t="shared" si="10"/>
        <v>0.11473903613904339</v>
      </c>
      <c r="N203" s="112">
        <v>541.03</v>
      </c>
      <c r="O203" s="112">
        <v>0</v>
      </c>
      <c r="P203" s="116">
        <v>0</v>
      </c>
      <c r="Q203" s="100" t="s">
        <v>406</v>
      </c>
    </row>
    <row r="204" spans="2:21" s="4" customFormat="1" ht="15.75" x14ac:dyDescent="0.25">
      <c r="B204" s="95">
        <f t="shared" si="11"/>
        <v>200</v>
      </c>
      <c r="C204" s="95" t="s">
        <v>417</v>
      </c>
      <c r="D204" s="95" t="s">
        <v>74</v>
      </c>
      <c r="E204" s="96" t="s">
        <v>71</v>
      </c>
      <c r="F204" s="96">
        <v>42608</v>
      </c>
      <c r="G204" s="95" t="s">
        <v>301</v>
      </c>
      <c r="H204" s="115" t="s">
        <v>24</v>
      </c>
      <c r="I204" s="112">
        <v>9691.32</v>
      </c>
      <c r="J204" s="112">
        <v>4813.78</v>
      </c>
      <c r="K204" s="113">
        <f t="shared" si="9"/>
        <v>0.50328954156915673</v>
      </c>
      <c r="L204" s="112">
        <v>707.84</v>
      </c>
      <c r="M204" s="113">
        <f t="shared" si="10"/>
        <v>7.3038554087575286E-2</v>
      </c>
      <c r="N204" s="112">
        <v>186.72</v>
      </c>
      <c r="O204" s="112">
        <v>50</v>
      </c>
      <c r="P204" s="116">
        <v>0</v>
      </c>
      <c r="Q204" s="100"/>
    </row>
    <row r="205" spans="2:21" s="4" customFormat="1" ht="15.75" x14ac:dyDescent="0.25">
      <c r="B205" s="95">
        <f t="shared" si="11"/>
        <v>201</v>
      </c>
      <c r="C205" s="95" t="s">
        <v>420</v>
      </c>
      <c r="D205" s="95" t="s">
        <v>70</v>
      </c>
      <c r="E205" s="96" t="s">
        <v>71</v>
      </c>
      <c r="F205" s="96">
        <v>42608</v>
      </c>
      <c r="G205" s="95" t="s">
        <v>131</v>
      </c>
      <c r="H205" s="115" t="s">
        <v>14</v>
      </c>
      <c r="I205" s="112">
        <v>6667.13</v>
      </c>
      <c r="J205" s="112">
        <v>3385.86</v>
      </c>
      <c r="K205" s="113">
        <f t="shared" si="9"/>
        <v>0.49215629513748793</v>
      </c>
      <c r="L205" s="112">
        <v>610.57000000000005</v>
      </c>
      <c r="M205" s="113">
        <f t="shared" si="10"/>
        <v>9.1579135250100127E-2</v>
      </c>
      <c r="N205" s="112">
        <v>17.13</v>
      </c>
      <c r="O205" s="112">
        <v>0</v>
      </c>
      <c r="P205" s="116">
        <v>0</v>
      </c>
      <c r="Q205" s="100"/>
    </row>
    <row r="206" spans="2:21" s="4" customFormat="1" ht="15.75" x14ac:dyDescent="0.25">
      <c r="B206" s="95">
        <f t="shared" si="11"/>
        <v>202</v>
      </c>
      <c r="C206" s="95" t="s">
        <v>420</v>
      </c>
      <c r="D206" s="95" t="s">
        <v>76</v>
      </c>
      <c r="E206" s="96" t="s">
        <v>255</v>
      </c>
      <c r="F206" s="96">
        <v>42613</v>
      </c>
      <c r="G206" s="95" t="s">
        <v>302</v>
      </c>
      <c r="H206" s="115" t="s">
        <v>15</v>
      </c>
      <c r="I206" s="112">
        <v>6849.56</v>
      </c>
      <c r="J206" s="112">
        <v>2455.4</v>
      </c>
      <c r="K206" s="113">
        <f t="shared" si="9"/>
        <v>0.64152441908677338</v>
      </c>
      <c r="L206" s="112">
        <v>652.48</v>
      </c>
      <c r="M206" s="113">
        <f t="shared" si="10"/>
        <v>9.5258673549833861E-2</v>
      </c>
      <c r="N206" s="112">
        <v>-437.44</v>
      </c>
      <c r="O206" s="112">
        <v>160</v>
      </c>
      <c r="P206" s="116">
        <v>0</v>
      </c>
      <c r="Q206" s="100"/>
    </row>
    <row r="207" spans="2:21" s="4" customFormat="1" ht="15.75" x14ac:dyDescent="0.25">
      <c r="B207" s="95">
        <f t="shared" si="11"/>
        <v>203</v>
      </c>
      <c r="C207" s="95" t="s">
        <v>73</v>
      </c>
      <c r="D207" s="95" t="s">
        <v>76</v>
      </c>
      <c r="E207" s="96" t="s">
        <v>71</v>
      </c>
      <c r="F207" s="96">
        <v>42616</v>
      </c>
      <c r="G207" s="95" t="s">
        <v>94</v>
      </c>
      <c r="H207" s="115" t="s">
        <v>24</v>
      </c>
      <c r="I207" s="112">
        <v>7343.04</v>
      </c>
      <c r="J207" s="112">
        <v>3789.41</v>
      </c>
      <c r="K207" s="113">
        <f t="shared" si="9"/>
        <v>0.48394534143896806</v>
      </c>
      <c r="L207" s="112">
        <v>229.62</v>
      </c>
      <c r="M207" s="113">
        <f t="shared" si="10"/>
        <v>3.1270427506863645E-2</v>
      </c>
      <c r="N207" s="112">
        <v>-923.96</v>
      </c>
      <c r="O207" s="112">
        <v>0</v>
      </c>
      <c r="P207" s="116">
        <v>0</v>
      </c>
      <c r="Q207" s="100"/>
    </row>
    <row r="208" spans="2:21" s="4" customFormat="1" ht="15.75" x14ac:dyDescent="0.25">
      <c r="B208" s="95">
        <f t="shared" si="11"/>
        <v>204</v>
      </c>
      <c r="C208" s="95" t="s">
        <v>120</v>
      </c>
      <c r="D208" s="95" t="s">
        <v>93</v>
      </c>
      <c r="E208" s="96" t="s">
        <v>255</v>
      </c>
      <c r="F208" s="96">
        <v>42620</v>
      </c>
      <c r="G208" s="95" t="s">
        <v>303</v>
      </c>
      <c r="H208" s="115" t="s">
        <v>15</v>
      </c>
      <c r="I208" s="112">
        <v>9691.4</v>
      </c>
      <c r="J208" s="112">
        <v>4621.13</v>
      </c>
      <c r="K208" s="113">
        <f t="shared" si="9"/>
        <v>0.52317209071960702</v>
      </c>
      <c r="L208" s="112">
        <v>941.8</v>
      </c>
      <c r="M208" s="113">
        <f t="shared" si="10"/>
        <v>9.7178942154900222E-2</v>
      </c>
      <c r="N208" s="112">
        <v>-24.6</v>
      </c>
      <c r="O208" s="112">
        <v>0</v>
      </c>
      <c r="P208" s="116">
        <v>0</v>
      </c>
      <c r="Q208" s="100"/>
    </row>
    <row r="209" spans="2:22" s="4" customFormat="1" ht="15.75" x14ac:dyDescent="0.25">
      <c r="B209" s="95">
        <f t="shared" si="11"/>
        <v>205</v>
      </c>
      <c r="C209" s="95" t="s">
        <v>304</v>
      </c>
      <c r="D209" s="95" t="s">
        <v>93</v>
      </c>
      <c r="E209" s="96" t="s">
        <v>95</v>
      </c>
      <c r="F209" s="96">
        <v>42621</v>
      </c>
      <c r="G209" s="95" t="s">
        <v>305</v>
      </c>
      <c r="H209" s="115" t="s">
        <v>18</v>
      </c>
      <c r="I209" s="112">
        <v>7646.58</v>
      </c>
      <c r="J209" s="112">
        <v>4518.82</v>
      </c>
      <c r="K209" s="113">
        <f t="shared" si="9"/>
        <v>0.40904038145157706</v>
      </c>
      <c r="L209" s="112">
        <v>464.75</v>
      </c>
      <c r="M209" s="113">
        <f t="shared" si="10"/>
        <v>6.0778805688294635E-2</v>
      </c>
      <c r="N209" s="112">
        <v>-296.62</v>
      </c>
      <c r="O209" s="112">
        <v>0</v>
      </c>
      <c r="P209" s="116">
        <v>0</v>
      </c>
      <c r="Q209" s="100"/>
    </row>
    <row r="210" spans="2:22" s="4" customFormat="1" ht="15.75" x14ac:dyDescent="0.25">
      <c r="B210" s="95">
        <f t="shared" si="11"/>
        <v>206</v>
      </c>
      <c r="C210" s="95" t="s">
        <v>273</v>
      </c>
      <c r="D210" s="95" t="s">
        <v>74</v>
      </c>
      <c r="E210" s="96" t="s">
        <v>109</v>
      </c>
      <c r="F210" s="96">
        <v>42622</v>
      </c>
      <c r="G210" s="95" t="s">
        <v>306</v>
      </c>
      <c r="H210" s="95" t="s">
        <v>28</v>
      </c>
      <c r="I210" s="112">
        <v>22362.27</v>
      </c>
      <c r="J210" s="112">
        <v>12378.42</v>
      </c>
      <c r="K210" s="113">
        <f t="shared" si="9"/>
        <v>0.44645959466547896</v>
      </c>
      <c r="L210" s="112">
        <v>1622.43</v>
      </c>
      <c r="M210" s="113">
        <f t="shared" si="10"/>
        <v>7.2552115684141189E-2</v>
      </c>
      <c r="N210" s="112">
        <v>-297.43</v>
      </c>
      <c r="O210" s="112">
        <v>0</v>
      </c>
      <c r="P210" s="116">
        <v>0</v>
      </c>
      <c r="Q210" s="100" t="s">
        <v>407</v>
      </c>
    </row>
    <row r="211" spans="2:22" s="4" customFormat="1" ht="15.75" x14ac:dyDescent="0.25">
      <c r="B211" s="95">
        <f t="shared" si="11"/>
        <v>207</v>
      </c>
      <c r="C211" s="95" t="s">
        <v>73</v>
      </c>
      <c r="D211" s="95" t="s">
        <v>70</v>
      </c>
      <c r="E211" s="96" t="s">
        <v>109</v>
      </c>
      <c r="F211" s="96">
        <v>42625</v>
      </c>
      <c r="G211" s="95" t="s">
        <v>307</v>
      </c>
      <c r="H211" s="115" t="s">
        <v>17</v>
      </c>
      <c r="I211" s="112">
        <v>6964.71</v>
      </c>
      <c r="J211" s="112">
        <v>2966.47</v>
      </c>
      <c r="K211" s="113">
        <f t="shared" si="9"/>
        <v>0.57407128222137038</v>
      </c>
      <c r="L211" s="112">
        <v>789.37</v>
      </c>
      <c r="M211" s="113">
        <f t="shared" si="10"/>
        <v>0.11333853096539555</v>
      </c>
      <c r="N211" s="112">
        <v>288.51</v>
      </c>
      <c r="O211" s="112">
        <v>0</v>
      </c>
      <c r="P211" s="116">
        <v>0</v>
      </c>
      <c r="Q211" s="100"/>
    </row>
    <row r="212" spans="2:22" s="4" customFormat="1" ht="15.75" x14ac:dyDescent="0.25">
      <c r="B212" s="95">
        <f t="shared" si="11"/>
        <v>208</v>
      </c>
      <c r="C212" s="95" t="s">
        <v>73</v>
      </c>
      <c r="D212" s="95" t="s">
        <v>70</v>
      </c>
      <c r="E212" s="96" t="s">
        <v>109</v>
      </c>
      <c r="F212" s="96">
        <v>42625</v>
      </c>
      <c r="G212" s="95" t="s">
        <v>308</v>
      </c>
      <c r="H212" s="115" t="s">
        <v>14</v>
      </c>
      <c r="I212" s="112">
        <v>13190.37</v>
      </c>
      <c r="J212" s="112">
        <v>6167.22</v>
      </c>
      <c r="K212" s="113">
        <f t="shared" si="9"/>
        <v>0.53244526120192237</v>
      </c>
      <c r="L212" s="112">
        <v>1368.14</v>
      </c>
      <c r="M212" s="113">
        <f t="shared" si="10"/>
        <v>0.10372264007757175</v>
      </c>
      <c r="N212" s="112">
        <v>738.77</v>
      </c>
      <c r="O212" s="112">
        <v>0</v>
      </c>
      <c r="P212" s="116">
        <v>0</v>
      </c>
      <c r="Q212" s="100"/>
    </row>
    <row r="213" spans="2:22" s="4" customFormat="1" ht="15.75" x14ac:dyDescent="0.25">
      <c r="B213" s="95">
        <f t="shared" si="11"/>
        <v>209</v>
      </c>
      <c r="C213" s="95" t="s">
        <v>73</v>
      </c>
      <c r="D213" s="95" t="s">
        <v>70</v>
      </c>
      <c r="E213" s="96" t="s">
        <v>109</v>
      </c>
      <c r="F213" s="96">
        <v>42628</v>
      </c>
      <c r="G213" s="95" t="s">
        <v>309</v>
      </c>
      <c r="H213" s="115" t="s">
        <v>14</v>
      </c>
      <c r="I213" s="112">
        <v>8927.2000000000007</v>
      </c>
      <c r="J213" s="112">
        <v>3524.03</v>
      </c>
      <c r="K213" s="113">
        <f t="shared" si="9"/>
        <v>0.60524800609373597</v>
      </c>
      <c r="L213" s="112">
        <v>1172.3399999999999</v>
      </c>
      <c r="M213" s="113">
        <f t="shared" si="10"/>
        <v>0.1313222510977686</v>
      </c>
      <c r="N213" s="112">
        <v>861.8</v>
      </c>
      <c r="O213" s="112">
        <v>0</v>
      </c>
      <c r="P213" s="116">
        <v>0</v>
      </c>
      <c r="Q213" s="100"/>
    </row>
    <row r="214" spans="2:22" s="4" customFormat="1" ht="15.75" x14ac:dyDescent="0.25">
      <c r="B214" s="95">
        <f t="shared" si="11"/>
        <v>210</v>
      </c>
      <c r="C214" s="95" t="s">
        <v>73</v>
      </c>
      <c r="D214" s="95" t="s">
        <v>76</v>
      </c>
      <c r="E214" s="96" t="s">
        <v>255</v>
      </c>
      <c r="F214" s="96">
        <v>42630</v>
      </c>
      <c r="G214" s="95" t="s">
        <v>310</v>
      </c>
      <c r="H214" s="115" t="s">
        <v>15</v>
      </c>
      <c r="I214" s="112">
        <v>6523.01</v>
      </c>
      <c r="J214" s="112">
        <v>3155.02</v>
      </c>
      <c r="K214" s="113">
        <f t="shared" si="9"/>
        <v>0.51632451889541797</v>
      </c>
      <c r="L214" s="112">
        <v>714.76</v>
      </c>
      <c r="M214" s="113">
        <f t="shared" si="10"/>
        <v>0.10957518078310473</v>
      </c>
      <c r="N214" s="112">
        <v>199.91</v>
      </c>
      <c r="O214" s="112">
        <v>0</v>
      </c>
      <c r="P214" s="116">
        <v>0</v>
      </c>
      <c r="Q214" s="100"/>
    </row>
    <row r="215" spans="2:22" s="4" customFormat="1" ht="15.75" x14ac:dyDescent="0.25">
      <c r="B215" s="95">
        <f t="shared" si="11"/>
        <v>211</v>
      </c>
      <c r="C215" s="95" t="s">
        <v>188</v>
      </c>
      <c r="D215" s="95" t="s">
        <v>74</v>
      </c>
      <c r="E215" s="96" t="s">
        <v>72</v>
      </c>
      <c r="F215" s="96">
        <v>42632</v>
      </c>
      <c r="G215" s="95" t="s">
        <v>311</v>
      </c>
      <c r="H215" s="115" t="s">
        <v>13</v>
      </c>
      <c r="I215" s="112">
        <v>7799.53</v>
      </c>
      <c r="J215" s="112">
        <v>3442.16</v>
      </c>
      <c r="K215" s="113">
        <f t="shared" si="9"/>
        <v>0.55867084298669278</v>
      </c>
      <c r="L215" s="112">
        <v>905.16</v>
      </c>
      <c r="M215" s="113">
        <f t="shared" si="10"/>
        <v>0.1160531467921785</v>
      </c>
      <c r="N215" s="112">
        <v>399.28</v>
      </c>
      <c r="O215" s="112">
        <v>0</v>
      </c>
      <c r="P215" s="116">
        <v>0</v>
      </c>
      <c r="Q215" s="100"/>
    </row>
    <row r="216" spans="2:22" s="4" customFormat="1" ht="15.75" x14ac:dyDescent="0.25">
      <c r="B216" s="95">
        <f t="shared" si="11"/>
        <v>212</v>
      </c>
      <c r="C216" s="95" t="s">
        <v>420</v>
      </c>
      <c r="D216" s="95" t="s">
        <v>70</v>
      </c>
      <c r="E216" s="95" t="s">
        <v>424</v>
      </c>
      <c r="F216" s="96">
        <v>42633</v>
      </c>
      <c r="G216" s="95" t="s">
        <v>312</v>
      </c>
      <c r="H216" s="115" t="s">
        <v>14</v>
      </c>
      <c r="I216" s="112">
        <v>6515.42</v>
      </c>
      <c r="J216" s="112">
        <v>3236.58</v>
      </c>
      <c r="K216" s="113">
        <f t="shared" si="9"/>
        <v>0.50324307565744042</v>
      </c>
      <c r="L216" s="112">
        <v>874.91</v>
      </c>
      <c r="M216" s="113">
        <f t="shared" si="10"/>
        <v>0.13428297792007268</v>
      </c>
      <c r="N216" s="112">
        <v>722.92</v>
      </c>
      <c r="O216" s="112">
        <v>0</v>
      </c>
      <c r="P216" s="116">
        <v>0</v>
      </c>
      <c r="Q216" s="100"/>
    </row>
    <row r="217" spans="2:22" s="4" customFormat="1" ht="15.75" x14ac:dyDescent="0.25">
      <c r="B217" s="95">
        <f t="shared" si="11"/>
        <v>213</v>
      </c>
      <c r="C217" s="95" t="s">
        <v>120</v>
      </c>
      <c r="D217" s="95" t="s">
        <v>93</v>
      </c>
      <c r="E217" s="96" t="s">
        <v>80</v>
      </c>
      <c r="F217" s="96">
        <v>42634</v>
      </c>
      <c r="G217" s="95" t="s">
        <v>313</v>
      </c>
      <c r="H217" s="95" t="s">
        <v>429</v>
      </c>
      <c r="I217" s="112">
        <v>14024.32</v>
      </c>
      <c r="J217" s="112">
        <v>6477.18</v>
      </c>
      <c r="K217" s="113">
        <f t="shared" si="9"/>
        <v>0.53814659106466478</v>
      </c>
      <c r="L217" s="112">
        <v>1760.06</v>
      </c>
      <c r="M217" s="113">
        <f t="shared" si="10"/>
        <v>0.12550055902888696</v>
      </c>
      <c r="N217" s="112">
        <v>1014.82</v>
      </c>
      <c r="O217" s="112">
        <v>0</v>
      </c>
      <c r="P217" s="116">
        <v>0</v>
      </c>
      <c r="Q217" s="100"/>
    </row>
    <row r="218" spans="2:22" s="4" customFormat="1" ht="15.75" x14ac:dyDescent="0.25">
      <c r="B218" s="95">
        <f t="shared" si="11"/>
        <v>214</v>
      </c>
      <c r="C218" s="95" t="s">
        <v>340</v>
      </c>
      <c r="D218" s="95" t="s">
        <v>70</v>
      </c>
      <c r="E218" s="96" t="s">
        <v>71</v>
      </c>
      <c r="F218" s="96">
        <v>42635</v>
      </c>
      <c r="G218" s="95" t="s">
        <v>314</v>
      </c>
      <c r="H218" s="115" t="s">
        <v>17</v>
      </c>
      <c r="I218" s="112">
        <v>5539.53</v>
      </c>
      <c r="J218" s="112">
        <v>2469.86</v>
      </c>
      <c r="K218" s="113">
        <f t="shared" si="9"/>
        <v>0.55413906956005288</v>
      </c>
      <c r="L218" s="112">
        <v>825.63</v>
      </c>
      <c r="M218" s="113">
        <f t="shared" si="10"/>
        <v>0.14904333039084544</v>
      </c>
      <c r="N218" s="112">
        <v>838.63</v>
      </c>
      <c r="O218" s="112">
        <v>0</v>
      </c>
      <c r="P218" s="116">
        <v>0</v>
      </c>
      <c r="Q218" s="100"/>
      <c r="V218" s="102"/>
    </row>
    <row r="219" spans="2:22" s="4" customFormat="1" ht="15.75" x14ac:dyDescent="0.25">
      <c r="B219" s="95">
        <f t="shared" si="11"/>
        <v>215</v>
      </c>
      <c r="C219" s="95" t="s">
        <v>418</v>
      </c>
      <c r="D219" s="95" t="s">
        <v>74</v>
      </c>
      <c r="E219" s="96" t="s">
        <v>72</v>
      </c>
      <c r="F219" s="96">
        <v>42635</v>
      </c>
      <c r="G219" s="95" t="s">
        <v>303</v>
      </c>
      <c r="H219" s="115" t="s">
        <v>54</v>
      </c>
      <c r="I219" s="112">
        <v>3310.13</v>
      </c>
      <c r="J219" s="112">
        <v>1767.01</v>
      </c>
      <c r="K219" s="113">
        <f t="shared" si="9"/>
        <v>0.46618108654342882</v>
      </c>
      <c r="L219" s="112">
        <v>289.32</v>
      </c>
      <c r="M219" s="113">
        <f t="shared" si="10"/>
        <v>8.7404422182814565E-2</v>
      </c>
      <c r="N219" s="112">
        <v>-27.97</v>
      </c>
      <c r="O219" s="112">
        <v>0</v>
      </c>
      <c r="P219" s="116">
        <v>0</v>
      </c>
      <c r="Q219" s="100"/>
    </row>
    <row r="220" spans="2:22" s="4" customFormat="1" ht="15.75" x14ac:dyDescent="0.25">
      <c r="B220" s="95">
        <f t="shared" si="11"/>
        <v>216</v>
      </c>
      <c r="C220" s="95" t="s">
        <v>73</v>
      </c>
      <c r="D220" s="95" t="s">
        <v>93</v>
      </c>
      <c r="E220" s="96" t="s">
        <v>255</v>
      </c>
      <c r="F220" s="96">
        <v>42635</v>
      </c>
      <c r="G220" s="95" t="s">
        <v>315</v>
      </c>
      <c r="H220" s="115" t="s">
        <v>15</v>
      </c>
      <c r="I220" s="112">
        <v>8032.94</v>
      </c>
      <c r="J220" s="112">
        <v>3500.66</v>
      </c>
      <c r="K220" s="113">
        <f t="shared" si="9"/>
        <v>0.564211857676019</v>
      </c>
      <c r="L220" s="112">
        <v>897.69</v>
      </c>
      <c r="M220" s="113">
        <f t="shared" si="10"/>
        <v>0.11175111478487329</v>
      </c>
      <c r="N220" s="112">
        <v>279.74</v>
      </c>
      <c r="O220" s="112">
        <v>0</v>
      </c>
      <c r="P220" s="116">
        <v>0</v>
      </c>
      <c r="Q220" s="100"/>
    </row>
    <row r="221" spans="2:22" s="4" customFormat="1" ht="15.75" x14ac:dyDescent="0.25">
      <c r="B221" s="95">
        <f t="shared" si="11"/>
        <v>217</v>
      </c>
      <c r="C221" s="95" t="s">
        <v>120</v>
      </c>
      <c r="D221" s="95" t="s">
        <v>93</v>
      </c>
      <c r="E221" s="96" t="s">
        <v>80</v>
      </c>
      <c r="F221" s="96">
        <v>42637</v>
      </c>
      <c r="G221" s="95" t="s">
        <v>316</v>
      </c>
      <c r="H221" s="95" t="s">
        <v>429</v>
      </c>
      <c r="I221" s="112">
        <v>11966.04</v>
      </c>
      <c r="J221" s="112">
        <v>6094.14</v>
      </c>
      <c r="K221" s="113">
        <f t="shared" si="9"/>
        <v>0.49071371982711071</v>
      </c>
      <c r="L221" s="112">
        <v>1230</v>
      </c>
      <c r="M221" s="113">
        <f t="shared" si="10"/>
        <v>0.10279089824202492</v>
      </c>
      <c r="N221" s="112">
        <v>166.14</v>
      </c>
      <c r="O221" s="112">
        <v>0</v>
      </c>
      <c r="P221" s="116">
        <v>0</v>
      </c>
      <c r="Q221" s="100"/>
    </row>
    <row r="222" spans="2:22" s="4" customFormat="1" ht="15.75" x14ac:dyDescent="0.25">
      <c r="B222" s="95">
        <f t="shared" si="11"/>
        <v>218</v>
      </c>
      <c r="C222" s="95" t="s">
        <v>420</v>
      </c>
      <c r="D222" s="95" t="s">
        <v>70</v>
      </c>
      <c r="E222" s="96" t="s">
        <v>71</v>
      </c>
      <c r="F222" s="96">
        <v>42639</v>
      </c>
      <c r="G222" s="95" t="s">
        <v>317</v>
      </c>
      <c r="H222" s="115" t="s">
        <v>28</v>
      </c>
      <c r="I222" s="112">
        <v>23222.799999999999</v>
      </c>
      <c r="J222" s="112">
        <v>11146.36</v>
      </c>
      <c r="K222" s="113">
        <f t="shared" si="9"/>
        <v>0.52002514769967445</v>
      </c>
      <c r="L222" s="112">
        <v>2468.56</v>
      </c>
      <c r="M222" s="113">
        <f t="shared" si="10"/>
        <v>0.10629898203489674</v>
      </c>
      <c r="N222" s="112">
        <v>1167.2</v>
      </c>
      <c r="O222" s="112">
        <v>0</v>
      </c>
      <c r="P222" s="116">
        <v>0</v>
      </c>
      <c r="Q222" s="100"/>
    </row>
    <row r="223" spans="2:22" s="4" customFormat="1" ht="15.75" x14ac:dyDescent="0.25">
      <c r="B223" s="95">
        <f t="shared" si="11"/>
        <v>219</v>
      </c>
      <c r="C223" s="95" t="s">
        <v>217</v>
      </c>
      <c r="D223" s="95" t="s">
        <v>93</v>
      </c>
      <c r="E223" s="96" t="s">
        <v>71</v>
      </c>
      <c r="F223" s="96">
        <v>42648</v>
      </c>
      <c r="G223" s="95" t="s">
        <v>318</v>
      </c>
      <c r="H223" s="115" t="s">
        <v>14</v>
      </c>
      <c r="I223" s="112">
        <v>8589.92</v>
      </c>
      <c r="J223" s="112">
        <v>4441.59</v>
      </c>
      <c r="K223" s="113">
        <f t="shared" si="9"/>
        <v>0.48292999236314188</v>
      </c>
      <c r="L223" s="112">
        <v>825.41</v>
      </c>
      <c r="M223" s="113">
        <f t="shared" si="10"/>
        <v>9.6090534021271434E-2</v>
      </c>
      <c r="N223" s="112">
        <v>290.02</v>
      </c>
      <c r="O223" s="112">
        <v>0</v>
      </c>
      <c r="P223" s="116">
        <v>0</v>
      </c>
      <c r="Q223" s="100"/>
    </row>
    <row r="224" spans="2:22" s="4" customFormat="1" ht="15.75" x14ac:dyDescent="0.25">
      <c r="B224" s="95">
        <f t="shared" si="11"/>
        <v>220</v>
      </c>
      <c r="C224" s="95" t="s">
        <v>73</v>
      </c>
      <c r="D224" s="95" t="s">
        <v>93</v>
      </c>
      <c r="E224" s="96" t="s">
        <v>71</v>
      </c>
      <c r="F224" s="96">
        <v>42650</v>
      </c>
      <c r="G224" s="95" t="s">
        <v>319</v>
      </c>
      <c r="H224" s="115" t="s">
        <v>14</v>
      </c>
      <c r="I224" s="112">
        <v>9126.6200000000008</v>
      </c>
      <c r="J224" s="112">
        <v>4996.34</v>
      </c>
      <c r="K224" s="113">
        <f t="shared" si="9"/>
        <v>0.45255308098726588</v>
      </c>
      <c r="L224" s="112">
        <v>721.71</v>
      </c>
      <c r="M224" s="113">
        <f t="shared" si="10"/>
        <v>7.9077467890632011E-2</v>
      </c>
      <c r="N224" s="112">
        <v>-127.38</v>
      </c>
      <c r="O224" s="112">
        <v>0</v>
      </c>
      <c r="P224" s="116">
        <v>0</v>
      </c>
      <c r="Q224" s="100"/>
    </row>
    <row r="225" spans="2:17" s="4" customFormat="1" ht="15.75" x14ac:dyDescent="0.25">
      <c r="B225" s="95">
        <f t="shared" si="11"/>
        <v>221</v>
      </c>
      <c r="C225" s="95" t="s">
        <v>420</v>
      </c>
      <c r="D225" s="95" t="s">
        <v>70</v>
      </c>
      <c r="E225" s="96" t="s">
        <v>95</v>
      </c>
      <c r="F225" s="96">
        <v>42653</v>
      </c>
      <c r="G225" s="95" t="s">
        <v>320</v>
      </c>
      <c r="H225" s="115" t="s">
        <v>18</v>
      </c>
      <c r="I225" s="112">
        <v>8778.34</v>
      </c>
      <c r="J225" s="112">
        <v>4082.19</v>
      </c>
      <c r="K225" s="113">
        <f t="shared" si="9"/>
        <v>0.53497016520207685</v>
      </c>
      <c r="L225" s="112">
        <v>916.47</v>
      </c>
      <c r="M225" s="113">
        <f t="shared" si="10"/>
        <v>0.1044012877149894</v>
      </c>
      <c r="N225" s="112">
        <v>157.84</v>
      </c>
      <c r="O225" s="112">
        <v>0</v>
      </c>
      <c r="P225" s="116">
        <v>0</v>
      </c>
      <c r="Q225" s="100"/>
    </row>
    <row r="226" spans="2:17" s="4" customFormat="1" ht="15.75" x14ac:dyDescent="0.25">
      <c r="B226" s="95">
        <f t="shared" si="11"/>
        <v>222</v>
      </c>
      <c r="C226" s="95" t="s">
        <v>420</v>
      </c>
      <c r="D226" s="95" t="s">
        <v>76</v>
      </c>
      <c r="E226" s="96" t="s">
        <v>255</v>
      </c>
      <c r="F226" s="96">
        <v>42658</v>
      </c>
      <c r="G226" s="95" t="s">
        <v>321</v>
      </c>
      <c r="H226" s="115" t="s">
        <v>15</v>
      </c>
      <c r="I226" s="112">
        <v>6447.98</v>
      </c>
      <c r="J226" s="112">
        <v>2804.27</v>
      </c>
      <c r="K226" s="113">
        <f t="shared" si="9"/>
        <v>0.5650932540113337</v>
      </c>
      <c r="L226" s="112">
        <v>786.17</v>
      </c>
      <c r="M226" s="113">
        <f t="shared" si="10"/>
        <v>0.1219250059708622</v>
      </c>
      <c r="N226" s="112">
        <v>397.18</v>
      </c>
      <c r="O226" s="112">
        <v>0</v>
      </c>
      <c r="P226" s="116">
        <v>0</v>
      </c>
      <c r="Q226" s="100"/>
    </row>
    <row r="227" spans="2:17" s="4" customFormat="1" ht="15.75" x14ac:dyDescent="0.25">
      <c r="B227" s="95">
        <f t="shared" si="11"/>
        <v>223</v>
      </c>
      <c r="C227" s="95" t="s">
        <v>123</v>
      </c>
      <c r="D227" s="95" t="s">
        <v>76</v>
      </c>
      <c r="E227" s="96" t="s">
        <v>95</v>
      </c>
      <c r="F227" s="96">
        <v>42661</v>
      </c>
      <c r="G227" s="95" t="s">
        <v>322</v>
      </c>
      <c r="H227" s="115" t="s">
        <v>18</v>
      </c>
      <c r="I227" s="112">
        <v>3240.74</v>
      </c>
      <c r="J227" s="112">
        <v>1432.58</v>
      </c>
      <c r="K227" s="113">
        <f t="shared" si="9"/>
        <v>0.55794664181637521</v>
      </c>
      <c r="L227" s="112">
        <v>292.63</v>
      </c>
      <c r="M227" s="113">
        <f t="shared" si="10"/>
        <v>9.0297277782234925E-2</v>
      </c>
      <c r="N227" s="112">
        <v>-142.36000000000001</v>
      </c>
      <c r="O227" s="112">
        <v>50</v>
      </c>
      <c r="P227" s="116">
        <v>0</v>
      </c>
      <c r="Q227" s="100"/>
    </row>
    <row r="228" spans="2:17" s="4" customFormat="1" ht="15.75" x14ac:dyDescent="0.25">
      <c r="B228" s="95">
        <f t="shared" si="11"/>
        <v>224</v>
      </c>
      <c r="C228" s="95" t="s">
        <v>73</v>
      </c>
      <c r="D228" s="95" t="s">
        <v>70</v>
      </c>
      <c r="E228" s="96" t="s">
        <v>71</v>
      </c>
      <c r="F228" s="96">
        <v>42661</v>
      </c>
      <c r="G228" s="95" t="s">
        <v>278</v>
      </c>
      <c r="H228" s="115" t="s">
        <v>17</v>
      </c>
      <c r="I228" s="112">
        <v>4799.07</v>
      </c>
      <c r="J228" s="112">
        <v>1769.87</v>
      </c>
      <c r="K228" s="113">
        <f t="shared" si="9"/>
        <v>0.63120562942403424</v>
      </c>
      <c r="L228" s="112">
        <v>592.41999999999996</v>
      </c>
      <c r="M228" s="113">
        <f t="shared" si="10"/>
        <v>0.12344475075379188</v>
      </c>
      <c r="N228" s="112">
        <v>200.03</v>
      </c>
      <c r="O228" s="112">
        <v>50</v>
      </c>
      <c r="P228" s="116">
        <v>0</v>
      </c>
      <c r="Q228" s="100"/>
    </row>
    <row r="229" spans="2:17" s="4" customFormat="1" ht="15.75" x14ac:dyDescent="0.25">
      <c r="B229" s="95">
        <f t="shared" si="11"/>
        <v>225</v>
      </c>
      <c r="C229" s="95" t="s">
        <v>73</v>
      </c>
      <c r="D229" s="95" t="s">
        <v>76</v>
      </c>
      <c r="E229" s="96" t="s">
        <v>255</v>
      </c>
      <c r="F229" s="96">
        <v>42661</v>
      </c>
      <c r="G229" s="95" t="s">
        <v>323</v>
      </c>
      <c r="H229" s="115" t="s">
        <v>15</v>
      </c>
      <c r="I229" s="112">
        <v>8934.65</v>
      </c>
      <c r="J229" s="112">
        <v>3195.89</v>
      </c>
      <c r="K229" s="113">
        <f t="shared" si="9"/>
        <v>0.64230383954603709</v>
      </c>
      <c r="L229" s="112">
        <v>1170.3499999999999</v>
      </c>
      <c r="M229" s="113">
        <f t="shared" si="10"/>
        <v>0.13099002199302714</v>
      </c>
      <c r="N229" s="112">
        <v>610.95000000000005</v>
      </c>
      <c r="O229" s="112">
        <v>50</v>
      </c>
      <c r="P229" s="116">
        <v>0</v>
      </c>
      <c r="Q229" s="100"/>
    </row>
    <row r="230" spans="2:17" s="4" customFormat="1" ht="15.75" x14ac:dyDescent="0.25">
      <c r="B230" s="95">
        <f t="shared" si="11"/>
        <v>226</v>
      </c>
      <c r="C230" s="95" t="s">
        <v>73</v>
      </c>
      <c r="D230" s="95" t="s">
        <v>76</v>
      </c>
      <c r="E230" s="96" t="s">
        <v>80</v>
      </c>
      <c r="F230" s="96">
        <v>42667</v>
      </c>
      <c r="G230" s="95" t="s">
        <v>324</v>
      </c>
      <c r="H230" s="115" t="s">
        <v>15</v>
      </c>
      <c r="I230" s="112">
        <v>5838.09</v>
      </c>
      <c r="J230" s="112">
        <v>2693.28</v>
      </c>
      <c r="K230" s="113">
        <f t="shared" si="9"/>
        <v>0.53867103795933258</v>
      </c>
      <c r="L230" s="112">
        <v>557.26</v>
      </c>
      <c r="M230" s="113">
        <f t="shared" si="10"/>
        <v>9.5452451058479743E-2</v>
      </c>
      <c r="N230" s="112">
        <v>-147.61000000000001</v>
      </c>
      <c r="O230" s="112">
        <v>50</v>
      </c>
      <c r="P230" s="116">
        <v>0</v>
      </c>
      <c r="Q230" s="100"/>
    </row>
    <row r="231" spans="2:17" s="4" customFormat="1" ht="15.75" x14ac:dyDescent="0.25">
      <c r="B231" s="95">
        <f t="shared" si="11"/>
        <v>227</v>
      </c>
      <c r="C231" s="95" t="s">
        <v>325</v>
      </c>
      <c r="D231" s="95" t="s">
        <v>93</v>
      </c>
      <c r="E231" s="96" t="s">
        <v>80</v>
      </c>
      <c r="F231" s="96">
        <v>42670</v>
      </c>
      <c r="G231" s="95" t="s">
        <v>326</v>
      </c>
      <c r="H231" s="95" t="s">
        <v>429</v>
      </c>
      <c r="I231" s="112">
        <v>14478.07</v>
      </c>
      <c r="J231" s="112">
        <v>5971.23</v>
      </c>
      <c r="K231" s="113">
        <f t="shared" si="9"/>
        <v>0.58756726552641347</v>
      </c>
      <c r="L231" s="112">
        <v>1466.57</v>
      </c>
      <c r="M231" s="113">
        <f t="shared" si="10"/>
        <v>0.10129596002782139</v>
      </c>
      <c r="N231" s="112">
        <v>-59.88</v>
      </c>
      <c r="O231" s="112">
        <v>300</v>
      </c>
      <c r="P231" s="116">
        <v>0</v>
      </c>
      <c r="Q231" s="100"/>
    </row>
    <row r="232" spans="2:17" s="4" customFormat="1" ht="15.75" x14ac:dyDescent="0.25">
      <c r="B232" s="95">
        <f t="shared" si="11"/>
        <v>228</v>
      </c>
      <c r="C232" s="95" t="s">
        <v>73</v>
      </c>
      <c r="D232" s="95" t="s">
        <v>76</v>
      </c>
      <c r="E232" s="95" t="s">
        <v>424</v>
      </c>
      <c r="F232" s="96">
        <v>42676</v>
      </c>
      <c r="G232" s="95" t="s">
        <v>98</v>
      </c>
      <c r="H232" s="115" t="s">
        <v>22</v>
      </c>
      <c r="I232" s="112">
        <v>6356.2</v>
      </c>
      <c r="J232" s="112">
        <v>2786.63</v>
      </c>
      <c r="K232" s="113">
        <f t="shared" si="9"/>
        <v>0.56158868506340265</v>
      </c>
      <c r="L232" s="112">
        <v>646.29999999999995</v>
      </c>
      <c r="M232" s="113">
        <f t="shared" si="10"/>
        <v>0.10168024920550013</v>
      </c>
      <c r="N232" s="112">
        <v>84.2</v>
      </c>
      <c r="O232" s="112">
        <v>75</v>
      </c>
      <c r="P232" s="116">
        <v>0</v>
      </c>
      <c r="Q232" s="100"/>
    </row>
    <row r="233" spans="2:17" s="4" customFormat="1" ht="15.75" x14ac:dyDescent="0.25">
      <c r="B233" s="95">
        <f t="shared" si="11"/>
        <v>229</v>
      </c>
      <c r="C233" s="95" t="s">
        <v>73</v>
      </c>
      <c r="D233" s="95" t="s">
        <v>70</v>
      </c>
      <c r="E233" s="96" t="s">
        <v>95</v>
      </c>
      <c r="F233" s="96">
        <v>42676</v>
      </c>
      <c r="G233" s="95" t="s">
        <v>327</v>
      </c>
      <c r="H233" s="115" t="s">
        <v>54</v>
      </c>
      <c r="I233" s="112">
        <v>2562.61</v>
      </c>
      <c r="J233" s="112">
        <v>1026.5</v>
      </c>
      <c r="K233" s="113">
        <f t="shared" si="9"/>
        <v>0.5994318292678168</v>
      </c>
      <c r="L233" s="112">
        <v>291.23</v>
      </c>
      <c r="M233" s="113">
        <f t="shared" si="10"/>
        <v>0.11364585325117751</v>
      </c>
      <c r="N233" s="112">
        <v>148.68</v>
      </c>
      <c r="O233" s="112">
        <v>0</v>
      </c>
      <c r="P233" s="116">
        <v>0</v>
      </c>
      <c r="Q233" s="100"/>
    </row>
    <row r="234" spans="2:17" s="4" customFormat="1" ht="15.75" x14ac:dyDescent="0.25">
      <c r="B234" s="95">
        <f t="shared" si="11"/>
        <v>230</v>
      </c>
      <c r="C234" s="95" t="s">
        <v>73</v>
      </c>
      <c r="D234" s="95" t="s">
        <v>74</v>
      </c>
      <c r="E234" s="96" t="s">
        <v>72</v>
      </c>
      <c r="F234" s="96">
        <v>42677</v>
      </c>
      <c r="G234" s="95" t="s">
        <v>328</v>
      </c>
      <c r="H234" s="115" t="s">
        <v>18</v>
      </c>
      <c r="I234" s="112">
        <v>5799.88</v>
      </c>
      <c r="J234" s="112">
        <v>2903.81</v>
      </c>
      <c r="K234" s="113">
        <f t="shared" si="9"/>
        <v>0.49933274481541001</v>
      </c>
      <c r="L234" s="112">
        <v>552.79999999999995</v>
      </c>
      <c r="M234" s="113">
        <f t="shared" si="10"/>
        <v>9.5312316806554609E-2</v>
      </c>
      <c r="N234" s="112">
        <v>25.78</v>
      </c>
      <c r="O234" s="112">
        <v>0</v>
      </c>
      <c r="P234" s="116">
        <v>0</v>
      </c>
      <c r="Q234" s="100"/>
    </row>
    <row r="235" spans="2:17" s="4" customFormat="1" ht="15.75" x14ac:dyDescent="0.25">
      <c r="B235" s="95">
        <f t="shared" si="11"/>
        <v>231</v>
      </c>
      <c r="C235" s="95" t="s">
        <v>73</v>
      </c>
      <c r="D235" s="95" t="s">
        <v>74</v>
      </c>
      <c r="E235" s="96" t="s">
        <v>72</v>
      </c>
      <c r="F235" s="96">
        <v>42677</v>
      </c>
      <c r="G235" s="95" t="s">
        <v>329</v>
      </c>
      <c r="H235" s="115" t="s">
        <v>13</v>
      </c>
      <c r="I235" s="112">
        <v>25132.76</v>
      </c>
      <c r="J235" s="112">
        <v>11707.04</v>
      </c>
      <c r="K235" s="113">
        <f t="shared" si="9"/>
        <v>0.53419202666161614</v>
      </c>
      <c r="L235" s="112">
        <v>2253.2800000000002</v>
      </c>
      <c r="M235" s="113">
        <f t="shared" si="10"/>
        <v>8.9655095580429695E-2</v>
      </c>
      <c r="N235" s="112">
        <v>-838.74</v>
      </c>
      <c r="O235" s="112">
        <v>100</v>
      </c>
      <c r="P235" s="116">
        <v>0</v>
      </c>
      <c r="Q235" s="100"/>
    </row>
    <row r="236" spans="2:17" s="4" customFormat="1" ht="15.75" x14ac:dyDescent="0.25">
      <c r="B236" s="95">
        <f t="shared" si="11"/>
        <v>232</v>
      </c>
      <c r="C236" s="95" t="s">
        <v>73</v>
      </c>
      <c r="D236" s="95" t="s">
        <v>74</v>
      </c>
      <c r="E236" s="96" t="s">
        <v>95</v>
      </c>
      <c r="F236" s="96">
        <v>42682</v>
      </c>
      <c r="G236" s="95" t="s">
        <v>248</v>
      </c>
      <c r="H236" s="115" t="s">
        <v>13</v>
      </c>
      <c r="I236" s="112">
        <v>11519.59</v>
      </c>
      <c r="J236" s="112">
        <v>4868.88</v>
      </c>
      <c r="K236" s="113">
        <f t="shared" si="9"/>
        <v>0.5773391240486857</v>
      </c>
      <c r="L236" s="112">
        <v>1324.69</v>
      </c>
      <c r="M236" s="113">
        <f t="shared" si="10"/>
        <v>0.11499454407665551</v>
      </c>
      <c r="N236" s="112">
        <v>368.09</v>
      </c>
      <c r="O236" s="112">
        <v>50</v>
      </c>
      <c r="P236" s="116">
        <v>0</v>
      </c>
      <c r="Q236" s="100"/>
    </row>
    <row r="237" spans="2:17" s="4" customFormat="1" ht="15.75" x14ac:dyDescent="0.25">
      <c r="B237" s="95">
        <f t="shared" si="11"/>
        <v>233</v>
      </c>
      <c r="C237" s="95" t="s">
        <v>73</v>
      </c>
      <c r="D237" s="95" t="s">
        <v>70</v>
      </c>
      <c r="E237" s="96" t="s">
        <v>72</v>
      </c>
      <c r="F237" s="96">
        <v>42682</v>
      </c>
      <c r="G237" s="95" t="s">
        <v>330</v>
      </c>
      <c r="H237" s="115" t="s">
        <v>18</v>
      </c>
      <c r="I237" s="112">
        <v>9691.32</v>
      </c>
      <c r="J237" s="112">
        <v>4279.63</v>
      </c>
      <c r="K237" s="113">
        <f t="shared" si="9"/>
        <v>0.55840587247144868</v>
      </c>
      <c r="L237" s="112">
        <v>1303.52</v>
      </c>
      <c r="M237" s="113">
        <f t="shared" si="10"/>
        <v>0.13450386531452888</v>
      </c>
      <c r="N237" s="112">
        <v>897.22</v>
      </c>
      <c r="O237" s="112">
        <v>0</v>
      </c>
      <c r="P237" s="116">
        <v>0</v>
      </c>
      <c r="Q237" s="100"/>
    </row>
    <row r="238" spans="2:17" s="4" customFormat="1" ht="15.75" x14ac:dyDescent="0.25">
      <c r="B238" s="95">
        <f t="shared" si="11"/>
        <v>234</v>
      </c>
      <c r="C238" s="95" t="s">
        <v>73</v>
      </c>
      <c r="D238" s="95" t="s">
        <v>76</v>
      </c>
      <c r="E238" s="96" t="s">
        <v>109</v>
      </c>
      <c r="F238" s="96">
        <v>42682</v>
      </c>
      <c r="G238" s="95" t="s">
        <v>331</v>
      </c>
      <c r="H238" s="115" t="s">
        <v>17</v>
      </c>
      <c r="I238" s="112">
        <v>4355.5</v>
      </c>
      <c r="J238" s="112">
        <v>2216.84</v>
      </c>
      <c r="K238" s="113">
        <f t="shared" si="9"/>
        <v>0.4910251406267937</v>
      </c>
      <c r="L238" s="112">
        <v>428.69</v>
      </c>
      <c r="M238" s="113">
        <f t="shared" si="10"/>
        <v>9.8424979910458038E-2</v>
      </c>
      <c r="N238" s="112">
        <v>50.35</v>
      </c>
      <c r="O238" s="112">
        <v>0</v>
      </c>
      <c r="P238" s="116">
        <v>0</v>
      </c>
      <c r="Q238" s="100"/>
    </row>
    <row r="239" spans="2:17" s="4" customFormat="1" ht="15.75" x14ac:dyDescent="0.25">
      <c r="B239" s="95">
        <f t="shared" si="11"/>
        <v>235</v>
      </c>
      <c r="C239" s="95" t="s">
        <v>73</v>
      </c>
      <c r="D239" s="95" t="s">
        <v>76</v>
      </c>
      <c r="E239" s="96" t="s">
        <v>71</v>
      </c>
      <c r="F239" s="96">
        <v>42688</v>
      </c>
      <c r="G239" s="95" t="s">
        <v>332</v>
      </c>
      <c r="H239" s="115" t="s">
        <v>24</v>
      </c>
      <c r="I239" s="112">
        <v>5125.22</v>
      </c>
      <c r="J239" s="112">
        <v>2400.5100000000002</v>
      </c>
      <c r="K239" s="113">
        <f t="shared" si="9"/>
        <v>0.53162791060676418</v>
      </c>
      <c r="L239" s="112">
        <v>513.19000000000005</v>
      </c>
      <c r="M239" s="113">
        <f t="shared" si="10"/>
        <v>0.10013033586850907</v>
      </c>
      <c r="N239" s="112">
        <v>65.42</v>
      </c>
      <c r="O239" s="112">
        <v>0</v>
      </c>
      <c r="P239" s="116">
        <v>0</v>
      </c>
      <c r="Q239" s="100"/>
    </row>
    <row r="240" spans="2:17" s="4" customFormat="1" ht="15.75" x14ac:dyDescent="0.25">
      <c r="B240" s="95">
        <f t="shared" si="11"/>
        <v>236</v>
      </c>
      <c r="C240" s="95" t="s">
        <v>420</v>
      </c>
      <c r="D240" s="95" t="s">
        <v>74</v>
      </c>
      <c r="E240" s="95" t="s">
        <v>424</v>
      </c>
      <c r="F240" s="96">
        <v>42689</v>
      </c>
      <c r="G240" s="95" t="s">
        <v>333</v>
      </c>
      <c r="H240" s="95" t="s">
        <v>28</v>
      </c>
      <c r="I240" s="112">
        <v>21444.21</v>
      </c>
      <c r="J240" s="112">
        <v>7315.35</v>
      </c>
      <c r="K240" s="113">
        <f t="shared" si="9"/>
        <v>0.65886595962266736</v>
      </c>
      <c r="L240" s="112">
        <v>2378.1999999999998</v>
      </c>
      <c r="M240" s="113">
        <f t="shared" si="10"/>
        <v>0.11090173058368669</v>
      </c>
      <c r="N240" s="112">
        <v>278.20999999999998</v>
      </c>
      <c r="O240" s="112">
        <v>200</v>
      </c>
      <c r="P240" s="116">
        <v>0</v>
      </c>
      <c r="Q240" s="100"/>
    </row>
    <row r="241" spans="2:17" s="4" customFormat="1" ht="15.75" x14ac:dyDescent="0.25">
      <c r="B241" s="95">
        <f t="shared" si="11"/>
        <v>237</v>
      </c>
      <c r="C241" s="95" t="s">
        <v>73</v>
      </c>
      <c r="D241" s="95" t="s">
        <v>76</v>
      </c>
      <c r="E241" s="96" t="s">
        <v>109</v>
      </c>
      <c r="F241" s="96">
        <v>42692</v>
      </c>
      <c r="G241" s="95" t="s">
        <v>334</v>
      </c>
      <c r="H241" s="115" t="s">
        <v>22</v>
      </c>
      <c r="I241" s="112">
        <v>4067.56</v>
      </c>
      <c r="J241" s="112">
        <v>1659.8</v>
      </c>
      <c r="K241" s="113">
        <f t="shared" si="9"/>
        <v>0.59194209796536501</v>
      </c>
      <c r="L241" s="112">
        <v>703.09</v>
      </c>
      <c r="M241" s="113">
        <f t="shared" si="10"/>
        <v>0.17285301261690056</v>
      </c>
      <c r="N241" s="112">
        <v>870.27</v>
      </c>
      <c r="O241" s="112">
        <v>0</v>
      </c>
      <c r="P241" s="116">
        <v>0</v>
      </c>
      <c r="Q241" s="100"/>
    </row>
    <row r="242" spans="2:17" s="4" customFormat="1" ht="15.75" x14ac:dyDescent="0.25">
      <c r="B242" s="95">
        <f t="shared" si="11"/>
        <v>238</v>
      </c>
      <c r="C242" s="95" t="s">
        <v>418</v>
      </c>
      <c r="D242" s="95" t="s">
        <v>74</v>
      </c>
      <c r="E242" s="96" t="s">
        <v>71</v>
      </c>
      <c r="F242" s="96">
        <v>42425</v>
      </c>
      <c r="G242" s="95" t="s">
        <v>335</v>
      </c>
      <c r="H242" s="95" t="s">
        <v>28</v>
      </c>
      <c r="I242" s="112">
        <v>13479.52</v>
      </c>
      <c r="J242" s="112">
        <v>7838.43</v>
      </c>
      <c r="K242" s="113">
        <f t="shared" si="9"/>
        <v>0.41849338848861084</v>
      </c>
      <c r="L242" s="112">
        <v>767.3</v>
      </c>
      <c r="M242" s="113">
        <f t="shared" si="10"/>
        <v>5.6923391930869933E-2</v>
      </c>
      <c r="N242" s="112">
        <v>-930.38</v>
      </c>
      <c r="O242" s="112">
        <v>0</v>
      </c>
      <c r="P242" s="116">
        <v>0</v>
      </c>
      <c r="Q242" s="100"/>
    </row>
    <row r="243" spans="2:17" s="4" customFormat="1" ht="15.75" x14ac:dyDescent="0.25">
      <c r="B243" s="95">
        <f t="shared" si="11"/>
        <v>239</v>
      </c>
      <c r="C243" s="95" t="s">
        <v>73</v>
      </c>
      <c r="D243" s="95" t="s">
        <v>93</v>
      </c>
      <c r="E243" s="96" t="s">
        <v>255</v>
      </c>
      <c r="F243" s="96">
        <v>42683</v>
      </c>
      <c r="G243" s="95" t="s">
        <v>247</v>
      </c>
      <c r="H243" s="115" t="s">
        <v>15</v>
      </c>
      <c r="I243" s="112">
        <v>9614.89</v>
      </c>
      <c r="J243" s="112">
        <v>4664.41</v>
      </c>
      <c r="K243" s="113">
        <f t="shared" si="9"/>
        <v>0.51487640524228562</v>
      </c>
      <c r="L243" s="112">
        <v>1182.47</v>
      </c>
      <c r="M243" s="113">
        <f t="shared" si="10"/>
        <v>0.12298320625612982</v>
      </c>
      <c r="N243" s="112">
        <v>636.5</v>
      </c>
      <c r="O243" s="112">
        <v>0</v>
      </c>
      <c r="P243" s="116">
        <v>0</v>
      </c>
      <c r="Q243" s="100"/>
    </row>
    <row r="244" spans="2:17" s="4" customFormat="1" ht="15.75" x14ac:dyDescent="0.25">
      <c r="B244" s="95">
        <f t="shared" si="11"/>
        <v>240</v>
      </c>
      <c r="C244" s="95" t="s">
        <v>73</v>
      </c>
      <c r="D244" s="95" t="s">
        <v>70</v>
      </c>
      <c r="E244" s="95" t="s">
        <v>424</v>
      </c>
      <c r="F244" s="96">
        <v>42583</v>
      </c>
      <c r="G244" s="95" t="s">
        <v>336</v>
      </c>
      <c r="H244" s="115" t="s">
        <v>28</v>
      </c>
      <c r="I244" s="112">
        <v>36422.07</v>
      </c>
      <c r="J244" s="112">
        <v>17815.849999999999</v>
      </c>
      <c r="K244" s="113">
        <f t="shared" si="9"/>
        <v>0.51085015211930573</v>
      </c>
      <c r="L244" s="112">
        <v>3539.24</v>
      </c>
      <c r="M244" s="113">
        <f t="shared" si="10"/>
        <v>9.7172950356747972E-2</v>
      </c>
      <c r="N244" s="112">
        <v>735.07</v>
      </c>
      <c r="O244" s="112">
        <v>700</v>
      </c>
      <c r="P244" s="116">
        <v>0</v>
      </c>
      <c r="Q244" s="100"/>
    </row>
    <row r="245" spans="2:17" s="4" customFormat="1" ht="15.75" x14ac:dyDescent="0.25">
      <c r="B245" s="95">
        <f t="shared" si="11"/>
        <v>241</v>
      </c>
      <c r="C245" s="95" t="s">
        <v>73</v>
      </c>
      <c r="D245" s="95" t="s">
        <v>70</v>
      </c>
      <c r="E245" s="96" t="s">
        <v>71</v>
      </c>
      <c r="F245" s="96">
        <v>42665</v>
      </c>
      <c r="G245" s="95" t="s">
        <v>337</v>
      </c>
      <c r="H245" s="115" t="s">
        <v>28</v>
      </c>
      <c r="I245" s="112">
        <v>24480.32</v>
      </c>
      <c r="J245" s="112">
        <v>9982.9599999999991</v>
      </c>
      <c r="K245" s="113">
        <f t="shared" si="9"/>
        <v>0.59220467706304492</v>
      </c>
      <c r="L245" s="112">
        <v>2772.24</v>
      </c>
      <c r="M245" s="113">
        <f t="shared" si="10"/>
        <v>0.11324361773048718</v>
      </c>
      <c r="N245" s="112">
        <v>1586.52</v>
      </c>
      <c r="O245" s="112">
        <v>200</v>
      </c>
      <c r="P245" s="116">
        <v>0</v>
      </c>
      <c r="Q245" s="100"/>
    </row>
    <row r="246" spans="2:17" s="4" customFormat="1" ht="15.75" x14ac:dyDescent="0.25">
      <c r="B246" s="95">
        <f t="shared" si="11"/>
        <v>242</v>
      </c>
      <c r="C246" s="95" t="s">
        <v>236</v>
      </c>
      <c r="D246" s="95" t="s">
        <v>93</v>
      </c>
      <c r="E246" s="96" t="s">
        <v>80</v>
      </c>
      <c r="F246" s="96">
        <v>42693</v>
      </c>
      <c r="G246" s="95" t="s">
        <v>338</v>
      </c>
      <c r="H246" s="115" t="s">
        <v>18</v>
      </c>
      <c r="I246" s="112">
        <v>9181.4</v>
      </c>
      <c r="J246" s="112">
        <v>4638.21</v>
      </c>
      <c r="K246" s="113">
        <f t="shared" si="9"/>
        <v>0.49482540788986429</v>
      </c>
      <c r="L246" s="112">
        <v>932.64</v>
      </c>
      <c r="M246" s="113">
        <f t="shared" si="10"/>
        <v>0.10157927984838913</v>
      </c>
      <c r="N246" s="112">
        <v>240.65</v>
      </c>
      <c r="O246" s="112">
        <v>0</v>
      </c>
      <c r="P246" s="116">
        <v>0</v>
      </c>
      <c r="Q246" s="100"/>
    </row>
    <row r="247" spans="2:17" s="4" customFormat="1" ht="15.75" x14ac:dyDescent="0.25">
      <c r="B247" s="95">
        <f t="shared" si="11"/>
        <v>243</v>
      </c>
      <c r="C247" s="95" t="s">
        <v>236</v>
      </c>
      <c r="D247" s="95" t="s">
        <v>93</v>
      </c>
      <c r="E247" s="96" t="s">
        <v>80</v>
      </c>
      <c r="F247" s="96">
        <v>42694</v>
      </c>
      <c r="G247" s="95" t="s">
        <v>338</v>
      </c>
      <c r="H247" s="115" t="s">
        <v>15</v>
      </c>
      <c r="I247" s="112">
        <v>11283.72</v>
      </c>
      <c r="J247" s="112">
        <v>5387.35</v>
      </c>
      <c r="K247" s="113">
        <f t="shared" si="9"/>
        <v>0.52255550474488899</v>
      </c>
      <c r="L247" s="112">
        <v>897.47</v>
      </c>
      <c r="M247" s="113">
        <f t="shared" si="10"/>
        <v>7.9536713069803228E-2</v>
      </c>
      <c r="N247" s="112">
        <v>-61.88</v>
      </c>
      <c r="O247" s="112">
        <v>0</v>
      </c>
      <c r="P247" s="116">
        <v>0</v>
      </c>
      <c r="Q247" s="100"/>
    </row>
    <row r="248" spans="2:17" s="4" customFormat="1" ht="15.75" x14ac:dyDescent="0.25">
      <c r="B248" s="95">
        <f t="shared" si="11"/>
        <v>244</v>
      </c>
      <c r="C248" s="95" t="s">
        <v>236</v>
      </c>
      <c r="D248" s="95" t="s">
        <v>93</v>
      </c>
      <c r="E248" s="96" t="s">
        <v>255</v>
      </c>
      <c r="F248" s="96">
        <v>42692</v>
      </c>
      <c r="G248" s="95" t="s">
        <v>339</v>
      </c>
      <c r="H248" s="115" t="s">
        <v>15</v>
      </c>
      <c r="I248" s="112">
        <v>10076.370000000001</v>
      </c>
      <c r="J248" s="112">
        <v>5442.54</v>
      </c>
      <c r="K248" s="113">
        <f t="shared" si="9"/>
        <v>0.45987096543695799</v>
      </c>
      <c r="L248" s="112">
        <v>754.25</v>
      </c>
      <c r="M248" s="113">
        <f t="shared" si="10"/>
        <v>7.485334500420289E-2</v>
      </c>
      <c r="N248" s="112">
        <v>-208.73</v>
      </c>
      <c r="O248" s="112">
        <v>0</v>
      </c>
      <c r="P248" s="116">
        <v>0</v>
      </c>
      <c r="Q248" s="100"/>
    </row>
    <row r="249" spans="2:17" s="4" customFormat="1" ht="15.75" x14ac:dyDescent="0.25">
      <c r="B249" s="95">
        <f t="shared" si="11"/>
        <v>245</v>
      </c>
      <c r="C249" s="95" t="s">
        <v>340</v>
      </c>
      <c r="D249" s="95" t="s">
        <v>70</v>
      </c>
      <c r="E249" s="96" t="s">
        <v>71</v>
      </c>
      <c r="F249" s="96">
        <v>42637</v>
      </c>
      <c r="G249" s="95" t="s">
        <v>341</v>
      </c>
      <c r="H249" s="115" t="s">
        <v>30</v>
      </c>
      <c r="I249" s="112">
        <v>47663.55</v>
      </c>
      <c r="J249" s="112">
        <v>15432.77</v>
      </c>
      <c r="K249" s="113">
        <f t="shared" si="9"/>
        <v>0.67621442381022812</v>
      </c>
      <c r="L249" s="112">
        <v>6270.03</v>
      </c>
      <c r="M249" s="113">
        <f t="shared" si="10"/>
        <v>0.13154769210434386</v>
      </c>
      <c r="N249" s="112">
        <v>5007.6499999999996</v>
      </c>
      <c r="O249" s="112">
        <v>150</v>
      </c>
      <c r="P249" s="116">
        <v>0</v>
      </c>
      <c r="Q249" s="100"/>
    </row>
    <row r="250" spans="2:17" s="4" customFormat="1" ht="15.75" x14ac:dyDescent="0.25">
      <c r="B250" s="95">
        <f t="shared" si="11"/>
        <v>246</v>
      </c>
      <c r="C250" s="95" t="s">
        <v>73</v>
      </c>
      <c r="D250" s="95" t="s">
        <v>70</v>
      </c>
      <c r="E250" s="96" t="s">
        <v>80</v>
      </c>
      <c r="F250" s="96">
        <v>42675</v>
      </c>
      <c r="G250" s="95" t="s">
        <v>342</v>
      </c>
      <c r="H250" s="115" t="s">
        <v>15</v>
      </c>
      <c r="I250" s="112">
        <v>9132.2099999999991</v>
      </c>
      <c r="J250" s="112">
        <v>4753.1000000000004</v>
      </c>
      <c r="K250" s="113">
        <f t="shared" si="9"/>
        <v>0.47952357643987592</v>
      </c>
      <c r="L250" s="112">
        <v>683.68</v>
      </c>
      <c r="M250" s="113">
        <f t="shared" si="10"/>
        <v>7.4864682262015439E-2</v>
      </c>
      <c r="N250" s="112">
        <v>-1280.1099999999999</v>
      </c>
      <c r="O250" s="112">
        <v>0</v>
      </c>
      <c r="P250" s="116">
        <v>0</v>
      </c>
      <c r="Q250" s="100"/>
    </row>
    <row r="251" spans="2:17" s="4" customFormat="1" ht="15.75" x14ac:dyDescent="0.25">
      <c r="B251" s="95">
        <f t="shared" si="11"/>
        <v>247</v>
      </c>
      <c r="C251" s="95" t="s">
        <v>73</v>
      </c>
      <c r="D251" s="95" t="s">
        <v>70</v>
      </c>
      <c r="E251" s="96" t="s">
        <v>109</v>
      </c>
      <c r="F251" s="96">
        <v>42674</v>
      </c>
      <c r="G251" s="95" t="s">
        <v>343</v>
      </c>
      <c r="H251" s="115" t="s">
        <v>14</v>
      </c>
      <c r="I251" s="112">
        <v>10343.620000000001</v>
      </c>
      <c r="J251" s="112">
        <v>6363.67</v>
      </c>
      <c r="K251" s="113">
        <f t="shared" si="9"/>
        <v>0.38477341588341418</v>
      </c>
      <c r="L251" s="112">
        <v>788.11</v>
      </c>
      <c r="M251" s="113">
        <f t="shared" si="10"/>
        <v>7.6192860913297272E-2</v>
      </c>
      <c r="N251" s="112">
        <v>-433.13</v>
      </c>
      <c r="O251" s="112">
        <v>0</v>
      </c>
      <c r="P251" s="116">
        <v>0</v>
      </c>
      <c r="Q251" s="100" t="s">
        <v>408</v>
      </c>
    </row>
    <row r="252" spans="2:17" s="4" customFormat="1" ht="15.75" x14ac:dyDescent="0.25">
      <c r="B252" s="95">
        <f t="shared" si="11"/>
        <v>248</v>
      </c>
      <c r="C252" s="95" t="s">
        <v>420</v>
      </c>
      <c r="D252" s="95" t="s">
        <v>70</v>
      </c>
      <c r="E252" s="95" t="s">
        <v>424</v>
      </c>
      <c r="F252" s="96">
        <v>42667</v>
      </c>
      <c r="G252" s="95" t="s">
        <v>344</v>
      </c>
      <c r="H252" s="115" t="s">
        <v>28</v>
      </c>
      <c r="I252" s="112">
        <v>13310.06</v>
      </c>
      <c r="J252" s="112">
        <v>6429.86</v>
      </c>
      <c r="K252" s="113">
        <f t="shared" si="9"/>
        <v>0.51691727911068774</v>
      </c>
      <c r="L252" s="112">
        <v>1218.26</v>
      </c>
      <c r="M252" s="113">
        <f t="shared" si="10"/>
        <v>9.1529264330889565E-2</v>
      </c>
      <c r="N252" s="112">
        <v>479.76</v>
      </c>
      <c r="O252" s="112">
        <v>150</v>
      </c>
      <c r="P252" s="116">
        <v>0</v>
      </c>
      <c r="Q252" s="100" t="s">
        <v>376</v>
      </c>
    </row>
    <row r="253" spans="2:17" s="4" customFormat="1" ht="15.75" x14ac:dyDescent="0.25">
      <c r="B253" s="95">
        <f t="shared" si="11"/>
        <v>249</v>
      </c>
      <c r="C253" s="95" t="s">
        <v>73</v>
      </c>
      <c r="D253" s="95" t="s">
        <v>70</v>
      </c>
      <c r="E253" s="95" t="s">
        <v>424</v>
      </c>
      <c r="F253" s="96">
        <v>42592</v>
      </c>
      <c r="G253" s="95" t="s">
        <v>345</v>
      </c>
      <c r="H253" s="115" t="s">
        <v>29</v>
      </c>
      <c r="I253" s="112">
        <v>22267.69</v>
      </c>
      <c r="J253" s="112">
        <v>12913.55</v>
      </c>
      <c r="K253" s="113">
        <f t="shared" si="9"/>
        <v>0.42007680185955526</v>
      </c>
      <c r="L253" s="112">
        <v>1491.09</v>
      </c>
      <c r="M253" s="113">
        <f t="shared" si="10"/>
        <v>6.6962042313324824E-2</v>
      </c>
      <c r="N253" s="112">
        <v>-439.81</v>
      </c>
      <c r="O253" s="112">
        <v>100</v>
      </c>
      <c r="P253" s="116">
        <v>0</v>
      </c>
      <c r="Q253" s="100"/>
    </row>
    <row r="254" spans="2:17" s="4" customFormat="1" ht="15.75" x14ac:dyDescent="0.25">
      <c r="B254" s="95">
        <f t="shared" si="11"/>
        <v>250</v>
      </c>
      <c r="C254" s="95" t="s">
        <v>420</v>
      </c>
      <c r="D254" s="95" t="s">
        <v>74</v>
      </c>
      <c r="E254" s="96" t="s">
        <v>80</v>
      </c>
      <c r="F254" s="96">
        <v>42705</v>
      </c>
      <c r="G254" s="95" t="s">
        <v>346</v>
      </c>
      <c r="H254" s="115" t="s">
        <v>15</v>
      </c>
      <c r="I254" s="112">
        <v>12723.68</v>
      </c>
      <c r="J254" s="112">
        <v>5713.74</v>
      </c>
      <c r="K254" s="113">
        <f t="shared" si="9"/>
        <v>0.55093652150950045</v>
      </c>
      <c r="L254" s="112">
        <v>1431.26</v>
      </c>
      <c r="M254" s="113">
        <f t="shared" si="10"/>
        <v>0.11248789658337839</v>
      </c>
      <c r="N254" s="112">
        <v>290.98</v>
      </c>
      <c r="O254" s="112">
        <v>100</v>
      </c>
      <c r="P254" s="116">
        <v>0</v>
      </c>
      <c r="Q254" s="100"/>
    </row>
    <row r="255" spans="2:17" s="4" customFormat="1" ht="15.75" x14ac:dyDescent="0.25">
      <c r="B255" s="95">
        <f t="shared" si="11"/>
        <v>251</v>
      </c>
      <c r="C255" s="95" t="s">
        <v>73</v>
      </c>
      <c r="D255" s="95" t="s">
        <v>70</v>
      </c>
      <c r="E255" s="95" t="s">
        <v>424</v>
      </c>
      <c r="F255" s="96">
        <v>42734</v>
      </c>
      <c r="G255" s="95" t="s">
        <v>347</v>
      </c>
      <c r="H255" s="115" t="s">
        <v>14</v>
      </c>
      <c r="I255" s="112">
        <v>4193.3599999999997</v>
      </c>
      <c r="J255" s="112">
        <v>1770.93</v>
      </c>
      <c r="K255" s="113">
        <f t="shared" si="9"/>
        <v>0.57768233588339646</v>
      </c>
      <c r="L255" s="112">
        <v>447.22</v>
      </c>
      <c r="M255" s="113">
        <f t="shared" si="10"/>
        <v>0.10664956025716849</v>
      </c>
      <c r="N255" s="112">
        <v>61.96</v>
      </c>
      <c r="O255" s="112">
        <v>50</v>
      </c>
      <c r="P255" s="116">
        <v>0</v>
      </c>
      <c r="Q255" s="100"/>
    </row>
    <row r="256" spans="2:17" s="4" customFormat="1" ht="15.75" x14ac:dyDescent="0.25">
      <c r="B256" s="95">
        <f t="shared" si="11"/>
        <v>252</v>
      </c>
      <c r="C256" s="95" t="s">
        <v>418</v>
      </c>
      <c r="D256" s="95" t="s">
        <v>93</v>
      </c>
      <c r="E256" s="96" t="s">
        <v>72</v>
      </c>
      <c r="F256" s="96">
        <v>42703</v>
      </c>
      <c r="G256" s="95" t="s">
        <v>348</v>
      </c>
      <c r="H256" s="115" t="s">
        <v>18</v>
      </c>
      <c r="I256" s="112">
        <v>13472.13</v>
      </c>
      <c r="J256" s="112">
        <v>7784.55</v>
      </c>
      <c r="K256" s="113">
        <f t="shared" si="9"/>
        <v>0.42217377652976917</v>
      </c>
      <c r="L256" s="112">
        <v>995.86</v>
      </c>
      <c r="M256" s="113">
        <f t="shared" si="10"/>
        <v>7.3920011163787769E-2</v>
      </c>
      <c r="N256" s="112">
        <v>-1533.37</v>
      </c>
      <c r="O256" s="112">
        <v>400</v>
      </c>
      <c r="P256" s="116">
        <v>0</v>
      </c>
      <c r="Q256" s="100" t="s">
        <v>409</v>
      </c>
    </row>
    <row r="257" spans="2:17" s="4" customFormat="1" ht="15.75" x14ac:dyDescent="0.25">
      <c r="B257" s="95">
        <f t="shared" si="11"/>
        <v>253</v>
      </c>
      <c r="C257" s="95" t="s">
        <v>188</v>
      </c>
      <c r="D257" s="95" t="s">
        <v>74</v>
      </c>
      <c r="E257" s="96" t="s">
        <v>80</v>
      </c>
      <c r="F257" s="96">
        <v>42667</v>
      </c>
      <c r="G257" s="95" t="s">
        <v>349</v>
      </c>
      <c r="H257" s="95" t="s">
        <v>429</v>
      </c>
      <c r="I257" s="112">
        <v>20009.41</v>
      </c>
      <c r="J257" s="112">
        <v>8988.82</v>
      </c>
      <c r="K257" s="113">
        <f t="shared" si="9"/>
        <v>0.55077036254442291</v>
      </c>
      <c r="L257" s="112">
        <v>1866.45</v>
      </c>
      <c r="M257" s="113">
        <f t="shared" si="10"/>
        <v>9.3278612412859757E-2</v>
      </c>
      <c r="N257" s="112">
        <v>-792.49</v>
      </c>
      <c r="O257" s="112">
        <v>200</v>
      </c>
      <c r="P257" s="116">
        <v>0</v>
      </c>
      <c r="Q257" s="100"/>
    </row>
    <row r="258" spans="2:17" s="4" customFormat="1" ht="15.75" x14ac:dyDescent="0.25">
      <c r="B258" s="95">
        <f t="shared" si="11"/>
        <v>254</v>
      </c>
      <c r="C258" s="95" t="s">
        <v>420</v>
      </c>
      <c r="D258" s="95" t="s">
        <v>70</v>
      </c>
      <c r="E258" s="95" t="s">
        <v>424</v>
      </c>
      <c r="F258" s="96">
        <v>42669</v>
      </c>
      <c r="G258" s="95" t="s">
        <v>350</v>
      </c>
      <c r="H258" s="115" t="s">
        <v>28</v>
      </c>
      <c r="I258" s="112">
        <v>34671.32</v>
      </c>
      <c r="J258" s="112">
        <v>18110.97</v>
      </c>
      <c r="K258" s="113">
        <f t="shared" si="9"/>
        <v>0.47763829009106079</v>
      </c>
      <c r="L258" s="112">
        <v>3158</v>
      </c>
      <c r="M258" s="113">
        <f t="shared" si="10"/>
        <v>9.1083927580490165E-2</v>
      </c>
      <c r="N258" s="112">
        <v>292.92</v>
      </c>
      <c r="O258" s="112">
        <v>0</v>
      </c>
      <c r="P258" s="116">
        <v>0</v>
      </c>
      <c r="Q258" s="100" t="s">
        <v>410</v>
      </c>
    </row>
    <row r="259" spans="2:17" s="4" customFormat="1" ht="15.75" x14ac:dyDescent="0.25">
      <c r="B259" s="95">
        <f t="shared" si="11"/>
        <v>255</v>
      </c>
      <c r="C259" s="95" t="s">
        <v>73</v>
      </c>
      <c r="D259" s="95" t="s">
        <v>70</v>
      </c>
      <c r="E259" s="96" t="s">
        <v>71</v>
      </c>
      <c r="F259" s="96">
        <v>42690</v>
      </c>
      <c r="G259" s="95" t="s">
        <v>351</v>
      </c>
      <c r="H259" s="115" t="s">
        <v>29</v>
      </c>
      <c r="I259" s="112">
        <v>41216.07</v>
      </c>
      <c r="J259" s="112">
        <v>19175.63</v>
      </c>
      <c r="K259" s="113">
        <f t="shared" si="9"/>
        <v>0.53475355607654973</v>
      </c>
      <c r="L259" s="112">
        <v>4305.67</v>
      </c>
      <c r="M259" s="113">
        <f t="shared" si="10"/>
        <v>0.10446580666230429</v>
      </c>
      <c r="N259" s="112">
        <v>1768.27</v>
      </c>
      <c r="O259" s="112">
        <v>0</v>
      </c>
      <c r="P259" s="116">
        <v>0</v>
      </c>
      <c r="Q259" s="100"/>
    </row>
    <row r="260" spans="2:17" s="4" customFormat="1" ht="15.75" x14ac:dyDescent="0.25">
      <c r="B260" s="95">
        <f t="shared" si="11"/>
        <v>256</v>
      </c>
      <c r="C260" s="95" t="s">
        <v>73</v>
      </c>
      <c r="D260" s="95" t="s">
        <v>74</v>
      </c>
      <c r="E260" s="96" t="s">
        <v>72</v>
      </c>
      <c r="F260" s="96">
        <v>42670</v>
      </c>
      <c r="G260" s="95" t="s">
        <v>323</v>
      </c>
      <c r="H260" s="115" t="s">
        <v>13</v>
      </c>
      <c r="I260" s="112">
        <v>3900.24</v>
      </c>
      <c r="J260" s="112">
        <v>1923.02</v>
      </c>
      <c r="K260" s="113">
        <f t="shared" si="9"/>
        <v>0.5069482903616187</v>
      </c>
      <c r="L260" s="112">
        <v>357.12</v>
      </c>
      <c r="M260" s="113">
        <f t="shared" si="10"/>
        <v>9.1563596086394694E-2</v>
      </c>
      <c r="N260" s="112">
        <v>-271.01</v>
      </c>
      <c r="O260" s="112">
        <v>100</v>
      </c>
      <c r="P260" s="116">
        <v>0</v>
      </c>
      <c r="Q260" s="100" t="s">
        <v>411</v>
      </c>
    </row>
    <row r="261" spans="2:17" s="4" customFormat="1" ht="15.75" x14ac:dyDescent="0.25">
      <c r="B261" s="95">
        <f t="shared" si="11"/>
        <v>257</v>
      </c>
      <c r="C261" s="95" t="s">
        <v>73</v>
      </c>
      <c r="D261" s="95" t="s">
        <v>74</v>
      </c>
      <c r="E261" s="96" t="s">
        <v>71</v>
      </c>
      <c r="F261" s="96">
        <v>42697</v>
      </c>
      <c r="G261" s="95" t="s">
        <v>352</v>
      </c>
      <c r="H261" s="115" t="s">
        <v>30</v>
      </c>
      <c r="I261" s="112">
        <v>12006.1</v>
      </c>
      <c r="J261" s="112">
        <v>5574.71</v>
      </c>
      <c r="K261" s="113">
        <f t="shared" ref="K261:K266" si="12">IF(J261,(I261-J261)/I261,"")</f>
        <v>0.53567686426066752</v>
      </c>
      <c r="L261" s="112">
        <v>1089.68</v>
      </c>
      <c r="M261" s="113">
        <f t="shared" ref="M261:M266" si="13">IF(J261,L261/I261,"")</f>
        <v>9.0760530063884196E-2</v>
      </c>
      <c r="N261" s="112">
        <v>-430</v>
      </c>
      <c r="O261" s="112">
        <v>0</v>
      </c>
      <c r="P261" s="116">
        <v>0</v>
      </c>
      <c r="Q261" s="100" t="s">
        <v>412</v>
      </c>
    </row>
    <row r="262" spans="2:17" s="4" customFormat="1" ht="15.75" x14ac:dyDescent="0.25">
      <c r="B262" s="95">
        <f t="shared" si="11"/>
        <v>258</v>
      </c>
      <c r="C262" s="95" t="s">
        <v>420</v>
      </c>
      <c r="D262" s="95" t="s">
        <v>76</v>
      </c>
      <c r="E262" s="96" t="s">
        <v>95</v>
      </c>
      <c r="F262" s="96">
        <v>42707</v>
      </c>
      <c r="G262" s="95" t="s">
        <v>353</v>
      </c>
      <c r="H262" s="115" t="s">
        <v>18</v>
      </c>
      <c r="I262" s="112">
        <v>46092.19</v>
      </c>
      <c r="J262" s="112">
        <v>28001.41</v>
      </c>
      <c r="K262" s="113">
        <f t="shared" si="12"/>
        <v>0.39249122248259416</v>
      </c>
      <c r="L262" s="112">
        <v>2642.63</v>
      </c>
      <c r="M262" s="113">
        <f t="shared" si="13"/>
        <v>5.7333574299680702E-2</v>
      </c>
      <c r="N262" s="112">
        <v>-6232.81</v>
      </c>
      <c r="O262" s="112">
        <v>0</v>
      </c>
      <c r="P262" s="116">
        <v>0</v>
      </c>
      <c r="Q262" s="100" t="s">
        <v>413</v>
      </c>
    </row>
    <row r="263" spans="2:17" s="4" customFormat="1" ht="15.75" x14ac:dyDescent="0.25">
      <c r="B263" s="95">
        <f t="shared" ref="B263:B326" si="14">B262+1</f>
        <v>259</v>
      </c>
      <c r="C263" s="95" t="s">
        <v>73</v>
      </c>
      <c r="D263" s="95" t="s">
        <v>70</v>
      </c>
      <c r="E263" s="96" t="s">
        <v>71</v>
      </c>
      <c r="F263" s="96">
        <v>42733</v>
      </c>
      <c r="G263" s="95" t="s">
        <v>354</v>
      </c>
      <c r="H263" s="115" t="s">
        <v>14</v>
      </c>
      <c r="I263" s="112">
        <v>6115.63</v>
      </c>
      <c r="J263" s="112">
        <v>3278.12</v>
      </c>
      <c r="K263" s="113">
        <f t="shared" si="12"/>
        <v>0.46397672848095783</v>
      </c>
      <c r="L263" s="112">
        <v>609.78</v>
      </c>
      <c r="M263" s="113">
        <f t="shared" si="13"/>
        <v>9.9708451950167018E-2</v>
      </c>
      <c r="N263" s="112">
        <v>83.03</v>
      </c>
      <c r="O263" s="112">
        <v>0</v>
      </c>
      <c r="P263" s="116">
        <v>0</v>
      </c>
      <c r="Q263" s="100"/>
    </row>
    <row r="264" spans="2:17" s="4" customFormat="1" ht="15.75" x14ac:dyDescent="0.25">
      <c r="B264" s="95">
        <f t="shared" si="14"/>
        <v>260</v>
      </c>
      <c r="C264" s="95" t="s">
        <v>420</v>
      </c>
      <c r="D264" s="95" t="s">
        <v>74</v>
      </c>
      <c r="E264" s="95" t="s">
        <v>424</v>
      </c>
      <c r="F264" s="96">
        <v>42711</v>
      </c>
      <c r="G264" s="95" t="s">
        <v>355</v>
      </c>
      <c r="H264" s="95" t="s">
        <v>29</v>
      </c>
      <c r="I264" s="112">
        <v>18089.59</v>
      </c>
      <c r="J264" s="112">
        <v>13228.77</v>
      </c>
      <c r="K264" s="113">
        <f t="shared" si="12"/>
        <v>0.2687081354524895</v>
      </c>
      <c r="L264" s="112">
        <v>52.53</v>
      </c>
      <c r="M264" s="113">
        <f t="shared" si="13"/>
        <v>2.903880076883998E-3</v>
      </c>
      <c r="N264" s="112">
        <v>-2825.19</v>
      </c>
      <c r="O264" s="112">
        <v>0</v>
      </c>
      <c r="P264" s="116">
        <v>0</v>
      </c>
      <c r="Q264" s="100" t="s">
        <v>414</v>
      </c>
    </row>
    <row r="265" spans="2:17" s="4" customFormat="1" ht="15.75" x14ac:dyDescent="0.25">
      <c r="B265" s="95">
        <f t="shared" si="14"/>
        <v>261</v>
      </c>
      <c r="C265" s="95" t="s">
        <v>220</v>
      </c>
      <c r="D265" s="95" t="s">
        <v>76</v>
      </c>
      <c r="E265" s="96" t="s">
        <v>71</v>
      </c>
      <c r="F265" s="96">
        <v>42732</v>
      </c>
      <c r="G265" s="95" t="s">
        <v>356</v>
      </c>
      <c r="H265" s="115" t="s">
        <v>28</v>
      </c>
      <c r="I265" s="112">
        <v>23058.82</v>
      </c>
      <c r="J265" s="112">
        <v>11880.56</v>
      </c>
      <c r="K265" s="113">
        <f t="shared" si="12"/>
        <v>0.48477155379156439</v>
      </c>
      <c r="L265" s="112">
        <v>1260.6400000000001</v>
      </c>
      <c r="M265" s="113">
        <f t="shared" si="13"/>
        <v>5.46706206128501E-2</v>
      </c>
      <c r="N265" s="112">
        <v>-1519.68</v>
      </c>
      <c r="O265" s="112">
        <v>0</v>
      </c>
      <c r="P265" s="116">
        <v>0</v>
      </c>
      <c r="Q265" s="100" t="s">
        <v>414</v>
      </c>
    </row>
    <row r="266" spans="2:17" s="4" customFormat="1" ht="15.75" x14ac:dyDescent="0.25">
      <c r="B266" s="95">
        <f t="shared" si="14"/>
        <v>262</v>
      </c>
      <c r="C266" s="95" t="s">
        <v>325</v>
      </c>
      <c r="D266" s="95" t="s">
        <v>93</v>
      </c>
      <c r="E266" s="96" t="s">
        <v>71</v>
      </c>
      <c r="F266" s="96">
        <v>42670</v>
      </c>
      <c r="G266" s="95" t="s">
        <v>352</v>
      </c>
      <c r="H266" s="115" t="s">
        <v>17</v>
      </c>
      <c r="I266" s="112">
        <v>12059.73</v>
      </c>
      <c r="J266" s="112">
        <v>6982.88</v>
      </c>
      <c r="K266" s="113">
        <f t="shared" si="12"/>
        <v>0.42097542813976763</v>
      </c>
      <c r="L266" s="112">
        <v>980.82</v>
      </c>
      <c r="M266" s="113">
        <f t="shared" si="13"/>
        <v>8.1330179033858974E-2</v>
      </c>
      <c r="N266" s="112">
        <v>1172.55</v>
      </c>
      <c r="O266" s="112">
        <v>0</v>
      </c>
      <c r="P266" s="116">
        <v>0</v>
      </c>
      <c r="Q266" s="100" t="s">
        <v>415</v>
      </c>
    </row>
    <row r="267" spans="2:17" s="4" customFormat="1" ht="15.75" x14ac:dyDescent="0.25">
      <c r="B267" s="95">
        <f t="shared" si="14"/>
        <v>263</v>
      </c>
      <c r="C267" s="95" t="s">
        <v>420</v>
      </c>
      <c r="D267" s="95" t="s">
        <v>74</v>
      </c>
      <c r="E267" s="95" t="s">
        <v>424</v>
      </c>
      <c r="F267" s="96">
        <v>42711</v>
      </c>
      <c r="G267" s="95" t="s">
        <v>355</v>
      </c>
      <c r="H267" s="95" t="s">
        <v>29</v>
      </c>
      <c r="I267" s="112">
        <v>18089.59</v>
      </c>
      <c r="J267" s="112">
        <v>13228.77</v>
      </c>
      <c r="K267" s="113">
        <f t="shared" ref="K262:K325" si="15">IF(J267,(I267-J267)/I267,"")</f>
        <v>0.2687081354524895</v>
      </c>
      <c r="L267" s="112">
        <v>52.53</v>
      </c>
      <c r="M267" s="113">
        <f t="shared" ref="M262:M325" si="16">IF(J267,L267/I267,"")</f>
        <v>2.903880076883998E-3</v>
      </c>
      <c r="N267" s="112">
        <v>-2825.19</v>
      </c>
      <c r="O267" s="112">
        <v>0</v>
      </c>
      <c r="P267" s="116">
        <v>0</v>
      </c>
      <c r="Q267" s="100" t="s">
        <v>414</v>
      </c>
    </row>
    <row r="268" spans="2:17" s="4" customFormat="1" ht="15.75" x14ac:dyDescent="0.25">
      <c r="B268" s="95">
        <f t="shared" si="14"/>
        <v>264</v>
      </c>
      <c r="C268" s="95" t="s">
        <v>220</v>
      </c>
      <c r="D268" s="95" t="s">
        <v>76</v>
      </c>
      <c r="E268" s="96" t="s">
        <v>71</v>
      </c>
      <c r="F268" s="96">
        <v>42732</v>
      </c>
      <c r="G268" s="95" t="s">
        <v>356</v>
      </c>
      <c r="H268" s="115" t="s">
        <v>28</v>
      </c>
      <c r="I268" s="112">
        <v>23058.82</v>
      </c>
      <c r="J268" s="112">
        <v>11880.56</v>
      </c>
      <c r="K268" s="113">
        <f t="shared" si="15"/>
        <v>0.48477155379156439</v>
      </c>
      <c r="L268" s="112">
        <v>1260.6400000000001</v>
      </c>
      <c r="M268" s="113">
        <f t="shared" si="16"/>
        <v>5.46706206128501E-2</v>
      </c>
      <c r="N268" s="112">
        <v>-1519.68</v>
      </c>
      <c r="O268" s="112">
        <v>0</v>
      </c>
      <c r="P268" s="116">
        <v>0</v>
      </c>
      <c r="Q268" s="100" t="s">
        <v>414</v>
      </c>
    </row>
    <row r="269" spans="2:17" s="4" customFormat="1" ht="15.75" x14ac:dyDescent="0.25">
      <c r="B269" s="95">
        <f t="shared" si="14"/>
        <v>265</v>
      </c>
      <c r="C269" s="95" t="s">
        <v>325</v>
      </c>
      <c r="D269" s="95" t="s">
        <v>93</v>
      </c>
      <c r="E269" s="96" t="s">
        <v>71</v>
      </c>
      <c r="F269" s="96">
        <v>42670</v>
      </c>
      <c r="G269" s="95" t="s">
        <v>352</v>
      </c>
      <c r="H269" s="115" t="s">
        <v>17</v>
      </c>
      <c r="I269" s="112">
        <v>12059.73</v>
      </c>
      <c r="J269" s="112">
        <v>6982.88</v>
      </c>
      <c r="K269" s="113">
        <f t="shared" si="15"/>
        <v>0.42097542813976763</v>
      </c>
      <c r="L269" s="112">
        <v>980.82</v>
      </c>
      <c r="M269" s="113">
        <f t="shared" si="16"/>
        <v>8.1330179033858974E-2</v>
      </c>
      <c r="N269" s="112">
        <v>1172.55</v>
      </c>
      <c r="O269" s="112">
        <v>0</v>
      </c>
      <c r="P269" s="116">
        <v>0</v>
      </c>
      <c r="Q269" s="100" t="s">
        <v>415</v>
      </c>
    </row>
    <row r="270" spans="2:17" s="4" customFormat="1" ht="15.75" x14ac:dyDescent="0.25">
      <c r="B270" s="95">
        <f t="shared" si="14"/>
        <v>266</v>
      </c>
      <c r="C270" s="95"/>
      <c r="D270" s="95"/>
      <c r="E270" s="96"/>
      <c r="F270" s="96"/>
      <c r="G270" s="95"/>
      <c r="H270" s="115"/>
      <c r="I270" s="112"/>
      <c r="J270" s="112"/>
      <c r="K270" s="113" t="str">
        <f t="shared" si="15"/>
        <v/>
      </c>
      <c r="L270" s="112"/>
      <c r="M270" s="113" t="str">
        <f t="shared" si="16"/>
        <v/>
      </c>
      <c r="N270" s="112"/>
      <c r="O270" s="112">
        <v>0</v>
      </c>
      <c r="P270" s="116">
        <v>0</v>
      </c>
      <c r="Q270" s="100"/>
    </row>
    <row r="271" spans="2:17" s="4" customFormat="1" ht="15.75" x14ac:dyDescent="0.25">
      <c r="B271" s="95">
        <f t="shared" si="14"/>
        <v>267</v>
      </c>
      <c r="C271" s="95"/>
      <c r="D271" s="95"/>
      <c r="E271" s="96"/>
      <c r="F271" s="96"/>
      <c r="G271" s="95"/>
      <c r="H271" s="115"/>
      <c r="I271" s="112"/>
      <c r="J271" s="112"/>
      <c r="K271" s="113" t="str">
        <f t="shared" si="15"/>
        <v/>
      </c>
      <c r="L271" s="112"/>
      <c r="M271" s="113" t="str">
        <f t="shared" si="16"/>
        <v/>
      </c>
      <c r="N271" s="112"/>
      <c r="O271" s="112">
        <v>0</v>
      </c>
      <c r="P271" s="116">
        <v>0</v>
      </c>
      <c r="Q271" s="100"/>
    </row>
    <row r="272" spans="2:17" s="4" customFormat="1" ht="15.75" x14ac:dyDescent="0.25">
      <c r="B272" s="95">
        <f t="shared" si="14"/>
        <v>268</v>
      </c>
      <c r="C272" s="95"/>
      <c r="D272" s="95"/>
      <c r="E272" s="96"/>
      <c r="F272" s="96"/>
      <c r="G272" s="95"/>
      <c r="H272" s="115"/>
      <c r="I272" s="112"/>
      <c r="J272" s="112"/>
      <c r="K272" s="113" t="str">
        <f t="shared" si="15"/>
        <v/>
      </c>
      <c r="L272" s="112"/>
      <c r="M272" s="113" t="str">
        <f t="shared" si="16"/>
        <v/>
      </c>
      <c r="N272" s="112"/>
      <c r="O272" s="112">
        <v>0</v>
      </c>
      <c r="P272" s="116">
        <v>0</v>
      </c>
      <c r="Q272" s="100"/>
    </row>
    <row r="273" spans="2:17" s="4" customFormat="1" ht="15.75" x14ac:dyDescent="0.25">
      <c r="B273" s="95">
        <f t="shared" si="14"/>
        <v>269</v>
      </c>
      <c r="C273" s="95"/>
      <c r="D273" s="95"/>
      <c r="E273" s="96"/>
      <c r="F273" s="96"/>
      <c r="G273" s="95"/>
      <c r="H273" s="115"/>
      <c r="I273" s="112"/>
      <c r="J273" s="112"/>
      <c r="K273" s="113" t="str">
        <f t="shared" si="15"/>
        <v/>
      </c>
      <c r="L273" s="112"/>
      <c r="M273" s="113" t="str">
        <f t="shared" si="16"/>
        <v/>
      </c>
      <c r="N273" s="112"/>
      <c r="O273" s="112">
        <v>0</v>
      </c>
      <c r="P273" s="116">
        <v>0</v>
      </c>
      <c r="Q273" s="100"/>
    </row>
    <row r="274" spans="2:17" s="4" customFormat="1" ht="15.75" x14ac:dyDescent="0.25">
      <c r="B274" s="95">
        <f t="shared" si="14"/>
        <v>270</v>
      </c>
      <c r="C274" s="95"/>
      <c r="D274" s="95"/>
      <c r="E274" s="96"/>
      <c r="F274" s="96"/>
      <c r="G274" s="95"/>
      <c r="H274" s="115"/>
      <c r="I274" s="112"/>
      <c r="J274" s="112"/>
      <c r="K274" s="113" t="str">
        <f t="shared" si="15"/>
        <v/>
      </c>
      <c r="L274" s="112"/>
      <c r="M274" s="113" t="str">
        <f t="shared" si="16"/>
        <v/>
      </c>
      <c r="N274" s="112"/>
      <c r="O274" s="112">
        <v>0</v>
      </c>
      <c r="P274" s="116">
        <v>0</v>
      </c>
      <c r="Q274" s="100"/>
    </row>
    <row r="275" spans="2:17" s="4" customFormat="1" ht="15.75" x14ac:dyDescent="0.25">
      <c r="B275" s="95">
        <f t="shared" si="14"/>
        <v>271</v>
      </c>
      <c r="C275" s="95"/>
      <c r="D275" s="95"/>
      <c r="E275" s="96"/>
      <c r="F275" s="96"/>
      <c r="G275" s="95"/>
      <c r="H275" s="115"/>
      <c r="I275" s="112"/>
      <c r="J275" s="112"/>
      <c r="K275" s="113" t="str">
        <f t="shared" si="15"/>
        <v/>
      </c>
      <c r="L275" s="112"/>
      <c r="M275" s="113" t="str">
        <f t="shared" si="16"/>
        <v/>
      </c>
      <c r="N275" s="112"/>
      <c r="O275" s="112">
        <v>0</v>
      </c>
      <c r="P275" s="116">
        <v>0</v>
      </c>
      <c r="Q275" s="100"/>
    </row>
    <row r="276" spans="2:17" s="4" customFormat="1" ht="15.75" x14ac:dyDescent="0.25">
      <c r="B276" s="95">
        <f t="shared" si="14"/>
        <v>272</v>
      </c>
      <c r="C276" s="95"/>
      <c r="D276" s="95"/>
      <c r="E276" s="96"/>
      <c r="F276" s="96"/>
      <c r="G276" s="95"/>
      <c r="H276" s="115"/>
      <c r="I276" s="112"/>
      <c r="J276" s="112"/>
      <c r="K276" s="113" t="str">
        <f t="shared" si="15"/>
        <v/>
      </c>
      <c r="L276" s="112"/>
      <c r="M276" s="113" t="str">
        <f t="shared" si="16"/>
        <v/>
      </c>
      <c r="N276" s="112"/>
      <c r="O276" s="112">
        <v>0</v>
      </c>
      <c r="P276" s="116">
        <v>0</v>
      </c>
      <c r="Q276" s="100"/>
    </row>
    <row r="277" spans="2:17" s="4" customFormat="1" ht="15.75" x14ac:dyDescent="0.25">
      <c r="B277" s="95">
        <f t="shared" si="14"/>
        <v>273</v>
      </c>
      <c r="C277" s="95"/>
      <c r="D277" s="95"/>
      <c r="E277" s="96"/>
      <c r="F277" s="96"/>
      <c r="G277" s="95"/>
      <c r="H277" s="115"/>
      <c r="I277" s="112"/>
      <c r="J277" s="112"/>
      <c r="K277" s="113" t="str">
        <f t="shared" si="15"/>
        <v/>
      </c>
      <c r="L277" s="112"/>
      <c r="M277" s="113" t="str">
        <f t="shared" si="16"/>
        <v/>
      </c>
      <c r="N277" s="112"/>
      <c r="O277" s="112">
        <v>0</v>
      </c>
      <c r="P277" s="116">
        <v>0</v>
      </c>
      <c r="Q277" s="100"/>
    </row>
    <row r="278" spans="2:17" s="4" customFormat="1" ht="15.75" x14ac:dyDescent="0.25">
      <c r="B278" s="95">
        <f t="shared" si="14"/>
        <v>274</v>
      </c>
      <c r="C278" s="95"/>
      <c r="D278" s="95"/>
      <c r="E278" s="96"/>
      <c r="F278" s="96"/>
      <c r="G278" s="95"/>
      <c r="H278" s="115"/>
      <c r="I278" s="112"/>
      <c r="J278" s="112"/>
      <c r="K278" s="113" t="str">
        <f t="shared" si="15"/>
        <v/>
      </c>
      <c r="L278" s="112"/>
      <c r="M278" s="113" t="str">
        <f t="shared" si="16"/>
        <v/>
      </c>
      <c r="N278" s="112"/>
      <c r="O278" s="112">
        <v>0</v>
      </c>
      <c r="P278" s="116">
        <v>0</v>
      </c>
      <c r="Q278" s="97"/>
    </row>
    <row r="279" spans="2:17" s="4" customFormat="1" ht="15.75" x14ac:dyDescent="0.25">
      <c r="B279" s="95">
        <f t="shared" si="14"/>
        <v>275</v>
      </c>
      <c r="C279" s="95"/>
      <c r="D279" s="95"/>
      <c r="E279" s="96"/>
      <c r="F279" s="96"/>
      <c r="G279" s="95"/>
      <c r="H279" s="115"/>
      <c r="I279" s="112"/>
      <c r="J279" s="112"/>
      <c r="K279" s="113" t="str">
        <f t="shared" si="15"/>
        <v/>
      </c>
      <c r="L279" s="112"/>
      <c r="M279" s="113" t="str">
        <f t="shared" si="16"/>
        <v/>
      </c>
      <c r="N279" s="112"/>
      <c r="O279" s="112">
        <v>0</v>
      </c>
      <c r="P279" s="116">
        <v>0</v>
      </c>
      <c r="Q279" s="97"/>
    </row>
    <row r="280" spans="2:17" s="4" customFormat="1" ht="15.75" x14ac:dyDescent="0.25">
      <c r="B280" s="95">
        <f t="shared" si="14"/>
        <v>276</v>
      </c>
      <c r="C280" s="95"/>
      <c r="D280" s="95"/>
      <c r="E280" s="96"/>
      <c r="F280" s="96"/>
      <c r="G280" s="95"/>
      <c r="H280" s="115"/>
      <c r="I280" s="112"/>
      <c r="J280" s="112"/>
      <c r="K280" s="113" t="str">
        <f t="shared" si="15"/>
        <v/>
      </c>
      <c r="L280" s="112"/>
      <c r="M280" s="113" t="str">
        <f t="shared" si="16"/>
        <v/>
      </c>
      <c r="N280" s="112"/>
      <c r="O280" s="112">
        <v>0</v>
      </c>
      <c r="P280" s="116">
        <v>0</v>
      </c>
      <c r="Q280" s="97"/>
    </row>
    <row r="281" spans="2:17" s="4" customFormat="1" ht="15.75" x14ac:dyDescent="0.25">
      <c r="B281" s="95">
        <f t="shared" si="14"/>
        <v>277</v>
      </c>
      <c r="C281" s="95"/>
      <c r="D281" s="95"/>
      <c r="E281" s="96"/>
      <c r="F281" s="96"/>
      <c r="G281" s="95"/>
      <c r="H281" s="115"/>
      <c r="I281" s="112"/>
      <c r="J281" s="112"/>
      <c r="K281" s="113" t="str">
        <f t="shared" si="15"/>
        <v/>
      </c>
      <c r="L281" s="112"/>
      <c r="M281" s="113" t="str">
        <f t="shared" si="16"/>
        <v/>
      </c>
      <c r="N281" s="112"/>
      <c r="O281" s="112">
        <v>0</v>
      </c>
      <c r="P281" s="116">
        <v>0</v>
      </c>
      <c r="Q281" s="97"/>
    </row>
    <row r="282" spans="2:17" s="4" customFormat="1" ht="15.75" x14ac:dyDescent="0.25">
      <c r="B282" s="95">
        <f t="shared" si="14"/>
        <v>278</v>
      </c>
      <c r="C282" s="95"/>
      <c r="D282" s="95"/>
      <c r="E282" s="96"/>
      <c r="F282" s="96"/>
      <c r="G282" s="95"/>
      <c r="H282" s="115"/>
      <c r="I282" s="112"/>
      <c r="J282" s="112"/>
      <c r="K282" s="113" t="str">
        <f t="shared" si="15"/>
        <v/>
      </c>
      <c r="L282" s="112"/>
      <c r="M282" s="113" t="str">
        <f t="shared" si="16"/>
        <v/>
      </c>
      <c r="N282" s="112"/>
      <c r="O282" s="112">
        <v>0</v>
      </c>
      <c r="P282" s="116">
        <v>0</v>
      </c>
      <c r="Q282" s="97"/>
    </row>
    <row r="283" spans="2:17" s="4" customFormat="1" ht="15.75" x14ac:dyDescent="0.25">
      <c r="B283" s="95">
        <f t="shared" si="14"/>
        <v>279</v>
      </c>
      <c r="C283" s="95"/>
      <c r="D283" s="95"/>
      <c r="E283" s="96"/>
      <c r="F283" s="96"/>
      <c r="G283" s="95"/>
      <c r="H283" s="115"/>
      <c r="I283" s="112"/>
      <c r="J283" s="112"/>
      <c r="K283" s="113" t="str">
        <f t="shared" si="15"/>
        <v/>
      </c>
      <c r="L283" s="112"/>
      <c r="M283" s="113" t="str">
        <f t="shared" si="16"/>
        <v/>
      </c>
      <c r="N283" s="112"/>
      <c r="O283" s="112">
        <v>0</v>
      </c>
      <c r="P283" s="116">
        <v>0</v>
      </c>
      <c r="Q283" s="97"/>
    </row>
    <row r="284" spans="2:17" s="4" customFormat="1" ht="15.75" x14ac:dyDescent="0.25">
      <c r="B284" s="95">
        <f t="shared" si="14"/>
        <v>280</v>
      </c>
      <c r="C284" s="95"/>
      <c r="D284" s="95"/>
      <c r="E284" s="96"/>
      <c r="F284" s="96"/>
      <c r="G284" s="95"/>
      <c r="H284" s="115"/>
      <c r="I284" s="112"/>
      <c r="J284" s="112"/>
      <c r="K284" s="113" t="str">
        <f t="shared" si="15"/>
        <v/>
      </c>
      <c r="L284" s="112"/>
      <c r="M284" s="113" t="str">
        <f t="shared" si="16"/>
        <v/>
      </c>
      <c r="N284" s="112"/>
      <c r="O284" s="112">
        <v>0</v>
      </c>
      <c r="P284" s="116">
        <v>0</v>
      </c>
      <c r="Q284" s="97"/>
    </row>
    <row r="285" spans="2:17" s="4" customFormat="1" ht="15.75" x14ac:dyDescent="0.25">
      <c r="B285" s="95">
        <f t="shared" si="14"/>
        <v>281</v>
      </c>
      <c r="C285" s="95"/>
      <c r="D285" s="95"/>
      <c r="E285" s="96"/>
      <c r="F285" s="96"/>
      <c r="G285" s="95"/>
      <c r="H285" s="115"/>
      <c r="I285" s="112"/>
      <c r="J285" s="112"/>
      <c r="K285" s="113" t="str">
        <f t="shared" si="15"/>
        <v/>
      </c>
      <c r="L285" s="112"/>
      <c r="M285" s="113" t="str">
        <f t="shared" si="16"/>
        <v/>
      </c>
      <c r="N285" s="112"/>
      <c r="O285" s="112">
        <v>0</v>
      </c>
      <c r="P285" s="116">
        <v>0</v>
      </c>
      <c r="Q285" s="97"/>
    </row>
    <row r="286" spans="2:17" s="4" customFormat="1" ht="15.75" x14ac:dyDescent="0.25">
      <c r="B286" s="95">
        <f t="shared" si="14"/>
        <v>282</v>
      </c>
      <c r="C286" s="95"/>
      <c r="D286" s="95"/>
      <c r="E286" s="96"/>
      <c r="F286" s="96"/>
      <c r="G286" s="95"/>
      <c r="H286" s="115"/>
      <c r="I286" s="112"/>
      <c r="J286" s="112"/>
      <c r="K286" s="113" t="str">
        <f t="shared" si="15"/>
        <v/>
      </c>
      <c r="L286" s="112"/>
      <c r="M286" s="113" t="str">
        <f t="shared" si="16"/>
        <v/>
      </c>
      <c r="N286" s="112"/>
      <c r="O286" s="112">
        <v>0</v>
      </c>
      <c r="P286" s="116">
        <v>0</v>
      </c>
      <c r="Q286" s="97"/>
    </row>
    <row r="287" spans="2:17" s="4" customFormat="1" ht="15.75" x14ac:dyDescent="0.25">
      <c r="B287" s="95">
        <f t="shared" si="14"/>
        <v>283</v>
      </c>
      <c r="C287" s="95"/>
      <c r="D287" s="95"/>
      <c r="E287" s="96"/>
      <c r="F287" s="96"/>
      <c r="G287" s="95"/>
      <c r="H287" s="115"/>
      <c r="I287" s="112"/>
      <c r="J287" s="112"/>
      <c r="K287" s="113" t="str">
        <f t="shared" si="15"/>
        <v/>
      </c>
      <c r="L287" s="112"/>
      <c r="M287" s="113" t="str">
        <f t="shared" si="16"/>
        <v/>
      </c>
      <c r="N287" s="112"/>
      <c r="O287" s="112">
        <v>0</v>
      </c>
      <c r="P287" s="116">
        <v>0</v>
      </c>
      <c r="Q287" s="97"/>
    </row>
    <row r="288" spans="2:17" s="4" customFormat="1" ht="15.75" x14ac:dyDescent="0.25">
      <c r="B288" s="95">
        <f t="shared" si="14"/>
        <v>284</v>
      </c>
      <c r="C288" s="95"/>
      <c r="D288" s="95"/>
      <c r="E288" s="96"/>
      <c r="F288" s="96"/>
      <c r="G288" s="95"/>
      <c r="H288" s="115"/>
      <c r="I288" s="112"/>
      <c r="J288" s="112"/>
      <c r="K288" s="113" t="str">
        <f t="shared" si="15"/>
        <v/>
      </c>
      <c r="L288" s="112"/>
      <c r="M288" s="113" t="str">
        <f t="shared" si="16"/>
        <v/>
      </c>
      <c r="N288" s="112"/>
      <c r="O288" s="112">
        <v>0</v>
      </c>
      <c r="P288" s="116">
        <v>0</v>
      </c>
      <c r="Q288" s="97"/>
    </row>
    <row r="289" spans="2:17" s="4" customFormat="1" ht="15.75" x14ac:dyDescent="0.25">
      <c r="B289" s="95">
        <f t="shared" si="14"/>
        <v>285</v>
      </c>
      <c r="C289" s="95"/>
      <c r="D289" s="95"/>
      <c r="E289" s="96"/>
      <c r="F289" s="96"/>
      <c r="G289" s="95"/>
      <c r="H289" s="115"/>
      <c r="I289" s="112"/>
      <c r="J289" s="112"/>
      <c r="K289" s="113" t="str">
        <f t="shared" si="15"/>
        <v/>
      </c>
      <c r="L289" s="112"/>
      <c r="M289" s="113" t="str">
        <f t="shared" si="16"/>
        <v/>
      </c>
      <c r="N289" s="112"/>
      <c r="O289" s="112">
        <v>0</v>
      </c>
      <c r="P289" s="116">
        <v>0</v>
      </c>
      <c r="Q289" s="97"/>
    </row>
    <row r="290" spans="2:17" s="4" customFormat="1" ht="15.75" x14ac:dyDescent="0.25">
      <c r="B290" s="95">
        <f t="shared" si="14"/>
        <v>286</v>
      </c>
      <c r="C290" s="95"/>
      <c r="D290" s="95"/>
      <c r="E290" s="96"/>
      <c r="F290" s="96"/>
      <c r="G290" s="95"/>
      <c r="H290" s="115"/>
      <c r="I290" s="112"/>
      <c r="J290" s="112"/>
      <c r="K290" s="113" t="str">
        <f t="shared" si="15"/>
        <v/>
      </c>
      <c r="L290" s="112"/>
      <c r="M290" s="113" t="str">
        <f t="shared" si="16"/>
        <v/>
      </c>
      <c r="N290" s="112"/>
      <c r="O290" s="112">
        <v>0</v>
      </c>
      <c r="P290" s="116">
        <v>0</v>
      </c>
      <c r="Q290" s="97"/>
    </row>
    <row r="291" spans="2:17" s="4" customFormat="1" ht="15.75" x14ac:dyDescent="0.25">
      <c r="B291" s="95">
        <f t="shared" si="14"/>
        <v>287</v>
      </c>
      <c r="C291" s="95"/>
      <c r="D291" s="95"/>
      <c r="E291" s="96"/>
      <c r="F291" s="96"/>
      <c r="G291" s="95"/>
      <c r="H291" s="115"/>
      <c r="I291" s="112"/>
      <c r="J291" s="112"/>
      <c r="K291" s="113" t="str">
        <f t="shared" si="15"/>
        <v/>
      </c>
      <c r="L291" s="112"/>
      <c r="M291" s="113" t="str">
        <f t="shared" si="16"/>
        <v/>
      </c>
      <c r="N291" s="112"/>
      <c r="O291" s="112">
        <v>0</v>
      </c>
      <c r="P291" s="116">
        <v>0</v>
      </c>
      <c r="Q291" s="97"/>
    </row>
    <row r="292" spans="2:17" s="4" customFormat="1" ht="15.75" x14ac:dyDescent="0.25">
      <c r="B292" s="95">
        <f t="shared" si="14"/>
        <v>288</v>
      </c>
      <c r="C292" s="95"/>
      <c r="D292" s="95"/>
      <c r="E292" s="96"/>
      <c r="F292" s="96"/>
      <c r="G292" s="95"/>
      <c r="H292" s="115"/>
      <c r="I292" s="112"/>
      <c r="J292" s="112"/>
      <c r="K292" s="113" t="str">
        <f t="shared" si="15"/>
        <v/>
      </c>
      <c r="L292" s="112"/>
      <c r="M292" s="113" t="str">
        <f t="shared" si="16"/>
        <v/>
      </c>
      <c r="N292" s="112"/>
      <c r="O292" s="112">
        <v>0</v>
      </c>
      <c r="P292" s="116">
        <v>0</v>
      </c>
      <c r="Q292" s="97"/>
    </row>
    <row r="293" spans="2:17" s="4" customFormat="1" ht="15.75" x14ac:dyDescent="0.25">
      <c r="B293" s="95">
        <f t="shared" si="14"/>
        <v>289</v>
      </c>
      <c r="C293" s="95"/>
      <c r="D293" s="95"/>
      <c r="E293" s="96"/>
      <c r="F293" s="96"/>
      <c r="G293" s="95"/>
      <c r="H293" s="115"/>
      <c r="I293" s="112"/>
      <c r="J293" s="112"/>
      <c r="K293" s="113" t="str">
        <f t="shared" si="15"/>
        <v/>
      </c>
      <c r="L293" s="112"/>
      <c r="M293" s="113" t="str">
        <f t="shared" si="16"/>
        <v/>
      </c>
      <c r="N293" s="112"/>
      <c r="O293" s="112">
        <v>0</v>
      </c>
      <c r="P293" s="116">
        <v>0</v>
      </c>
      <c r="Q293" s="97"/>
    </row>
    <row r="294" spans="2:17" s="4" customFormat="1" ht="15.75" x14ac:dyDescent="0.25">
      <c r="B294" s="95">
        <f t="shared" si="14"/>
        <v>290</v>
      </c>
      <c r="C294" s="95"/>
      <c r="D294" s="95"/>
      <c r="E294" s="96"/>
      <c r="F294" s="96"/>
      <c r="G294" s="95"/>
      <c r="H294" s="115"/>
      <c r="I294" s="112"/>
      <c r="J294" s="112"/>
      <c r="K294" s="113" t="str">
        <f t="shared" si="15"/>
        <v/>
      </c>
      <c r="L294" s="112"/>
      <c r="M294" s="113" t="str">
        <f t="shared" si="16"/>
        <v/>
      </c>
      <c r="N294" s="112"/>
      <c r="O294" s="112">
        <v>0</v>
      </c>
      <c r="P294" s="116">
        <v>0</v>
      </c>
      <c r="Q294" s="97"/>
    </row>
    <row r="295" spans="2:17" s="4" customFormat="1" ht="15.75" x14ac:dyDescent="0.25">
      <c r="B295" s="95">
        <f t="shared" si="14"/>
        <v>291</v>
      </c>
      <c r="C295" s="95"/>
      <c r="D295" s="95"/>
      <c r="E295" s="96"/>
      <c r="F295" s="96"/>
      <c r="G295" s="95"/>
      <c r="H295" s="115"/>
      <c r="I295" s="112"/>
      <c r="J295" s="112"/>
      <c r="K295" s="113" t="str">
        <f t="shared" si="15"/>
        <v/>
      </c>
      <c r="L295" s="112"/>
      <c r="M295" s="113" t="str">
        <f t="shared" si="16"/>
        <v/>
      </c>
      <c r="N295" s="112"/>
      <c r="O295" s="112">
        <v>0</v>
      </c>
      <c r="P295" s="116">
        <v>0</v>
      </c>
      <c r="Q295" s="97"/>
    </row>
    <row r="296" spans="2:17" s="4" customFormat="1" ht="15.75" x14ac:dyDescent="0.25">
      <c r="B296" s="95">
        <f t="shared" si="14"/>
        <v>292</v>
      </c>
      <c r="C296" s="95"/>
      <c r="D296" s="95"/>
      <c r="E296" s="96"/>
      <c r="F296" s="96"/>
      <c r="G296" s="95"/>
      <c r="H296" s="115"/>
      <c r="I296" s="112"/>
      <c r="J296" s="112"/>
      <c r="K296" s="113" t="str">
        <f t="shared" si="15"/>
        <v/>
      </c>
      <c r="L296" s="112"/>
      <c r="M296" s="113" t="str">
        <f t="shared" si="16"/>
        <v/>
      </c>
      <c r="N296" s="112"/>
      <c r="O296" s="112">
        <v>0</v>
      </c>
      <c r="P296" s="116">
        <v>0</v>
      </c>
      <c r="Q296" s="97"/>
    </row>
    <row r="297" spans="2:17" s="4" customFormat="1" ht="15.75" x14ac:dyDescent="0.25">
      <c r="B297" s="95">
        <f t="shared" si="14"/>
        <v>293</v>
      </c>
      <c r="C297" s="95"/>
      <c r="D297" s="95"/>
      <c r="E297" s="96"/>
      <c r="F297" s="96"/>
      <c r="G297" s="95"/>
      <c r="H297" s="115"/>
      <c r="I297" s="112"/>
      <c r="J297" s="112"/>
      <c r="K297" s="113" t="str">
        <f t="shared" si="15"/>
        <v/>
      </c>
      <c r="L297" s="112"/>
      <c r="M297" s="113" t="str">
        <f t="shared" si="16"/>
        <v/>
      </c>
      <c r="N297" s="112"/>
      <c r="O297" s="112">
        <v>0</v>
      </c>
      <c r="P297" s="116">
        <v>0</v>
      </c>
      <c r="Q297" s="97"/>
    </row>
    <row r="298" spans="2:17" s="4" customFormat="1" ht="15.75" x14ac:dyDescent="0.25">
      <c r="B298" s="95">
        <f t="shared" si="14"/>
        <v>294</v>
      </c>
      <c r="C298" s="95"/>
      <c r="D298" s="95"/>
      <c r="E298" s="96"/>
      <c r="F298" s="96"/>
      <c r="G298" s="95"/>
      <c r="H298" s="115"/>
      <c r="I298" s="112"/>
      <c r="J298" s="112"/>
      <c r="K298" s="113" t="str">
        <f t="shared" si="15"/>
        <v/>
      </c>
      <c r="L298" s="112"/>
      <c r="M298" s="113" t="str">
        <f t="shared" si="16"/>
        <v/>
      </c>
      <c r="N298" s="112"/>
      <c r="O298" s="112">
        <v>0</v>
      </c>
      <c r="P298" s="116">
        <v>0</v>
      </c>
      <c r="Q298" s="97"/>
    </row>
    <row r="299" spans="2:17" s="4" customFormat="1" ht="15.75" x14ac:dyDescent="0.25">
      <c r="B299" s="95">
        <f t="shared" si="14"/>
        <v>295</v>
      </c>
      <c r="C299" s="95"/>
      <c r="D299" s="95"/>
      <c r="E299" s="96"/>
      <c r="F299" s="96"/>
      <c r="G299" s="95"/>
      <c r="H299" s="115"/>
      <c r="I299" s="112"/>
      <c r="J299" s="112"/>
      <c r="K299" s="113" t="str">
        <f t="shared" si="15"/>
        <v/>
      </c>
      <c r="L299" s="112"/>
      <c r="M299" s="113" t="str">
        <f t="shared" si="16"/>
        <v/>
      </c>
      <c r="N299" s="112"/>
      <c r="O299" s="112">
        <v>0</v>
      </c>
      <c r="P299" s="116">
        <v>0</v>
      </c>
      <c r="Q299" s="97"/>
    </row>
    <row r="300" spans="2:17" s="4" customFormat="1" ht="15.75" x14ac:dyDescent="0.25">
      <c r="B300" s="95">
        <f t="shared" si="14"/>
        <v>296</v>
      </c>
      <c r="C300" s="95"/>
      <c r="D300" s="95"/>
      <c r="E300" s="96"/>
      <c r="F300" s="96"/>
      <c r="G300" s="95"/>
      <c r="H300" s="115"/>
      <c r="I300" s="112"/>
      <c r="J300" s="112"/>
      <c r="K300" s="113" t="str">
        <f t="shared" si="15"/>
        <v/>
      </c>
      <c r="L300" s="112"/>
      <c r="M300" s="113" t="str">
        <f t="shared" si="16"/>
        <v/>
      </c>
      <c r="N300" s="112"/>
      <c r="O300" s="112">
        <v>0</v>
      </c>
      <c r="P300" s="116">
        <v>0</v>
      </c>
      <c r="Q300" s="97"/>
    </row>
    <row r="301" spans="2:17" s="4" customFormat="1" ht="15.75" x14ac:dyDescent="0.25">
      <c r="B301" s="95">
        <f t="shared" si="14"/>
        <v>297</v>
      </c>
      <c r="C301" s="95"/>
      <c r="D301" s="95"/>
      <c r="E301" s="96"/>
      <c r="F301" s="96"/>
      <c r="G301" s="95"/>
      <c r="H301" s="115"/>
      <c r="I301" s="112"/>
      <c r="J301" s="112"/>
      <c r="K301" s="113" t="str">
        <f t="shared" si="15"/>
        <v/>
      </c>
      <c r="L301" s="112"/>
      <c r="M301" s="113" t="str">
        <f t="shared" si="16"/>
        <v/>
      </c>
      <c r="N301" s="112"/>
      <c r="O301" s="112">
        <v>0</v>
      </c>
      <c r="P301" s="116">
        <v>0</v>
      </c>
      <c r="Q301" s="97"/>
    </row>
    <row r="302" spans="2:17" s="4" customFormat="1" ht="15.75" x14ac:dyDescent="0.25">
      <c r="B302" s="95">
        <f t="shared" si="14"/>
        <v>298</v>
      </c>
      <c r="C302" s="95"/>
      <c r="D302" s="95"/>
      <c r="E302" s="96"/>
      <c r="F302" s="96"/>
      <c r="G302" s="95"/>
      <c r="H302" s="115"/>
      <c r="I302" s="112"/>
      <c r="J302" s="112"/>
      <c r="K302" s="113" t="str">
        <f t="shared" si="15"/>
        <v/>
      </c>
      <c r="L302" s="112"/>
      <c r="M302" s="113" t="str">
        <f t="shared" si="16"/>
        <v/>
      </c>
      <c r="N302" s="112"/>
      <c r="O302" s="112">
        <v>0</v>
      </c>
      <c r="P302" s="116">
        <v>0</v>
      </c>
      <c r="Q302" s="97"/>
    </row>
    <row r="303" spans="2:17" s="4" customFormat="1" ht="15.75" x14ac:dyDescent="0.25">
      <c r="B303" s="95">
        <f t="shared" si="14"/>
        <v>299</v>
      </c>
      <c r="C303" s="95"/>
      <c r="D303" s="95"/>
      <c r="E303" s="96"/>
      <c r="F303" s="96"/>
      <c r="G303" s="95"/>
      <c r="H303" s="115"/>
      <c r="I303" s="112"/>
      <c r="J303" s="112"/>
      <c r="K303" s="113" t="str">
        <f t="shared" si="15"/>
        <v/>
      </c>
      <c r="L303" s="112"/>
      <c r="M303" s="113" t="str">
        <f t="shared" si="16"/>
        <v/>
      </c>
      <c r="N303" s="112"/>
      <c r="O303" s="112">
        <v>0</v>
      </c>
      <c r="P303" s="116">
        <v>0</v>
      </c>
      <c r="Q303" s="97"/>
    </row>
    <row r="304" spans="2:17" s="4" customFormat="1" ht="15.75" x14ac:dyDescent="0.25">
      <c r="B304" s="95">
        <f t="shared" si="14"/>
        <v>300</v>
      </c>
      <c r="C304" s="95"/>
      <c r="D304" s="95"/>
      <c r="E304" s="96"/>
      <c r="F304" s="96"/>
      <c r="G304" s="95"/>
      <c r="H304" s="115"/>
      <c r="I304" s="112"/>
      <c r="J304" s="112"/>
      <c r="K304" s="113" t="str">
        <f t="shared" si="15"/>
        <v/>
      </c>
      <c r="L304" s="112"/>
      <c r="M304" s="113" t="str">
        <f t="shared" si="16"/>
        <v/>
      </c>
      <c r="N304" s="112"/>
      <c r="O304" s="112">
        <v>0</v>
      </c>
      <c r="P304" s="116">
        <v>0</v>
      </c>
      <c r="Q304" s="97"/>
    </row>
    <row r="305" spans="2:17" s="4" customFormat="1" ht="15.75" x14ac:dyDescent="0.25">
      <c r="B305" s="95">
        <f t="shared" si="14"/>
        <v>301</v>
      </c>
      <c r="C305" s="95"/>
      <c r="D305" s="95"/>
      <c r="E305" s="96"/>
      <c r="F305" s="96"/>
      <c r="G305" s="95"/>
      <c r="H305" s="115"/>
      <c r="I305" s="112"/>
      <c r="J305" s="112"/>
      <c r="K305" s="113" t="str">
        <f t="shared" si="15"/>
        <v/>
      </c>
      <c r="L305" s="112"/>
      <c r="M305" s="113" t="str">
        <f t="shared" si="16"/>
        <v/>
      </c>
      <c r="N305" s="112"/>
      <c r="O305" s="112">
        <v>0</v>
      </c>
      <c r="P305" s="116">
        <v>0</v>
      </c>
      <c r="Q305" s="97"/>
    </row>
    <row r="306" spans="2:17" s="4" customFormat="1" ht="15.75" x14ac:dyDescent="0.25">
      <c r="B306" s="95">
        <f t="shared" si="14"/>
        <v>302</v>
      </c>
      <c r="C306" s="95"/>
      <c r="D306" s="95"/>
      <c r="E306" s="96"/>
      <c r="F306" s="96"/>
      <c r="G306" s="95"/>
      <c r="H306" s="115"/>
      <c r="I306" s="112"/>
      <c r="J306" s="112"/>
      <c r="K306" s="113" t="str">
        <f t="shared" si="15"/>
        <v/>
      </c>
      <c r="L306" s="112"/>
      <c r="M306" s="113" t="str">
        <f t="shared" si="16"/>
        <v/>
      </c>
      <c r="N306" s="112"/>
      <c r="O306" s="112">
        <v>0</v>
      </c>
      <c r="P306" s="116">
        <v>0</v>
      </c>
      <c r="Q306" s="97"/>
    </row>
    <row r="307" spans="2:17" s="4" customFormat="1" ht="15.75" x14ac:dyDescent="0.25">
      <c r="B307" s="95">
        <f t="shared" si="14"/>
        <v>303</v>
      </c>
      <c r="C307" s="95"/>
      <c r="D307" s="95"/>
      <c r="E307" s="96"/>
      <c r="F307" s="96"/>
      <c r="G307" s="95"/>
      <c r="H307" s="115"/>
      <c r="I307" s="112"/>
      <c r="J307" s="112"/>
      <c r="K307" s="113" t="str">
        <f t="shared" si="15"/>
        <v/>
      </c>
      <c r="L307" s="112"/>
      <c r="M307" s="113" t="str">
        <f t="shared" si="16"/>
        <v/>
      </c>
      <c r="N307" s="112"/>
      <c r="O307" s="112">
        <v>0</v>
      </c>
      <c r="P307" s="116">
        <v>0</v>
      </c>
      <c r="Q307" s="97"/>
    </row>
    <row r="308" spans="2:17" s="4" customFormat="1" ht="15.75" x14ac:dyDescent="0.25">
      <c r="B308" s="95">
        <f t="shared" si="14"/>
        <v>304</v>
      </c>
      <c r="C308" s="95"/>
      <c r="D308" s="95"/>
      <c r="E308" s="96"/>
      <c r="F308" s="96"/>
      <c r="G308" s="95"/>
      <c r="H308" s="115"/>
      <c r="I308" s="112"/>
      <c r="J308" s="112"/>
      <c r="K308" s="113" t="str">
        <f t="shared" si="15"/>
        <v/>
      </c>
      <c r="L308" s="112"/>
      <c r="M308" s="113" t="str">
        <f t="shared" si="16"/>
        <v/>
      </c>
      <c r="N308" s="112"/>
      <c r="O308" s="112">
        <v>0</v>
      </c>
      <c r="P308" s="116">
        <v>0</v>
      </c>
      <c r="Q308" s="97"/>
    </row>
    <row r="309" spans="2:17" s="4" customFormat="1" ht="15.75" x14ac:dyDescent="0.25">
      <c r="B309" s="95">
        <f t="shared" si="14"/>
        <v>305</v>
      </c>
      <c r="C309" s="95"/>
      <c r="D309" s="95"/>
      <c r="E309" s="96"/>
      <c r="F309" s="96"/>
      <c r="G309" s="95"/>
      <c r="H309" s="115"/>
      <c r="I309" s="112"/>
      <c r="J309" s="112"/>
      <c r="K309" s="113" t="str">
        <f t="shared" si="15"/>
        <v/>
      </c>
      <c r="L309" s="112"/>
      <c r="M309" s="113" t="str">
        <f t="shared" si="16"/>
        <v/>
      </c>
      <c r="N309" s="112"/>
      <c r="O309" s="112">
        <v>0</v>
      </c>
      <c r="P309" s="116">
        <v>0</v>
      </c>
      <c r="Q309" s="97"/>
    </row>
    <row r="310" spans="2:17" s="4" customFormat="1" ht="15.75" x14ac:dyDescent="0.25">
      <c r="B310" s="95">
        <f t="shared" si="14"/>
        <v>306</v>
      </c>
      <c r="C310" s="95"/>
      <c r="D310" s="95"/>
      <c r="E310" s="96"/>
      <c r="F310" s="96"/>
      <c r="G310" s="95"/>
      <c r="H310" s="115"/>
      <c r="I310" s="112"/>
      <c r="J310" s="112"/>
      <c r="K310" s="113" t="str">
        <f t="shared" si="15"/>
        <v/>
      </c>
      <c r="L310" s="112"/>
      <c r="M310" s="113" t="str">
        <f t="shared" si="16"/>
        <v/>
      </c>
      <c r="N310" s="112"/>
      <c r="O310" s="112">
        <v>0</v>
      </c>
      <c r="P310" s="116">
        <v>0</v>
      </c>
      <c r="Q310" s="97"/>
    </row>
    <row r="311" spans="2:17" s="4" customFormat="1" ht="15.75" x14ac:dyDescent="0.25">
      <c r="B311" s="95">
        <f t="shared" si="14"/>
        <v>307</v>
      </c>
      <c r="C311" s="95"/>
      <c r="D311" s="95"/>
      <c r="E311" s="96"/>
      <c r="F311" s="96"/>
      <c r="G311" s="95"/>
      <c r="H311" s="115"/>
      <c r="I311" s="112"/>
      <c r="J311" s="112"/>
      <c r="K311" s="113" t="str">
        <f t="shared" si="15"/>
        <v/>
      </c>
      <c r="L311" s="112"/>
      <c r="M311" s="113" t="str">
        <f t="shared" si="16"/>
        <v/>
      </c>
      <c r="N311" s="112"/>
      <c r="O311" s="112">
        <v>0</v>
      </c>
      <c r="P311" s="116">
        <v>0</v>
      </c>
      <c r="Q311" s="97"/>
    </row>
    <row r="312" spans="2:17" s="4" customFormat="1" ht="15.75" x14ac:dyDescent="0.25">
      <c r="B312" s="95">
        <f t="shared" si="14"/>
        <v>308</v>
      </c>
      <c r="C312" s="95"/>
      <c r="D312" s="95"/>
      <c r="E312" s="96"/>
      <c r="F312" s="96"/>
      <c r="G312" s="95"/>
      <c r="H312" s="115"/>
      <c r="I312" s="112"/>
      <c r="J312" s="112"/>
      <c r="K312" s="113" t="str">
        <f t="shared" si="15"/>
        <v/>
      </c>
      <c r="L312" s="112"/>
      <c r="M312" s="113" t="str">
        <f t="shared" si="16"/>
        <v/>
      </c>
      <c r="N312" s="112"/>
      <c r="O312" s="112">
        <v>0</v>
      </c>
      <c r="P312" s="116">
        <v>0</v>
      </c>
      <c r="Q312" s="97"/>
    </row>
    <row r="313" spans="2:17" s="4" customFormat="1" ht="15.75" x14ac:dyDescent="0.25">
      <c r="B313" s="95">
        <f t="shared" si="14"/>
        <v>309</v>
      </c>
      <c r="C313" s="95"/>
      <c r="D313" s="95"/>
      <c r="E313" s="96"/>
      <c r="F313" s="96"/>
      <c r="G313" s="95"/>
      <c r="H313" s="115"/>
      <c r="I313" s="112"/>
      <c r="J313" s="112"/>
      <c r="K313" s="113" t="str">
        <f t="shared" si="15"/>
        <v/>
      </c>
      <c r="L313" s="112"/>
      <c r="M313" s="113" t="str">
        <f t="shared" si="16"/>
        <v/>
      </c>
      <c r="N313" s="112"/>
      <c r="O313" s="112">
        <v>0</v>
      </c>
      <c r="P313" s="116">
        <v>0</v>
      </c>
      <c r="Q313" s="97"/>
    </row>
    <row r="314" spans="2:17" s="4" customFormat="1" ht="15.75" x14ac:dyDescent="0.25">
      <c r="B314" s="95">
        <f t="shared" si="14"/>
        <v>310</v>
      </c>
      <c r="C314" s="95"/>
      <c r="D314" s="95"/>
      <c r="E314" s="96"/>
      <c r="F314" s="96"/>
      <c r="G314" s="95"/>
      <c r="H314" s="115"/>
      <c r="I314" s="112"/>
      <c r="J314" s="112"/>
      <c r="K314" s="113" t="str">
        <f t="shared" si="15"/>
        <v/>
      </c>
      <c r="L314" s="112"/>
      <c r="M314" s="113" t="str">
        <f t="shared" si="16"/>
        <v/>
      </c>
      <c r="N314" s="112"/>
      <c r="O314" s="112">
        <v>0</v>
      </c>
      <c r="P314" s="116">
        <v>0</v>
      </c>
      <c r="Q314" s="97"/>
    </row>
    <row r="315" spans="2:17" s="4" customFormat="1" ht="15.75" x14ac:dyDescent="0.25">
      <c r="B315" s="95">
        <f t="shared" si="14"/>
        <v>311</v>
      </c>
      <c r="C315" s="95"/>
      <c r="D315" s="95"/>
      <c r="E315" s="96"/>
      <c r="F315" s="96"/>
      <c r="G315" s="95"/>
      <c r="H315" s="115"/>
      <c r="I315" s="112"/>
      <c r="J315" s="112"/>
      <c r="K315" s="113" t="str">
        <f t="shared" si="15"/>
        <v/>
      </c>
      <c r="L315" s="112"/>
      <c r="M315" s="113" t="str">
        <f t="shared" si="16"/>
        <v/>
      </c>
      <c r="N315" s="112"/>
      <c r="O315" s="112">
        <v>0</v>
      </c>
      <c r="P315" s="116">
        <v>0</v>
      </c>
      <c r="Q315" s="97"/>
    </row>
    <row r="316" spans="2:17" s="4" customFormat="1" ht="15.75" x14ac:dyDescent="0.25">
      <c r="B316" s="95">
        <f t="shared" si="14"/>
        <v>312</v>
      </c>
      <c r="C316" s="95"/>
      <c r="D316" s="95"/>
      <c r="E316" s="96"/>
      <c r="F316" s="96"/>
      <c r="G316" s="95"/>
      <c r="H316" s="115"/>
      <c r="I316" s="112"/>
      <c r="J316" s="112"/>
      <c r="K316" s="113" t="str">
        <f t="shared" si="15"/>
        <v/>
      </c>
      <c r="L316" s="112"/>
      <c r="M316" s="113" t="str">
        <f t="shared" si="16"/>
        <v/>
      </c>
      <c r="N316" s="112"/>
      <c r="O316" s="112">
        <v>0</v>
      </c>
      <c r="P316" s="116">
        <v>0</v>
      </c>
      <c r="Q316" s="97"/>
    </row>
    <row r="317" spans="2:17" s="4" customFormat="1" ht="15.75" x14ac:dyDescent="0.25">
      <c r="B317" s="95">
        <f t="shared" si="14"/>
        <v>313</v>
      </c>
      <c r="C317" s="95"/>
      <c r="D317" s="95"/>
      <c r="E317" s="96"/>
      <c r="F317" s="96"/>
      <c r="G317" s="95"/>
      <c r="H317" s="115"/>
      <c r="I317" s="112"/>
      <c r="J317" s="112"/>
      <c r="K317" s="113" t="str">
        <f t="shared" si="15"/>
        <v/>
      </c>
      <c r="L317" s="112"/>
      <c r="M317" s="113" t="str">
        <f t="shared" si="16"/>
        <v/>
      </c>
      <c r="N317" s="112"/>
      <c r="O317" s="112">
        <v>0</v>
      </c>
      <c r="P317" s="116">
        <v>0</v>
      </c>
      <c r="Q317" s="97"/>
    </row>
    <row r="318" spans="2:17" s="4" customFormat="1" ht="15.75" x14ac:dyDescent="0.25">
      <c r="B318" s="95">
        <f t="shared" si="14"/>
        <v>314</v>
      </c>
      <c r="C318" s="95"/>
      <c r="D318" s="95"/>
      <c r="E318" s="96"/>
      <c r="F318" s="96"/>
      <c r="G318" s="95"/>
      <c r="H318" s="115"/>
      <c r="I318" s="112"/>
      <c r="J318" s="112"/>
      <c r="K318" s="113" t="str">
        <f t="shared" si="15"/>
        <v/>
      </c>
      <c r="L318" s="112"/>
      <c r="M318" s="113" t="str">
        <f t="shared" si="16"/>
        <v/>
      </c>
      <c r="N318" s="112"/>
      <c r="O318" s="112">
        <v>0</v>
      </c>
      <c r="P318" s="116">
        <v>0</v>
      </c>
      <c r="Q318" s="97"/>
    </row>
    <row r="319" spans="2:17" s="4" customFormat="1" ht="15.75" x14ac:dyDescent="0.25">
      <c r="B319" s="95">
        <f t="shared" si="14"/>
        <v>315</v>
      </c>
      <c r="C319" s="95"/>
      <c r="D319" s="95"/>
      <c r="E319" s="96"/>
      <c r="F319" s="96"/>
      <c r="G319" s="95"/>
      <c r="H319" s="115"/>
      <c r="I319" s="112"/>
      <c r="J319" s="112"/>
      <c r="K319" s="113" t="str">
        <f t="shared" si="15"/>
        <v/>
      </c>
      <c r="L319" s="112"/>
      <c r="M319" s="113" t="str">
        <f t="shared" si="16"/>
        <v/>
      </c>
      <c r="N319" s="112"/>
      <c r="O319" s="112">
        <v>0</v>
      </c>
      <c r="P319" s="116">
        <v>0</v>
      </c>
      <c r="Q319" s="97"/>
    </row>
    <row r="320" spans="2:17" s="4" customFormat="1" ht="15.75" x14ac:dyDescent="0.25">
      <c r="B320" s="95">
        <f t="shared" si="14"/>
        <v>316</v>
      </c>
      <c r="C320" s="95"/>
      <c r="D320" s="95"/>
      <c r="E320" s="96"/>
      <c r="F320" s="96"/>
      <c r="G320" s="95"/>
      <c r="H320" s="115"/>
      <c r="I320" s="112"/>
      <c r="J320" s="112"/>
      <c r="K320" s="113" t="str">
        <f t="shared" si="15"/>
        <v/>
      </c>
      <c r="L320" s="112"/>
      <c r="M320" s="113" t="str">
        <f t="shared" si="16"/>
        <v/>
      </c>
      <c r="N320" s="112"/>
      <c r="O320" s="112">
        <v>0</v>
      </c>
      <c r="P320" s="116">
        <v>0</v>
      </c>
      <c r="Q320" s="97"/>
    </row>
    <row r="321" spans="2:19" s="4" customFormat="1" ht="15.75" x14ac:dyDescent="0.25">
      <c r="B321" s="95">
        <f t="shared" si="14"/>
        <v>317</v>
      </c>
      <c r="C321" s="95"/>
      <c r="D321" s="95"/>
      <c r="E321" s="96"/>
      <c r="F321" s="96"/>
      <c r="G321" s="95"/>
      <c r="H321" s="115"/>
      <c r="I321" s="112"/>
      <c r="J321" s="112"/>
      <c r="K321" s="113" t="str">
        <f t="shared" si="15"/>
        <v/>
      </c>
      <c r="L321" s="112"/>
      <c r="M321" s="113" t="str">
        <f t="shared" si="16"/>
        <v/>
      </c>
      <c r="N321" s="112"/>
      <c r="O321" s="112">
        <v>0</v>
      </c>
      <c r="P321" s="116">
        <v>0</v>
      </c>
      <c r="Q321" s="97"/>
    </row>
    <row r="322" spans="2:19" s="4" customFormat="1" ht="15.75" x14ac:dyDescent="0.25">
      <c r="B322" s="95">
        <f t="shared" si="14"/>
        <v>318</v>
      </c>
      <c r="C322" s="95"/>
      <c r="D322" s="95"/>
      <c r="E322" s="96"/>
      <c r="F322" s="96"/>
      <c r="G322" s="95"/>
      <c r="H322" s="115"/>
      <c r="I322" s="112"/>
      <c r="J322" s="112"/>
      <c r="K322" s="113" t="str">
        <f t="shared" si="15"/>
        <v/>
      </c>
      <c r="L322" s="112"/>
      <c r="M322" s="113" t="str">
        <f t="shared" si="16"/>
        <v/>
      </c>
      <c r="N322" s="112"/>
      <c r="O322" s="112">
        <v>0</v>
      </c>
      <c r="P322" s="116">
        <v>0</v>
      </c>
      <c r="Q322" s="97"/>
    </row>
    <row r="323" spans="2:19" s="4" customFormat="1" ht="15.75" x14ac:dyDescent="0.25">
      <c r="B323" s="95">
        <f t="shared" si="14"/>
        <v>319</v>
      </c>
      <c r="C323" s="95"/>
      <c r="D323" s="95"/>
      <c r="E323" s="96"/>
      <c r="F323" s="96"/>
      <c r="G323" s="95"/>
      <c r="H323" s="115"/>
      <c r="I323" s="112"/>
      <c r="J323" s="112"/>
      <c r="K323" s="113" t="str">
        <f t="shared" si="15"/>
        <v/>
      </c>
      <c r="L323" s="112"/>
      <c r="M323" s="113" t="str">
        <f t="shared" si="16"/>
        <v/>
      </c>
      <c r="N323" s="112"/>
      <c r="O323" s="112">
        <v>0</v>
      </c>
      <c r="P323" s="116">
        <v>0</v>
      </c>
      <c r="Q323" s="97"/>
    </row>
    <row r="324" spans="2:19" s="4" customFormat="1" ht="15.75" x14ac:dyDescent="0.25">
      <c r="B324" s="95">
        <f t="shared" si="14"/>
        <v>320</v>
      </c>
      <c r="C324" s="95"/>
      <c r="D324" s="95"/>
      <c r="E324" s="96"/>
      <c r="F324" s="96"/>
      <c r="G324" s="95"/>
      <c r="H324" s="115"/>
      <c r="I324" s="112"/>
      <c r="J324" s="112"/>
      <c r="K324" s="113" t="str">
        <f t="shared" si="15"/>
        <v/>
      </c>
      <c r="L324" s="112"/>
      <c r="M324" s="113" t="str">
        <f t="shared" si="16"/>
        <v/>
      </c>
      <c r="N324" s="112"/>
      <c r="O324" s="112">
        <v>0</v>
      </c>
      <c r="P324" s="116">
        <v>0</v>
      </c>
      <c r="Q324" s="97"/>
    </row>
    <row r="325" spans="2:19" s="4" customFormat="1" ht="15.75" x14ac:dyDescent="0.25">
      <c r="B325" s="95">
        <f t="shared" si="14"/>
        <v>321</v>
      </c>
      <c r="C325" s="95"/>
      <c r="D325" s="95"/>
      <c r="E325" s="96"/>
      <c r="F325" s="96"/>
      <c r="G325" s="95"/>
      <c r="H325" s="115"/>
      <c r="I325" s="112"/>
      <c r="J325" s="112"/>
      <c r="K325" s="113" t="str">
        <f t="shared" si="15"/>
        <v/>
      </c>
      <c r="L325" s="112"/>
      <c r="M325" s="113" t="str">
        <f t="shared" si="16"/>
        <v/>
      </c>
      <c r="N325" s="112"/>
      <c r="O325" s="112">
        <v>0</v>
      </c>
      <c r="P325" s="116">
        <v>0</v>
      </c>
      <c r="Q325" s="97"/>
      <c r="S325" s="4" t="e">
        <f>(#REF!/2)-#REF!</f>
        <v>#REF!</v>
      </c>
    </row>
    <row r="326" spans="2:19" s="4" customFormat="1" ht="15.75" x14ac:dyDescent="0.25">
      <c r="B326" s="95">
        <f t="shared" si="14"/>
        <v>322</v>
      </c>
      <c r="C326" s="95"/>
      <c r="D326" s="95"/>
      <c r="E326" s="96"/>
      <c r="F326" s="96"/>
      <c r="G326" s="95"/>
      <c r="H326" s="115"/>
      <c r="I326" s="112"/>
      <c r="J326" s="112"/>
      <c r="K326" s="113" t="str">
        <f t="shared" ref="K326:K389" si="17">IF(J326,(I326-J326)/I326,"")</f>
        <v/>
      </c>
      <c r="L326" s="112"/>
      <c r="M326" s="113" t="str">
        <f t="shared" ref="M326:M389" si="18">IF(J326,L326/I326,"")</f>
        <v/>
      </c>
      <c r="N326" s="112"/>
      <c r="O326" s="112">
        <v>0</v>
      </c>
      <c r="P326" s="116">
        <v>0</v>
      </c>
      <c r="Q326" s="97"/>
    </row>
    <row r="327" spans="2:19" s="4" customFormat="1" ht="15.75" x14ac:dyDescent="0.25">
      <c r="B327" s="95">
        <f t="shared" ref="B327:B390" si="19">B326+1</f>
        <v>323</v>
      </c>
      <c r="C327" s="95"/>
      <c r="D327" s="95"/>
      <c r="E327" s="96"/>
      <c r="F327" s="96"/>
      <c r="G327" s="95"/>
      <c r="H327" s="115"/>
      <c r="I327" s="112"/>
      <c r="J327" s="112"/>
      <c r="K327" s="113" t="str">
        <f t="shared" si="17"/>
        <v/>
      </c>
      <c r="L327" s="112"/>
      <c r="M327" s="113" t="str">
        <f t="shared" si="18"/>
        <v/>
      </c>
      <c r="N327" s="112"/>
      <c r="O327" s="112">
        <v>0</v>
      </c>
      <c r="P327" s="116">
        <v>0</v>
      </c>
      <c r="Q327" s="97"/>
    </row>
    <row r="328" spans="2:19" s="4" customFormat="1" ht="15.75" x14ac:dyDescent="0.25">
      <c r="B328" s="95">
        <f t="shared" si="19"/>
        <v>324</v>
      </c>
      <c r="C328" s="95"/>
      <c r="D328" s="95"/>
      <c r="E328" s="96"/>
      <c r="F328" s="96"/>
      <c r="G328" s="95"/>
      <c r="H328" s="115"/>
      <c r="I328" s="112"/>
      <c r="J328" s="112"/>
      <c r="K328" s="113" t="str">
        <f t="shared" si="17"/>
        <v/>
      </c>
      <c r="L328" s="112"/>
      <c r="M328" s="113" t="str">
        <f t="shared" si="18"/>
        <v/>
      </c>
      <c r="N328" s="112"/>
      <c r="O328" s="112">
        <v>0</v>
      </c>
      <c r="P328" s="116">
        <v>0</v>
      </c>
      <c r="Q328" s="97"/>
    </row>
    <row r="329" spans="2:19" s="4" customFormat="1" ht="15.75" x14ac:dyDescent="0.25">
      <c r="B329" s="95">
        <f t="shared" si="19"/>
        <v>325</v>
      </c>
      <c r="C329" s="95"/>
      <c r="D329" s="95"/>
      <c r="E329" s="96"/>
      <c r="F329" s="96"/>
      <c r="G329" s="95"/>
      <c r="H329" s="115"/>
      <c r="I329" s="112"/>
      <c r="J329" s="112"/>
      <c r="K329" s="113" t="str">
        <f t="shared" si="17"/>
        <v/>
      </c>
      <c r="L329" s="112"/>
      <c r="M329" s="113" t="str">
        <f t="shared" si="18"/>
        <v/>
      </c>
      <c r="N329" s="112"/>
      <c r="O329" s="112">
        <v>0</v>
      </c>
      <c r="P329" s="116">
        <v>0</v>
      </c>
      <c r="Q329" s="97"/>
    </row>
    <row r="330" spans="2:19" s="4" customFormat="1" ht="15.75" x14ac:dyDescent="0.25">
      <c r="B330" s="95">
        <f t="shared" si="19"/>
        <v>326</v>
      </c>
      <c r="C330" s="95"/>
      <c r="D330" s="95"/>
      <c r="E330" s="96"/>
      <c r="F330" s="96"/>
      <c r="G330" s="95"/>
      <c r="H330" s="115"/>
      <c r="I330" s="112"/>
      <c r="J330" s="112"/>
      <c r="K330" s="113" t="str">
        <f t="shared" si="17"/>
        <v/>
      </c>
      <c r="L330" s="112"/>
      <c r="M330" s="113" t="str">
        <f t="shared" si="18"/>
        <v/>
      </c>
      <c r="N330" s="112"/>
      <c r="O330" s="112">
        <v>0</v>
      </c>
      <c r="P330" s="116">
        <v>0</v>
      </c>
      <c r="Q330" s="97"/>
    </row>
    <row r="331" spans="2:19" s="4" customFormat="1" ht="15.75" x14ac:dyDescent="0.25">
      <c r="B331" s="95">
        <f t="shared" si="19"/>
        <v>327</v>
      </c>
      <c r="C331" s="95"/>
      <c r="D331" s="95"/>
      <c r="E331" s="96"/>
      <c r="F331" s="96"/>
      <c r="G331" s="95"/>
      <c r="H331" s="115"/>
      <c r="I331" s="112"/>
      <c r="J331" s="112"/>
      <c r="K331" s="113" t="str">
        <f t="shared" si="17"/>
        <v/>
      </c>
      <c r="L331" s="112"/>
      <c r="M331" s="113" t="str">
        <f t="shared" si="18"/>
        <v/>
      </c>
      <c r="N331" s="112"/>
      <c r="O331" s="112">
        <v>0</v>
      </c>
      <c r="P331" s="116">
        <v>0</v>
      </c>
      <c r="Q331" s="97"/>
    </row>
    <row r="332" spans="2:19" s="4" customFormat="1" ht="15.75" x14ac:dyDescent="0.25">
      <c r="B332" s="95">
        <f t="shared" si="19"/>
        <v>328</v>
      </c>
      <c r="C332" s="95"/>
      <c r="D332" s="95"/>
      <c r="E332" s="96"/>
      <c r="F332" s="96"/>
      <c r="G332" s="95"/>
      <c r="H332" s="115"/>
      <c r="I332" s="112"/>
      <c r="J332" s="112"/>
      <c r="K332" s="113" t="str">
        <f t="shared" si="17"/>
        <v/>
      </c>
      <c r="L332" s="112"/>
      <c r="M332" s="113" t="str">
        <f t="shared" si="18"/>
        <v/>
      </c>
      <c r="N332" s="112"/>
      <c r="O332" s="112">
        <v>0</v>
      </c>
      <c r="P332" s="116">
        <v>0</v>
      </c>
      <c r="Q332" s="97"/>
    </row>
    <row r="333" spans="2:19" s="4" customFormat="1" ht="15.75" x14ac:dyDescent="0.25">
      <c r="B333" s="95">
        <f t="shared" si="19"/>
        <v>329</v>
      </c>
      <c r="C333" s="95"/>
      <c r="D333" s="95"/>
      <c r="E333" s="96"/>
      <c r="F333" s="96"/>
      <c r="G333" s="95"/>
      <c r="H333" s="115"/>
      <c r="I333" s="112"/>
      <c r="J333" s="112"/>
      <c r="K333" s="113" t="str">
        <f t="shared" si="17"/>
        <v/>
      </c>
      <c r="L333" s="112"/>
      <c r="M333" s="113" t="str">
        <f t="shared" si="18"/>
        <v/>
      </c>
      <c r="N333" s="112"/>
      <c r="O333" s="112">
        <v>0</v>
      </c>
      <c r="P333" s="116">
        <v>0</v>
      </c>
      <c r="Q333" s="97"/>
    </row>
    <row r="334" spans="2:19" s="4" customFormat="1" ht="15.75" x14ac:dyDescent="0.25">
      <c r="B334" s="95">
        <f t="shared" si="19"/>
        <v>330</v>
      </c>
      <c r="C334" s="95"/>
      <c r="D334" s="95"/>
      <c r="E334" s="96"/>
      <c r="F334" s="96"/>
      <c r="G334" s="95"/>
      <c r="H334" s="115"/>
      <c r="I334" s="112"/>
      <c r="J334" s="112"/>
      <c r="K334" s="113" t="str">
        <f t="shared" si="17"/>
        <v/>
      </c>
      <c r="L334" s="112"/>
      <c r="M334" s="113" t="str">
        <f t="shared" si="18"/>
        <v/>
      </c>
      <c r="N334" s="112"/>
      <c r="O334" s="112">
        <v>0</v>
      </c>
      <c r="P334" s="116">
        <v>0</v>
      </c>
      <c r="Q334" s="97"/>
    </row>
    <row r="335" spans="2:19" s="4" customFormat="1" ht="15.75" x14ac:dyDescent="0.25">
      <c r="B335" s="95">
        <f t="shared" si="19"/>
        <v>331</v>
      </c>
      <c r="C335" s="95"/>
      <c r="D335" s="95"/>
      <c r="E335" s="96"/>
      <c r="F335" s="96"/>
      <c r="G335" s="95"/>
      <c r="H335" s="115"/>
      <c r="I335" s="112"/>
      <c r="J335" s="112"/>
      <c r="K335" s="113" t="str">
        <f t="shared" si="17"/>
        <v/>
      </c>
      <c r="L335" s="112"/>
      <c r="M335" s="113" t="str">
        <f t="shared" si="18"/>
        <v/>
      </c>
      <c r="N335" s="112"/>
      <c r="O335" s="112">
        <v>0</v>
      </c>
      <c r="P335" s="116">
        <v>0</v>
      </c>
      <c r="Q335" s="97"/>
    </row>
    <row r="336" spans="2:19" s="4" customFormat="1" ht="15.75" x14ac:dyDescent="0.25">
      <c r="B336" s="95">
        <f t="shared" si="19"/>
        <v>332</v>
      </c>
      <c r="C336" s="95"/>
      <c r="D336" s="95"/>
      <c r="E336" s="96"/>
      <c r="F336" s="96"/>
      <c r="G336" s="95"/>
      <c r="H336" s="115"/>
      <c r="I336" s="112"/>
      <c r="J336" s="112"/>
      <c r="K336" s="113" t="str">
        <f t="shared" si="17"/>
        <v/>
      </c>
      <c r="L336" s="112"/>
      <c r="M336" s="113" t="str">
        <f t="shared" si="18"/>
        <v/>
      </c>
      <c r="N336" s="112"/>
      <c r="O336" s="112">
        <v>0</v>
      </c>
      <c r="P336" s="116">
        <v>0</v>
      </c>
      <c r="Q336" s="97"/>
    </row>
    <row r="337" spans="2:17" s="4" customFormat="1" ht="15.75" x14ac:dyDescent="0.25">
      <c r="B337" s="95">
        <f t="shared" si="19"/>
        <v>333</v>
      </c>
      <c r="C337" s="95"/>
      <c r="D337" s="95"/>
      <c r="E337" s="96"/>
      <c r="F337" s="96"/>
      <c r="G337" s="95"/>
      <c r="H337" s="115"/>
      <c r="I337" s="112"/>
      <c r="J337" s="112"/>
      <c r="K337" s="113" t="str">
        <f t="shared" si="17"/>
        <v/>
      </c>
      <c r="L337" s="112"/>
      <c r="M337" s="113" t="str">
        <f t="shared" si="18"/>
        <v/>
      </c>
      <c r="N337" s="112"/>
      <c r="O337" s="112">
        <v>0</v>
      </c>
      <c r="P337" s="116">
        <v>0</v>
      </c>
      <c r="Q337" s="97"/>
    </row>
    <row r="338" spans="2:17" s="4" customFormat="1" ht="15.75" x14ac:dyDescent="0.25">
      <c r="B338" s="95">
        <f t="shared" si="19"/>
        <v>334</v>
      </c>
      <c r="C338" s="95"/>
      <c r="D338" s="95"/>
      <c r="E338" s="96"/>
      <c r="F338" s="96"/>
      <c r="G338" s="95"/>
      <c r="H338" s="115"/>
      <c r="I338" s="112"/>
      <c r="J338" s="112"/>
      <c r="K338" s="113" t="str">
        <f t="shared" si="17"/>
        <v/>
      </c>
      <c r="L338" s="112"/>
      <c r="M338" s="113" t="str">
        <f t="shared" si="18"/>
        <v/>
      </c>
      <c r="N338" s="112"/>
      <c r="O338" s="112">
        <v>0</v>
      </c>
      <c r="P338" s="116">
        <v>0</v>
      </c>
      <c r="Q338" s="97"/>
    </row>
    <row r="339" spans="2:17" s="4" customFormat="1" ht="15.75" x14ac:dyDescent="0.25">
      <c r="B339" s="95">
        <f t="shared" si="19"/>
        <v>335</v>
      </c>
      <c r="C339" s="95"/>
      <c r="D339" s="95"/>
      <c r="E339" s="96"/>
      <c r="F339" s="96"/>
      <c r="G339" s="95"/>
      <c r="H339" s="115"/>
      <c r="I339" s="112"/>
      <c r="J339" s="112"/>
      <c r="K339" s="113" t="str">
        <f t="shared" si="17"/>
        <v/>
      </c>
      <c r="L339" s="112"/>
      <c r="M339" s="113" t="str">
        <f t="shared" si="18"/>
        <v/>
      </c>
      <c r="N339" s="112"/>
      <c r="O339" s="112">
        <v>0</v>
      </c>
      <c r="P339" s="116">
        <v>0</v>
      </c>
      <c r="Q339" s="97"/>
    </row>
    <row r="340" spans="2:17" s="4" customFormat="1" ht="15.75" x14ac:dyDescent="0.25">
      <c r="B340" s="95">
        <f t="shared" si="19"/>
        <v>336</v>
      </c>
      <c r="C340" s="95"/>
      <c r="D340" s="95"/>
      <c r="E340" s="96"/>
      <c r="F340" s="96"/>
      <c r="G340" s="95"/>
      <c r="H340" s="115"/>
      <c r="I340" s="112"/>
      <c r="J340" s="112"/>
      <c r="K340" s="113" t="str">
        <f t="shared" si="17"/>
        <v/>
      </c>
      <c r="L340" s="112"/>
      <c r="M340" s="113" t="str">
        <f t="shared" si="18"/>
        <v/>
      </c>
      <c r="N340" s="112"/>
      <c r="O340" s="112">
        <v>0</v>
      </c>
      <c r="P340" s="116">
        <v>0</v>
      </c>
      <c r="Q340" s="97"/>
    </row>
    <row r="341" spans="2:17" s="4" customFormat="1" ht="15.75" x14ac:dyDescent="0.25">
      <c r="B341" s="95">
        <f t="shared" si="19"/>
        <v>337</v>
      </c>
      <c r="C341" s="95"/>
      <c r="D341" s="95"/>
      <c r="E341" s="96"/>
      <c r="F341" s="96"/>
      <c r="G341" s="95"/>
      <c r="H341" s="115"/>
      <c r="I341" s="112"/>
      <c r="J341" s="112"/>
      <c r="K341" s="113" t="str">
        <f t="shared" si="17"/>
        <v/>
      </c>
      <c r="L341" s="112"/>
      <c r="M341" s="113" t="str">
        <f t="shared" si="18"/>
        <v/>
      </c>
      <c r="N341" s="112"/>
      <c r="O341" s="112">
        <v>0</v>
      </c>
      <c r="P341" s="116">
        <v>0</v>
      </c>
      <c r="Q341" s="97"/>
    </row>
    <row r="342" spans="2:17" s="4" customFormat="1" ht="15.75" x14ac:dyDescent="0.25">
      <c r="B342" s="95">
        <f t="shared" si="19"/>
        <v>338</v>
      </c>
      <c r="C342" s="95"/>
      <c r="D342" s="95"/>
      <c r="E342" s="96"/>
      <c r="F342" s="96"/>
      <c r="G342" s="95"/>
      <c r="H342" s="115"/>
      <c r="I342" s="112"/>
      <c r="J342" s="112"/>
      <c r="K342" s="113" t="str">
        <f t="shared" si="17"/>
        <v/>
      </c>
      <c r="L342" s="112"/>
      <c r="M342" s="113" t="str">
        <f t="shared" si="18"/>
        <v/>
      </c>
      <c r="N342" s="112"/>
      <c r="O342" s="112">
        <v>0</v>
      </c>
      <c r="P342" s="116">
        <v>0</v>
      </c>
      <c r="Q342" s="97"/>
    </row>
    <row r="343" spans="2:17" s="4" customFormat="1" ht="15.75" x14ac:dyDescent="0.25">
      <c r="B343" s="95">
        <f t="shared" si="19"/>
        <v>339</v>
      </c>
      <c r="C343" s="95"/>
      <c r="D343" s="95"/>
      <c r="E343" s="96"/>
      <c r="F343" s="96"/>
      <c r="G343" s="95"/>
      <c r="H343" s="115"/>
      <c r="I343" s="112"/>
      <c r="J343" s="112"/>
      <c r="K343" s="113" t="str">
        <f t="shared" si="17"/>
        <v/>
      </c>
      <c r="L343" s="112"/>
      <c r="M343" s="113" t="str">
        <f t="shared" si="18"/>
        <v/>
      </c>
      <c r="N343" s="112"/>
      <c r="O343" s="112">
        <v>0</v>
      </c>
      <c r="P343" s="116">
        <v>0</v>
      </c>
      <c r="Q343" s="97"/>
    </row>
    <row r="344" spans="2:17" s="4" customFormat="1" ht="15.75" x14ac:dyDescent="0.25">
      <c r="B344" s="95">
        <f t="shared" si="19"/>
        <v>340</v>
      </c>
      <c r="C344" s="95"/>
      <c r="D344" s="95"/>
      <c r="E344" s="96"/>
      <c r="F344" s="96"/>
      <c r="G344" s="95"/>
      <c r="H344" s="115"/>
      <c r="I344" s="112"/>
      <c r="J344" s="112"/>
      <c r="K344" s="113" t="str">
        <f t="shared" si="17"/>
        <v/>
      </c>
      <c r="L344" s="112"/>
      <c r="M344" s="113" t="str">
        <f t="shared" si="18"/>
        <v/>
      </c>
      <c r="N344" s="112"/>
      <c r="O344" s="112">
        <v>0</v>
      </c>
      <c r="P344" s="116">
        <v>0</v>
      </c>
      <c r="Q344" s="97"/>
    </row>
    <row r="345" spans="2:17" s="4" customFormat="1" ht="15.75" x14ac:dyDescent="0.25">
      <c r="B345" s="95">
        <f t="shared" si="19"/>
        <v>341</v>
      </c>
      <c r="C345" s="95"/>
      <c r="D345" s="95"/>
      <c r="E345" s="96"/>
      <c r="F345" s="96"/>
      <c r="G345" s="95"/>
      <c r="H345" s="115"/>
      <c r="I345" s="112"/>
      <c r="J345" s="112"/>
      <c r="K345" s="113" t="str">
        <f t="shared" si="17"/>
        <v/>
      </c>
      <c r="L345" s="112"/>
      <c r="M345" s="113" t="str">
        <f t="shared" si="18"/>
        <v/>
      </c>
      <c r="N345" s="112"/>
      <c r="O345" s="112">
        <v>0</v>
      </c>
      <c r="P345" s="116">
        <v>0</v>
      </c>
      <c r="Q345" s="97"/>
    </row>
    <row r="346" spans="2:17" s="4" customFormat="1" ht="15.75" x14ac:dyDescent="0.25">
      <c r="B346" s="95">
        <f t="shared" si="19"/>
        <v>342</v>
      </c>
      <c r="C346" s="95"/>
      <c r="D346" s="95"/>
      <c r="E346" s="96"/>
      <c r="F346" s="96"/>
      <c r="G346" s="95"/>
      <c r="H346" s="115"/>
      <c r="I346" s="112"/>
      <c r="J346" s="112"/>
      <c r="K346" s="113" t="str">
        <f t="shared" si="17"/>
        <v/>
      </c>
      <c r="L346" s="112"/>
      <c r="M346" s="113" t="str">
        <f t="shared" si="18"/>
        <v/>
      </c>
      <c r="N346" s="112"/>
      <c r="O346" s="112">
        <v>0</v>
      </c>
      <c r="P346" s="116">
        <v>0</v>
      </c>
      <c r="Q346" s="97"/>
    </row>
    <row r="347" spans="2:17" s="4" customFormat="1" ht="15.75" x14ac:dyDescent="0.25">
      <c r="B347" s="95">
        <f t="shared" si="19"/>
        <v>343</v>
      </c>
      <c r="C347" s="95"/>
      <c r="D347" s="95"/>
      <c r="E347" s="96"/>
      <c r="F347" s="96"/>
      <c r="G347" s="95"/>
      <c r="H347" s="115"/>
      <c r="I347" s="112"/>
      <c r="J347" s="112"/>
      <c r="K347" s="113" t="str">
        <f t="shared" si="17"/>
        <v/>
      </c>
      <c r="L347" s="112"/>
      <c r="M347" s="113" t="str">
        <f t="shared" si="18"/>
        <v/>
      </c>
      <c r="N347" s="112"/>
      <c r="O347" s="112">
        <v>0</v>
      </c>
      <c r="P347" s="116">
        <v>0</v>
      </c>
      <c r="Q347" s="97"/>
    </row>
    <row r="348" spans="2:17" s="4" customFormat="1" ht="15.75" x14ac:dyDescent="0.25">
      <c r="B348" s="95">
        <f t="shared" si="19"/>
        <v>344</v>
      </c>
      <c r="C348" s="95"/>
      <c r="D348" s="95"/>
      <c r="E348" s="96"/>
      <c r="F348" s="96"/>
      <c r="G348" s="95"/>
      <c r="H348" s="115"/>
      <c r="I348" s="112"/>
      <c r="J348" s="112"/>
      <c r="K348" s="113" t="str">
        <f t="shared" si="17"/>
        <v/>
      </c>
      <c r="L348" s="112"/>
      <c r="M348" s="113" t="str">
        <f t="shared" si="18"/>
        <v/>
      </c>
      <c r="N348" s="112"/>
      <c r="O348" s="112">
        <v>0</v>
      </c>
      <c r="P348" s="116">
        <v>0</v>
      </c>
      <c r="Q348" s="97"/>
    </row>
    <row r="349" spans="2:17" s="4" customFormat="1" ht="15.75" x14ac:dyDescent="0.25">
      <c r="B349" s="95">
        <f t="shared" si="19"/>
        <v>345</v>
      </c>
      <c r="C349" s="95"/>
      <c r="D349" s="95"/>
      <c r="E349" s="96"/>
      <c r="F349" s="96"/>
      <c r="G349" s="95"/>
      <c r="H349" s="115"/>
      <c r="I349" s="112"/>
      <c r="J349" s="112"/>
      <c r="K349" s="113" t="str">
        <f t="shared" si="17"/>
        <v/>
      </c>
      <c r="L349" s="112"/>
      <c r="M349" s="113" t="str">
        <f t="shared" si="18"/>
        <v/>
      </c>
      <c r="N349" s="112"/>
      <c r="O349" s="112">
        <v>0</v>
      </c>
      <c r="P349" s="116">
        <v>0</v>
      </c>
      <c r="Q349" s="97"/>
    </row>
    <row r="350" spans="2:17" s="4" customFormat="1" ht="15.75" x14ac:dyDescent="0.25">
      <c r="B350" s="95">
        <f t="shared" si="19"/>
        <v>346</v>
      </c>
      <c r="C350" s="95"/>
      <c r="D350" s="95"/>
      <c r="E350" s="96"/>
      <c r="F350" s="96"/>
      <c r="G350" s="95"/>
      <c r="H350" s="115"/>
      <c r="I350" s="112"/>
      <c r="J350" s="112"/>
      <c r="K350" s="113" t="str">
        <f t="shared" si="17"/>
        <v/>
      </c>
      <c r="L350" s="112"/>
      <c r="M350" s="113" t="str">
        <f t="shared" si="18"/>
        <v/>
      </c>
      <c r="N350" s="112"/>
      <c r="O350" s="112">
        <v>0</v>
      </c>
      <c r="P350" s="116">
        <v>0</v>
      </c>
      <c r="Q350" s="97"/>
    </row>
    <row r="351" spans="2:17" s="4" customFormat="1" ht="15.75" x14ac:dyDescent="0.25">
      <c r="B351" s="95">
        <f t="shared" si="19"/>
        <v>347</v>
      </c>
      <c r="C351" s="95"/>
      <c r="D351" s="95"/>
      <c r="E351" s="96"/>
      <c r="F351" s="96"/>
      <c r="G351" s="95"/>
      <c r="H351" s="115"/>
      <c r="I351" s="112"/>
      <c r="J351" s="112"/>
      <c r="K351" s="113" t="str">
        <f t="shared" si="17"/>
        <v/>
      </c>
      <c r="L351" s="112"/>
      <c r="M351" s="113" t="str">
        <f t="shared" si="18"/>
        <v/>
      </c>
      <c r="N351" s="112"/>
      <c r="O351" s="112">
        <v>0</v>
      </c>
      <c r="P351" s="116">
        <v>0</v>
      </c>
      <c r="Q351" s="97"/>
    </row>
    <row r="352" spans="2:17" s="4" customFormat="1" ht="15.75" x14ac:dyDescent="0.25">
      <c r="B352" s="95">
        <f t="shared" si="19"/>
        <v>348</v>
      </c>
      <c r="C352" s="95"/>
      <c r="D352" s="95"/>
      <c r="E352" s="96"/>
      <c r="F352" s="96"/>
      <c r="G352" s="95"/>
      <c r="H352" s="115"/>
      <c r="I352" s="112"/>
      <c r="J352" s="112"/>
      <c r="K352" s="113" t="str">
        <f t="shared" si="17"/>
        <v/>
      </c>
      <c r="L352" s="112"/>
      <c r="M352" s="113" t="str">
        <f t="shared" si="18"/>
        <v/>
      </c>
      <c r="N352" s="112"/>
      <c r="O352" s="112">
        <v>0</v>
      </c>
      <c r="P352" s="116">
        <v>0</v>
      </c>
      <c r="Q352" s="97"/>
    </row>
    <row r="353" spans="2:17" s="4" customFormat="1" ht="15.75" x14ac:dyDescent="0.25">
      <c r="B353" s="95">
        <f t="shared" si="19"/>
        <v>349</v>
      </c>
      <c r="C353" s="95"/>
      <c r="D353" s="95"/>
      <c r="E353" s="96"/>
      <c r="F353" s="96"/>
      <c r="G353" s="95"/>
      <c r="H353" s="115"/>
      <c r="I353" s="112"/>
      <c r="J353" s="112"/>
      <c r="K353" s="113" t="str">
        <f t="shared" si="17"/>
        <v/>
      </c>
      <c r="L353" s="112"/>
      <c r="M353" s="113" t="str">
        <f t="shared" si="18"/>
        <v/>
      </c>
      <c r="N353" s="112"/>
      <c r="O353" s="112">
        <v>0</v>
      </c>
      <c r="P353" s="116">
        <v>0</v>
      </c>
      <c r="Q353" s="97"/>
    </row>
    <row r="354" spans="2:17" s="4" customFormat="1" ht="15.75" x14ac:dyDescent="0.25">
      <c r="B354" s="95">
        <f t="shared" si="19"/>
        <v>350</v>
      </c>
      <c r="C354" s="95"/>
      <c r="D354" s="95"/>
      <c r="E354" s="96"/>
      <c r="F354" s="96"/>
      <c r="G354" s="95"/>
      <c r="H354" s="115"/>
      <c r="I354" s="112"/>
      <c r="J354" s="112"/>
      <c r="K354" s="113" t="str">
        <f t="shared" si="17"/>
        <v/>
      </c>
      <c r="L354" s="112"/>
      <c r="M354" s="113" t="str">
        <f t="shared" si="18"/>
        <v/>
      </c>
      <c r="N354" s="112"/>
      <c r="O354" s="112">
        <v>0</v>
      </c>
      <c r="P354" s="116">
        <v>0</v>
      </c>
      <c r="Q354" s="97"/>
    </row>
    <row r="355" spans="2:17" s="4" customFormat="1" ht="15.75" x14ac:dyDescent="0.25">
      <c r="B355" s="95">
        <f t="shared" si="19"/>
        <v>351</v>
      </c>
      <c r="C355" s="95"/>
      <c r="D355" s="95"/>
      <c r="E355" s="96"/>
      <c r="F355" s="96"/>
      <c r="G355" s="95"/>
      <c r="H355" s="115"/>
      <c r="I355" s="112"/>
      <c r="J355" s="112"/>
      <c r="K355" s="113" t="str">
        <f t="shared" si="17"/>
        <v/>
      </c>
      <c r="L355" s="112"/>
      <c r="M355" s="113" t="str">
        <f t="shared" si="18"/>
        <v/>
      </c>
      <c r="N355" s="112"/>
      <c r="O355" s="112">
        <v>0</v>
      </c>
      <c r="P355" s="116">
        <v>0</v>
      </c>
      <c r="Q355" s="97"/>
    </row>
    <row r="356" spans="2:17" s="4" customFormat="1" ht="15.75" x14ac:dyDescent="0.25">
      <c r="B356" s="95">
        <f t="shared" si="19"/>
        <v>352</v>
      </c>
      <c r="C356" s="95"/>
      <c r="D356" s="95"/>
      <c r="E356" s="96"/>
      <c r="F356" s="96"/>
      <c r="G356" s="95"/>
      <c r="H356" s="115"/>
      <c r="I356" s="112"/>
      <c r="J356" s="112"/>
      <c r="K356" s="113" t="str">
        <f t="shared" si="17"/>
        <v/>
      </c>
      <c r="L356" s="112"/>
      <c r="M356" s="113" t="str">
        <f t="shared" si="18"/>
        <v/>
      </c>
      <c r="N356" s="112"/>
      <c r="O356" s="112">
        <v>0</v>
      </c>
      <c r="P356" s="116">
        <v>0</v>
      </c>
      <c r="Q356" s="100"/>
    </row>
    <row r="357" spans="2:17" s="4" customFormat="1" ht="15.75" x14ac:dyDescent="0.25">
      <c r="B357" s="95">
        <f t="shared" si="19"/>
        <v>353</v>
      </c>
      <c r="C357" s="95"/>
      <c r="D357" s="95"/>
      <c r="E357" s="96"/>
      <c r="F357" s="96"/>
      <c r="G357" s="95"/>
      <c r="H357" s="115"/>
      <c r="I357" s="112"/>
      <c r="J357" s="112"/>
      <c r="K357" s="113" t="str">
        <f t="shared" si="17"/>
        <v/>
      </c>
      <c r="L357" s="112"/>
      <c r="M357" s="113" t="str">
        <f t="shared" si="18"/>
        <v/>
      </c>
      <c r="N357" s="112"/>
      <c r="O357" s="112">
        <v>0</v>
      </c>
      <c r="P357" s="116">
        <v>0</v>
      </c>
      <c r="Q357" s="100"/>
    </row>
    <row r="358" spans="2:17" s="4" customFormat="1" ht="15.75" x14ac:dyDescent="0.25">
      <c r="B358" s="95">
        <f t="shared" si="19"/>
        <v>354</v>
      </c>
      <c r="C358" s="95"/>
      <c r="D358" s="95"/>
      <c r="E358" s="96"/>
      <c r="F358" s="96"/>
      <c r="G358" s="95"/>
      <c r="H358" s="115"/>
      <c r="I358" s="112"/>
      <c r="J358" s="112"/>
      <c r="K358" s="113" t="str">
        <f t="shared" si="17"/>
        <v/>
      </c>
      <c r="L358" s="112"/>
      <c r="M358" s="113" t="str">
        <f t="shared" si="18"/>
        <v/>
      </c>
      <c r="N358" s="112"/>
      <c r="O358" s="112">
        <v>0</v>
      </c>
      <c r="P358" s="116">
        <v>0</v>
      </c>
      <c r="Q358" s="100"/>
    </row>
    <row r="359" spans="2:17" s="4" customFormat="1" ht="15.75" x14ac:dyDescent="0.25">
      <c r="B359" s="95">
        <f t="shared" si="19"/>
        <v>355</v>
      </c>
      <c r="C359" s="95"/>
      <c r="D359" s="95"/>
      <c r="E359" s="96"/>
      <c r="F359" s="96"/>
      <c r="G359" s="95"/>
      <c r="H359" s="115"/>
      <c r="I359" s="112"/>
      <c r="J359" s="112"/>
      <c r="K359" s="113" t="str">
        <f t="shared" si="17"/>
        <v/>
      </c>
      <c r="L359" s="112"/>
      <c r="M359" s="113" t="str">
        <f t="shared" si="18"/>
        <v/>
      </c>
      <c r="N359" s="112"/>
      <c r="O359" s="112">
        <v>0</v>
      </c>
      <c r="P359" s="116">
        <v>0</v>
      </c>
      <c r="Q359" s="100"/>
    </row>
    <row r="360" spans="2:17" s="4" customFormat="1" ht="15.75" x14ac:dyDescent="0.25">
      <c r="B360" s="95">
        <f t="shared" si="19"/>
        <v>356</v>
      </c>
      <c r="C360" s="95"/>
      <c r="D360" s="95"/>
      <c r="E360" s="96"/>
      <c r="F360" s="96"/>
      <c r="G360" s="95"/>
      <c r="H360" s="115"/>
      <c r="I360" s="112"/>
      <c r="J360" s="112"/>
      <c r="K360" s="113" t="str">
        <f t="shared" si="17"/>
        <v/>
      </c>
      <c r="L360" s="112"/>
      <c r="M360" s="113" t="str">
        <f t="shared" si="18"/>
        <v/>
      </c>
      <c r="N360" s="112"/>
      <c r="O360" s="112">
        <v>0</v>
      </c>
      <c r="P360" s="116">
        <v>0</v>
      </c>
      <c r="Q360" s="100"/>
    </row>
    <row r="361" spans="2:17" s="4" customFormat="1" ht="15.75" x14ac:dyDescent="0.25">
      <c r="B361" s="95">
        <f t="shared" si="19"/>
        <v>357</v>
      </c>
      <c r="C361" s="95"/>
      <c r="D361" s="95"/>
      <c r="E361" s="96"/>
      <c r="F361" s="96"/>
      <c r="G361" s="95"/>
      <c r="H361" s="115"/>
      <c r="I361" s="112"/>
      <c r="J361" s="112"/>
      <c r="K361" s="113" t="str">
        <f t="shared" si="17"/>
        <v/>
      </c>
      <c r="L361" s="112"/>
      <c r="M361" s="113" t="str">
        <f t="shared" si="18"/>
        <v/>
      </c>
      <c r="N361" s="112"/>
      <c r="O361" s="112">
        <v>0</v>
      </c>
      <c r="P361" s="116">
        <v>0</v>
      </c>
      <c r="Q361" s="100"/>
    </row>
    <row r="362" spans="2:17" s="4" customFormat="1" ht="15.75" x14ac:dyDescent="0.25">
      <c r="B362" s="95">
        <f t="shared" si="19"/>
        <v>358</v>
      </c>
      <c r="C362" s="95"/>
      <c r="D362" s="95"/>
      <c r="E362" s="96"/>
      <c r="F362" s="96"/>
      <c r="G362" s="95"/>
      <c r="H362" s="115"/>
      <c r="I362" s="112"/>
      <c r="J362" s="112"/>
      <c r="K362" s="113" t="str">
        <f t="shared" si="17"/>
        <v/>
      </c>
      <c r="L362" s="112"/>
      <c r="M362" s="113" t="str">
        <f t="shared" si="18"/>
        <v/>
      </c>
      <c r="N362" s="112"/>
      <c r="O362" s="112">
        <v>0</v>
      </c>
      <c r="P362" s="116">
        <v>0</v>
      </c>
      <c r="Q362" s="100"/>
    </row>
    <row r="363" spans="2:17" s="4" customFormat="1" ht="15.75" x14ac:dyDescent="0.25">
      <c r="B363" s="95">
        <f t="shared" si="19"/>
        <v>359</v>
      </c>
      <c r="C363" s="95"/>
      <c r="D363" s="95"/>
      <c r="E363" s="96"/>
      <c r="F363" s="96"/>
      <c r="G363" s="95"/>
      <c r="H363" s="115"/>
      <c r="I363" s="112"/>
      <c r="J363" s="112"/>
      <c r="K363" s="113" t="str">
        <f t="shared" si="17"/>
        <v/>
      </c>
      <c r="L363" s="112"/>
      <c r="M363" s="113" t="str">
        <f t="shared" si="18"/>
        <v/>
      </c>
      <c r="N363" s="112"/>
      <c r="O363" s="112">
        <v>0</v>
      </c>
      <c r="P363" s="116">
        <v>0</v>
      </c>
      <c r="Q363" s="100"/>
    </row>
    <row r="364" spans="2:17" s="4" customFormat="1" ht="15.75" x14ac:dyDescent="0.25">
      <c r="B364" s="95">
        <f t="shared" si="19"/>
        <v>360</v>
      </c>
      <c r="C364" s="95"/>
      <c r="D364" s="95"/>
      <c r="E364" s="96"/>
      <c r="F364" s="96"/>
      <c r="G364" s="95"/>
      <c r="H364" s="115"/>
      <c r="I364" s="112"/>
      <c r="J364" s="112"/>
      <c r="K364" s="113" t="str">
        <f t="shared" si="17"/>
        <v/>
      </c>
      <c r="L364" s="112"/>
      <c r="M364" s="113" t="str">
        <f t="shared" si="18"/>
        <v/>
      </c>
      <c r="N364" s="112"/>
      <c r="O364" s="112">
        <v>0</v>
      </c>
      <c r="P364" s="116">
        <v>0</v>
      </c>
      <c r="Q364" s="100"/>
    </row>
    <row r="365" spans="2:17" s="4" customFormat="1" ht="15.75" x14ac:dyDescent="0.25">
      <c r="B365" s="95">
        <f t="shared" si="19"/>
        <v>361</v>
      </c>
      <c r="C365" s="95"/>
      <c r="D365" s="95"/>
      <c r="E365" s="96"/>
      <c r="F365" s="96"/>
      <c r="G365" s="95"/>
      <c r="H365" s="115"/>
      <c r="I365" s="112"/>
      <c r="J365" s="112"/>
      <c r="K365" s="113" t="str">
        <f t="shared" si="17"/>
        <v/>
      </c>
      <c r="L365" s="112"/>
      <c r="M365" s="113" t="str">
        <f t="shared" si="18"/>
        <v/>
      </c>
      <c r="N365" s="112"/>
      <c r="O365" s="112">
        <v>0</v>
      </c>
      <c r="P365" s="116">
        <v>0</v>
      </c>
      <c r="Q365" s="100"/>
    </row>
    <row r="366" spans="2:17" s="4" customFormat="1" ht="15.75" x14ac:dyDescent="0.25">
      <c r="B366" s="95">
        <f t="shared" si="19"/>
        <v>362</v>
      </c>
      <c r="C366" s="95"/>
      <c r="D366" s="95"/>
      <c r="E366" s="96"/>
      <c r="F366" s="96"/>
      <c r="G366" s="95"/>
      <c r="H366" s="115"/>
      <c r="I366" s="112"/>
      <c r="J366" s="112"/>
      <c r="K366" s="113" t="str">
        <f t="shared" si="17"/>
        <v/>
      </c>
      <c r="L366" s="112"/>
      <c r="M366" s="113" t="str">
        <f t="shared" si="18"/>
        <v/>
      </c>
      <c r="N366" s="112"/>
      <c r="O366" s="112">
        <v>0</v>
      </c>
      <c r="P366" s="116">
        <v>0</v>
      </c>
      <c r="Q366" s="100"/>
    </row>
    <row r="367" spans="2:17" s="4" customFormat="1" ht="15.75" x14ac:dyDescent="0.25">
      <c r="B367" s="95">
        <f t="shared" si="19"/>
        <v>363</v>
      </c>
      <c r="C367" s="95"/>
      <c r="D367" s="95"/>
      <c r="E367" s="96"/>
      <c r="F367" s="96"/>
      <c r="G367" s="95"/>
      <c r="H367" s="115"/>
      <c r="I367" s="112"/>
      <c r="J367" s="112"/>
      <c r="K367" s="113" t="str">
        <f t="shared" si="17"/>
        <v/>
      </c>
      <c r="L367" s="112"/>
      <c r="M367" s="113" t="str">
        <f t="shared" si="18"/>
        <v/>
      </c>
      <c r="N367" s="112"/>
      <c r="O367" s="112">
        <v>0</v>
      </c>
      <c r="P367" s="116">
        <v>0</v>
      </c>
      <c r="Q367" s="100"/>
    </row>
    <row r="368" spans="2:17" s="4" customFormat="1" ht="15.75" x14ac:dyDescent="0.25">
      <c r="B368" s="95">
        <f t="shared" si="19"/>
        <v>364</v>
      </c>
      <c r="C368" s="95"/>
      <c r="D368" s="95"/>
      <c r="E368" s="96"/>
      <c r="F368" s="96"/>
      <c r="G368" s="95"/>
      <c r="H368" s="115"/>
      <c r="I368" s="112"/>
      <c r="J368" s="112"/>
      <c r="K368" s="113" t="str">
        <f t="shared" si="17"/>
        <v/>
      </c>
      <c r="L368" s="112"/>
      <c r="M368" s="113" t="str">
        <f t="shared" si="18"/>
        <v/>
      </c>
      <c r="N368" s="112"/>
      <c r="O368" s="112">
        <v>0</v>
      </c>
      <c r="P368" s="116">
        <v>0</v>
      </c>
      <c r="Q368" s="100"/>
    </row>
    <row r="369" spans="2:17" s="4" customFormat="1" ht="15.75" x14ac:dyDescent="0.25">
      <c r="B369" s="95">
        <f t="shared" si="19"/>
        <v>365</v>
      </c>
      <c r="C369" s="95"/>
      <c r="D369" s="95"/>
      <c r="E369" s="96"/>
      <c r="F369" s="96"/>
      <c r="G369" s="95"/>
      <c r="H369" s="115"/>
      <c r="I369" s="112"/>
      <c r="J369" s="112"/>
      <c r="K369" s="113" t="str">
        <f t="shared" si="17"/>
        <v/>
      </c>
      <c r="L369" s="112"/>
      <c r="M369" s="113" t="str">
        <f t="shared" si="18"/>
        <v/>
      </c>
      <c r="N369" s="112"/>
      <c r="O369" s="112">
        <v>0</v>
      </c>
      <c r="P369" s="116">
        <v>0</v>
      </c>
      <c r="Q369" s="100"/>
    </row>
    <row r="370" spans="2:17" s="4" customFormat="1" ht="15.75" x14ac:dyDescent="0.25">
      <c r="B370" s="95">
        <f t="shared" si="19"/>
        <v>366</v>
      </c>
      <c r="C370" s="95"/>
      <c r="D370" s="95"/>
      <c r="E370" s="96"/>
      <c r="F370" s="96"/>
      <c r="G370" s="95"/>
      <c r="H370" s="115"/>
      <c r="I370" s="112"/>
      <c r="J370" s="112"/>
      <c r="K370" s="113" t="str">
        <f t="shared" si="17"/>
        <v/>
      </c>
      <c r="L370" s="112"/>
      <c r="M370" s="113" t="str">
        <f t="shared" si="18"/>
        <v/>
      </c>
      <c r="N370" s="112"/>
      <c r="O370" s="112">
        <v>0</v>
      </c>
      <c r="P370" s="116">
        <v>0</v>
      </c>
      <c r="Q370" s="100"/>
    </row>
    <row r="371" spans="2:17" s="4" customFormat="1" ht="15.75" x14ac:dyDescent="0.25">
      <c r="B371" s="95">
        <f t="shared" si="19"/>
        <v>367</v>
      </c>
      <c r="C371" s="95"/>
      <c r="D371" s="95"/>
      <c r="E371" s="96"/>
      <c r="F371" s="96"/>
      <c r="G371" s="95"/>
      <c r="H371" s="115"/>
      <c r="I371" s="112"/>
      <c r="J371" s="112"/>
      <c r="K371" s="113" t="str">
        <f t="shared" si="17"/>
        <v/>
      </c>
      <c r="L371" s="112"/>
      <c r="M371" s="113" t="str">
        <f t="shared" si="18"/>
        <v/>
      </c>
      <c r="N371" s="112"/>
      <c r="O371" s="112">
        <v>0</v>
      </c>
      <c r="P371" s="116">
        <v>0</v>
      </c>
      <c r="Q371" s="100"/>
    </row>
    <row r="372" spans="2:17" s="4" customFormat="1" ht="15.75" x14ac:dyDescent="0.25">
      <c r="B372" s="95">
        <f t="shared" si="19"/>
        <v>368</v>
      </c>
      <c r="C372" s="95"/>
      <c r="D372" s="95"/>
      <c r="E372" s="96"/>
      <c r="F372" s="96"/>
      <c r="G372" s="95"/>
      <c r="H372" s="115"/>
      <c r="I372" s="112"/>
      <c r="J372" s="112"/>
      <c r="K372" s="113" t="str">
        <f t="shared" si="17"/>
        <v/>
      </c>
      <c r="L372" s="112"/>
      <c r="M372" s="113" t="str">
        <f t="shared" si="18"/>
        <v/>
      </c>
      <c r="N372" s="112"/>
      <c r="O372" s="112">
        <v>0</v>
      </c>
      <c r="P372" s="116">
        <v>0</v>
      </c>
      <c r="Q372" s="100"/>
    </row>
    <row r="373" spans="2:17" s="4" customFormat="1" ht="15.75" x14ac:dyDescent="0.25">
      <c r="B373" s="95">
        <f t="shared" si="19"/>
        <v>369</v>
      </c>
      <c r="C373" s="95"/>
      <c r="D373" s="95"/>
      <c r="E373" s="96"/>
      <c r="F373" s="96"/>
      <c r="G373" s="95"/>
      <c r="H373" s="115"/>
      <c r="I373" s="112"/>
      <c r="J373" s="112"/>
      <c r="K373" s="113" t="str">
        <f t="shared" si="17"/>
        <v/>
      </c>
      <c r="L373" s="112"/>
      <c r="M373" s="113" t="str">
        <f t="shared" si="18"/>
        <v/>
      </c>
      <c r="N373" s="112"/>
      <c r="O373" s="112">
        <v>0</v>
      </c>
      <c r="P373" s="116">
        <v>0</v>
      </c>
      <c r="Q373" s="100"/>
    </row>
    <row r="374" spans="2:17" s="4" customFormat="1" ht="15.75" x14ac:dyDescent="0.25">
      <c r="B374" s="95">
        <f t="shared" si="19"/>
        <v>370</v>
      </c>
      <c r="C374" s="95"/>
      <c r="D374" s="95"/>
      <c r="E374" s="96"/>
      <c r="F374" s="96"/>
      <c r="G374" s="95"/>
      <c r="H374" s="115"/>
      <c r="I374" s="112"/>
      <c r="J374" s="112"/>
      <c r="K374" s="113" t="str">
        <f t="shared" si="17"/>
        <v/>
      </c>
      <c r="L374" s="112"/>
      <c r="M374" s="113" t="str">
        <f t="shared" si="18"/>
        <v/>
      </c>
      <c r="N374" s="112"/>
      <c r="O374" s="112">
        <v>0</v>
      </c>
      <c r="P374" s="116">
        <v>0</v>
      </c>
      <c r="Q374" s="100"/>
    </row>
    <row r="375" spans="2:17" s="4" customFormat="1" ht="15.75" x14ac:dyDescent="0.25">
      <c r="B375" s="95">
        <f t="shared" si="19"/>
        <v>371</v>
      </c>
      <c r="C375" s="95"/>
      <c r="D375" s="95"/>
      <c r="E375" s="96"/>
      <c r="F375" s="96"/>
      <c r="G375" s="95"/>
      <c r="H375" s="115"/>
      <c r="I375" s="112"/>
      <c r="J375" s="112"/>
      <c r="K375" s="113" t="str">
        <f t="shared" si="17"/>
        <v/>
      </c>
      <c r="L375" s="112"/>
      <c r="M375" s="113" t="str">
        <f t="shared" si="18"/>
        <v/>
      </c>
      <c r="N375" s="112"/>
      <c r="O375" s="112">
        <v>0</v>
      </c>
      <c r="P375" s="116">
        <v>0</v>
      </c>
      <c r="Q375" s="100"/>
    </row>
    <row r="376" spans="2:17" s="4" customFormat="1" ht="15.75" x14ac:dyDescent="0.25">
      <c r="B376" s="95">
        <f t="shared" si="19"/>
        <v>372</v>
      </c>
      <c r="C376" s="95"/>
      <c r="D376" s="95"/>
      <c r="E376" s="96"/>
      <c r="F376" s="96"/>
      <c r="G376" s="95"/>
      <c r="H376" s="115"/>
      <c r="I376" s="112"/>
      <c r="J376" s="112"/>
      <c r="K376" s="113" t="str">
        <f t="shared" si="17"/>
        <v/>
      </c>
      <c r="L376" s="112"/>
      <c r="M376" s="113" t="str">
        <f t="shared" si="18"/>
        <v/>
      </c>
      <c r="N376" s="112"/>
      <c r="O376" s="112">
        <v>0</v>
      </c>
      <c r="P376" s="116">
        <v>0</v>
      </c>
      <c r="Q376" s="100"/>
    </row>
    <row r="377" spans="2:17" s="4" customFormat="1" ht="15.75" x14ac:dyDescent="0.25">
      <c r="B377" s="95">
        <f t="shared" si="19"/>
        <v>373</v>
      </c>
      <c r="C377" s="95"/>
      <c r="D377" s="95"/>
      <c r="E377" s="96"/>
      <c r="F377" s="96"/>
      <c r="G377" s="95"/>
      <c r="H377" s="115"/>
      <c r="I377" s="112"/>
      <c r="J377" s="112"/>
      <c r="K377" s="113" t="str">
        <f t="shared" si="17"/>
        <v/>
      </c>
      <c r="L377" s="112"/>
      <c r="M377" s="113" t="str">
        <f t="shared" si="18"/>
        <v/>
      </c>
      <c r="N377" s="112"/>
      <c r="O377" s="112">
        <v>0</v>
      </c>
      <c r="P377" s="116">
        <v>0</v>
      </c>
      <c r="Q377" s="100"/>
    </row>
    <row r="378" spans="2:17" s="4" customFormat="1" ht="15.75" x14ac:dyDescent="0.25">
      <c r="B378" s="95">
        <f t="shared" si="19"/>
        <v>374</v>
      </c>
      <c r="C378" s="95"/>
      <c r="D378" s="95"/>
      <c r="E378" s="96"/>
      <c r="F378" s="96"/>
      <c r="G378" s="95"/>
      <c r="H378" s="115"/>
      <c r="I378" s="112"/>
      <c r="J378" s="112"/>
      <c r="K378" s="113" t="str">
        <f t="shared" si="17"/>
        <v/>
      </c>
      <c r="L378" s="112"/>
      <c r="M378" s="113" t="str">
        <f t="shared" si="18"/>
        <v/>
      </c>
      <c r="N378" s="112"/>
      <c r="O378" s="112">
        <v>0</v>
      </c>
      <c r="P378" s="116">
        <v>0</v>
      </c>
      <c r="Q378" s="100"/>
    </row>
    <row r="379" spans="2:17" s="4" customFormat="1" ht="15.75" x14ac:dyDescent="0.25">
      <c r="B379" s="95">
        <f t="shared" si="19"/>
        <v>375</v>
      </c>
      <c r="C379" s="95"/>
      <c r="D379" s="95"/>
      <c r="E379" s="96"/>
      <c r="F379" s="96"/>
      <c r="G379" s="95"/>
      <c r="H379" s="115"/>
      <c r="I379" s="112"/>
      <c r="J379" s="112"/>
      <c r="K379" s="113" t="str">
        <f t="shared" si="17"/>
        <v/>
      </c>
      <c r="L379" s="112"/>
      <c r="M379" s="113" t="str">
        <f t="shared" si="18"/>
        <v/>
      </c>
      <c r="N379" s="112"/>
      <c r="O379" s="112">
        <v>0</v>
      </c>
      <c r="P379" s="116">
        <v>0</v>
      </c>
      <c r="Q379" s="100"/>
    </row>
    <row r="380" spans="2:17" s="4" customFormat="1" ht="15.75" x14ac:dyDescent="0.25">
      <c r="B380" s="95">
        <f t="shared" si="19"/>
        <v>376</v>
      </c>
      <c r="C380" s="95"/>
      <c r="D380" s="95"/>
      <c r="E380" s="96"/>
      <c r="F380" s="96"/>
      <c r="G380" s="95"/>
      <c r="H380" s="115"/>
      <c r="I380" s="112"/>
      <c r="J380" s="112"/>
      <c r="K380" s="113" t="str">
        <f t="shared" si="17"/>
        <v/>
      </c>
      <c r="L380" s="112"/>
      <c r="M380" s="113" t="str">
        <f t="shared" si="18"/>
        <v/>
      </c>
      <c r="N380" s="112"/>
      <c r="O380" s="112">
        <v>0</v>
      </c>
      <c r="P380" s="116">
        <v>0</v>
      </c>
      <c r="Q380" s="100"/>
    </row>
    <row r="381" spans="2:17" s="4" customFormat="1" ht="15.75" x14ac:dyDescent="0.25">
      <c r="B381" s="95">
        <f t="shared" si="19"/>
        <v>377</v>
      </c>
      <c r="C381" s="95"/>
      <c r="D381" s="95"/>
      <c r="E381" s="96"/>
      <c r="F381" s="96"/>
      <c r="G381" s="95"/>
      <c r="H381" s="115"/>
      <c r="I381" s="112"/>
      <c r="J381" s="112"/>
      <c r="K381" s="113" t="str">
        <f t="shared" si="17"/>
        <v/>
      </c>
      <c r="L381" s="112"/>
      <c r="M381" s="113" t="str">
        <f t="shared" si="18"/>
        <v/>
      </c>
      <c r="N381" s="112"/>
      <c r="O381" s="112">
        <v>0</v>
      </c>
      <c r="P381" s="116">
        <v>0</v>
      </c>
      <c r="Q381" s="100"/>
    </row>
    <row r="382" spans="2:17" s="4" customFormat="1" ht="15.75" x14ac:dyDescent="0.25">
      <c r="B382" s="95">
        <f t="shared" si="19"/>
        <v>378</v>
      </c>
      <c r="C382" s="95"/>
      <c r="D382" s="95"/>
      <c r="E382" s="96"/>
      <c r="F382" s="96"/>
      <c r="G382" s="95"/>
      <c r="H382" s="115"/>
      <c r="I382" s="112"/>
      <c r="J382" s="112"/>
      <c r="K382" s="113" t="str">
        <f t="shared" si="17"/>
        <v/>
      </c>
      <c r="L382" s="112"/>
      <c r="M382" s="113" t="str">
        <f t="shared" si="18"/>
        <v/>
      </c>
      <c r="N382" s="112"/>
      <c r="O382" s="112">
        <v>0</v>
      </c>
      <c r="P382" s="116">
        <v>0</v>
      </c>
      <c r="Q382" s="100"/>
    </row>
    <row r="383" spans="2:17" s="4" customFormat="1" ht="15.75" x14ac:dyDescent="0.25">
      <c r="B383" s="95">
        <f t="shared" si="19"/>
        <v>379</v>
      </c>
      <c r="C383" s="95"/>
      <c r="D383" s="95"/>
      <c r="E383" s="96"/>
      <c r="F383" s="96"/>
      <c r="G383" s="95"/>
      <c r="H383" s="115"/>
      <c r="I383" s="112"/>
      <c r="J383" s="112"/>
      <c r="K383" s="113" t="str">
        <f t="shared" si="17"/>
        <v/>
      </c>
      <c r="L383" s="112"/>
      <c r="M383" s="113" t="str">
        <f t="shared" si="18"/>
        <v/>
      </c>
      <c r="N383" s="112"/>
      <c r="O383" s="112">
        <v>0</v>
      </c>
      <c r="P383" s="116">
        <v>0</v>
      </c>
      <c r="Q383" s="100"/>
    </row>
    <row r="384" spans="2:17" s="4" customFormat="1" ht="15.75" x14ac:dyDescent="0.25">
      <c r="B384" s="95">
        <f t="shared" si="19"/>
        <v>380</v>
      </c>
      <c r="C384" s="95"/>
      <c r="D384" s="95"/>
      <c r="E384" s="96"/>
      <c r="F384" s="96"/>
      <c r="G384" s="95"/>
      <c r="H384" s="115"/>
      <c r="I384" s="112"/>
      <c r="J384" s="112"/>
      <c r="K384" s="113" t="str">
        <f t="shared" si="17"/>
        <v/>
      </c>
      <c r="L384" s="112"/>
      <c r="M384" s="113" t="str">
        <f t="shared" si="18"/>
        <v/>
      </c>
      <c r="N384" s="112"/>
      <c r="O384" s="112">
        <v>0</v>
      </c>
      <c r="P384" s="116">
        <v>0</v>
      </c>
      <c r="Q384" s="100"/>
    </row>
    <row r="385" spans="2:19" s="4" customFormat="1" ht="15.75" x14ac:dyDescent="0.25">
      <c r="B385" s="95">
        <f t="shared" si="19"/>
        <v>381</v>
      </c>
      <c r="C385" s="95"/>
      <c r="D385" s="95"/>
      <c r="E385" s="96"/>
      <c r="F385" s="96"/>
      <c r="G385" s="95"/>
      <c r="H385" s="115"/>
      <c r="I385" s="112"/>
      <c r="J385" s="112"/>
      <c r="K385" s="113" t="str">
        <f t="shared" si="17"/>
        <v/>
      </c>
      <c r="L385" s="112"/>
      <c r="M385" s="113" t="str">
        <f t="shared" si="18"/>
        <v/>
      </c>
      <c r="N385" s="112"/>
      <c r="O385" s="112">
        <v>0</v>
      </c>
      <c r="P385" s="116">
        <v>0</v>
      </c>
      <c r="Q385" s="100"/>
    </row>
    <row r="386" spans="2:19" s="4" customFormat="1" ht="15.75" x14ac:dyDescent="0.25">
      <c r="B386" s="95">
        <f t="shared" si="19"/>
        <v>382</v>
      </c>
      <c r="C386" s="95"/>
      <c r="D386" s="95"/>
      <c r="E386" s="96"/>
      <c r="F386" s="96"/>
      <c r="G386" s="95"/>
      <c r="H386" s="115"/>
      <c r="I386" s="112"/>
      <c r="J386" s="112"/>
      <c r="K386" s="113" t="str">
        <f t="shared" si="17"/>
        <v/>
      </c>
      <c r="L386" s="112"/>
      <c r="M386" s="113" t="str">
        <f t="shared" si="18"/>
        <v/>
      </c>
      <c r="N386" s="112"/>
      <c r="O386" s="112">
        <v>0</v>
      </c>
      <c r="P386" s="116">
        <v>0</v>
      </c>
      <c r="Q386" s="100"/>
    </row>
    <row r="387" spans="2:19" s="4" customFormat="1" ht="15.75" x14ac:dyDescent="0.25">
      <c r="B387" s="95">
        <f t="shared" si="19"/>
        <v>383</v>
      </c>
      <c r="C387" s="95"/>
      <c r="D387" s="95"/>
      <c r="E387" s="96"/>
      <c r="F387" s="96"/>
      <c r="G387" s="95"/>
      <c r="H387" s="115"/>
      <c r="I387" s="112"/>
      <c r="J387" s="112"/>
      <c r="K387" s="113" t="str">
        <f t="shared" si="17"/>
        <v/>
      </c>
      <c r="L387" s="112"/>
      <c r="M387" s="113" t="str">
        <f t="shared" si="18"/>
        <v/>
      </c>
      <c r="N387" s="112"/>
      <c r="O387" s="112">
        <v>0</v>
      </c>
      <c r="P387" s="116">
        <v>0</v>
      </c>
      <c r="Q387" s="100"/>
    </row>
    <row r="388" spans="2:19" s="4" customFormat="1" ht="15.75" x14ac:dyDescent="0.25">
      <c r="B388" s="95">
        <f t="shared" si="19"/>
        <v>384</v>
      </c>
      <c r="C388" s="95"/>
      <c r="D388" s="95"/>
      <c r="E388" s="96"/>
      <c r="F388" s="96"/>
      <c r="G388" s="95"/>
      <c r="H388" s="115"/>
      <c r="I388" s="112"/>
      <c r="J388" s="112"/>
      <c r="K388" s="113" t="str">
        <f t="shared" si="17"/>
        <v/>
      </c>
      <c r="L388" s="112"/>
      <c r="M388" s="113" t="str">
        <f t="shared" si="18"/>
        <v/>
      </c>
      <c r="N388" s="112"/>
      <c r="O388" s="112">
        <v>0</v>
      </c>
      <c r="P388" s="116">
        <v>0</v>
      </c>
      <c r="Q388" s="100"/>
    </row>
    <row r="389" spans="2:19" s="4" customFormat="1" ht="15.75" x14ac:dyDescent="0.25">
      <c r="B389" s="95">
        <f t="shared" si="19"/>
        <v>385</v>
      </c>
      <c r="C389" s="95"/>
      <c r="D389" s="95"/>
      <c r="E389" s="96"/>
      <c r="F389" s="96"/>
      <c r="G389" s="95"/>
      <c r="H389" s="115"/>
      <c r="I389" s="112"/>
      <c r="J389" s="112"/>
      <c r="K389" s="113" t="str">
        <f t="shared" si="17"/>
        <v/>
      </c>
      <c r="L389" s="112"/>
      <c r="M389" s="113" t="str">
        <f t="shared" si="18"/>
        <v/>
      </c>
      <c r="N389" s="112"/>
      <c r="O389" s="112">
        <v>0</v>
      </c>
      <c r="P389" s="116">
        <v>0</v>
      </c>
      <c r="Q389" s="100"/>
    </row>
    <row r="390" spans="2:19" s="4" customFormat="1" ht="15.75" x14ac:dyDescent="0.25">
      <c r="B390" s="95">
        <f t="shared" si="19"/>
        <v>386</v>
      </c>
      <c r="C390" s="95"/>
      <c r="D390" s="95"/>
      <c r="E390" s="96"/>
      <c r="F390" s="96"/>
      <c r="G390" s="95"/>
      <c r="H390" s="115"/>
      <c r="I390" s="112"/>
      <c r="J390" s="112"/>
      <c r="K390" s="113" t="str">
        <f t="shared" ref="K390:K403" si="20">IF(J390,(I390-J390)/I390,"")</f>
        <v/>
      </c>
      <c r="L390" s="112"/>
      <c r="M390" s="113" t="str">
        <f t="shared" ref="M390:M403" si="21">IF(J390,L390/I390,"")</f>
        <v/>
      </c>
      <c r="N390" s="112"/>
      <c r="O390" s="112">
        <v>0</v>
      </c>
      <c r="P390" s="116">
        <v>0</v>
      </c>
      <c r="Q390" s="100"/>
    </row>
    <row r="391" spans="2:19" s="4" customFormat="1" ht="15.75" x14ac:dyDescent="0.25">
      <c r="B391" s="95">
        <f t="shared" ref="B391:B403" si="22">B390+1</f>
        <v>387</v>
      </c>
      <c r="C391" s="95"/>
      <c r="D391" s="95"/>
      <c r="E391" s="96"/>
      <c r="F391" s="96"/>
      <c r="G391" s="95"/>
      <c r="H391" s="115"/>
      <c r="I391" s="112"/>
      <c r="J391" s="112"/>
      <c r="K391" s="113" t="str">
        <f t="shared" si="20"/>
        <v/>
      </c>
      <c r="L391" s="112"/>
      <c r="M391" s="113" t="str">
        <f t="shared" si="21"/>
        <v/>
      </c>
      <c r="N391" s="112"/>
      <c r="O391" s="112">
        <v>0</v>
      </c>
      <c r="P391" s="116">
        <v>0</v>
      </c>
      <c r="Q391" s="100"/>
    </row>
    <row r="392" spans="2:19" s="4" customFormat="1" ht="15.75" x14ac:dyDescent="0.25">
      <c r="B392" s="95">
        <f t="shared" si="22"/>
        <v>388</v>
      </c>
      <c r="C392" s="95"/>
      <c r="D392" s="95"/>
      <c r="E392" s="96"/>
      <c r="F392" s="96"/>
      <c r="G392" s="95"/>
      <c r="H392" s="115"/>
      <c r="I392" s="112"/>
      <c r="J392" s="112"/>
      <c r="K392" s="113" t="str">
        <f t="shared" si="20"/>
        <v/>
      </c>
      <c r="L392" s="112"/>
      <c r="M392" s="113" t="str">
        <f t="shared" si="21"/>
        <v/>
      </c>
      <c r="N392" s="112"/>
      <c r="O392" s="112">
        <v>0</v>
      </c>
      <c r="P392" s="116">
        <v>0</v>
      </c>
      <c r="Q392" s="100"/>
      <c r="S392" s="4" t="s">
        <v>12</v>
      </c>
    </row>
    <row r="393" spans="2:19" s="4" customFormat="1" ht="15.75" x14ac:dyDescent="0.25">
      <c r="B393" s="95">
        <f t="shared" si="22"/>
        <v>389</v>
      </c>
      <c r="C393" s="95"/>
      <c r="D393" s="95"/>
      <c r="E393" s="96"/>
      <c r="F393" s="96"/>
      <c r="G393" s="95"/>
      <c r="H393" s="115"/>
      <c r="I393" s="112"/>
      <c r="J393" s="112"/>
      <c r="K393" s="113" t="str">
        <f t="shared" si="20"/>
        <v/>
      </c>
      <c r="L393" s="112"/>
      <c r="M393" s="113" t="str">
        <f t="shared" si="21"/>
        <v/>
      </c>
      <c r="N393" s="112"/>
      <c r="O393" s="112">
        <v>0</v>
      </c>
      <c r="P393" s="116">
        <v>0</v>
      </c>
      <c r="Q393" s="100"/>
    </row>
    <row r="394" spans="2:19" s="4" customFormat="1" ht="15.75" x14ac:dyDescent="0.25">
      <c r="B394" s="95">
        <f t="shared" si="22"/>
        <v>390</v>
      </c>
      <c r="C394" s="95"/>
      <c r="D394" s="95"/>
      <c r="E394" s="96"/>
      <c r="F394" s="96"/>
      <c r="G394" s="95"/>
      <c r="H394" s="115"/>
      <c r="I394" s="112"/>
      <c r="J394" s="112"/>
      <c r="K394" s="113" t="str">
        <f t="shared" si="20"/>
        <v/>
      </c>
      <c r="L394" s="112"/>
      <c r="M394" s="113" t="str">
        <f t="shared" si="21"/>
        <v/>
      </c>
      <c r="N394" s="112"/>
      <c r="O394" s="112">
        <v>0</v>
      </c>
      <c r="P394" s="116">
        <v>0</v>
      </c>
      <c r="Q394" s="100"/>
    </row>
    <row r="395" spans="2:19" s="4" customFormat="1" ht="15.75" x14ac:dyDescent="0.25">
      <c r="B395" s="95">
        <f t="shared" si="22"/>
        <v>391</v>
      </c>
      <c r="C395" s="95"/>
      <c r="D395" s="95"/>
      <c r="E395" s="96"/>
      <c r="F395" s="96"/>
      <c r="G395" s="95"/>
      <c r="H395" s="115"/>
      <c r="I395" s="112"/>
      <c r="J395" s="112"/>
      <c r="K395" s="113" t="str">
        <f t="shared" si="20"/>
        <v/>
      </c>
      <c r="L395" s="112"/>
      <c r="M395" s="113" t="str">
        <f t="shared" si="21"/>
        <v/>
      </c>
      <c r="N395" s="112"/>
      <c r="O395" s="112">
        <v>0</v>
      </c>
      <c r="P395" s="116">
        <v>0</v>
      </c>
      <c r="Q395" s="100"/>
    </row>
    <row r="396" spans="2:19" s="4" customFormat="1" ht="15.75" x14ac:dyDescent="0.25">
      <c r="B396" s="95">
        <f t="shared" si="22"/>
        <v>392</v>
      </c>
      <c r="C396" s="95"/>
      <c r="D396" s="95"/>
      <c r="E396" s="96"/>
      <c r="F396" s="96"/>
      <c r="G396" s="95"/>
      <c r="H396" s="115"/>
      <c r="I396" s="112"/>
      <c r="J396" s="112"/>
      <c r="K396" s="113" t="str">
        <f t="shared" si="20"/>
        <v/>
      </c>
      <c r="L396" s="112"/>
      <c r="M396" s="113" t="str">
        <f t="shared" si="21"/>
        <v/>
      </c>
      <c r="N396" s="112"/>
      <c r="O396" s="112">
        <v>0</v>
      </c>
      <c r="P396" s="116">
        <v>0</v>
      </c>
      <c r="Q396" s="100"/>
    </row>
    <row r="397" spans="2:19" s="4" customFormat="1" ht="15.75" x14ac:dyDescent="0.25">
      <c r="B397" s="95">
        <f t="shared" si="22"/>
        <v>393</v>
      </c>
      <c r="C397" s="95"/>
      <c r="D397" s="95"/>
      <c r="E397" s="96"/>
      <c r="F397" s="96"/>
      <c r="G397" s="95"/>
      <c r="H397" s="115"/>
      <c r="I397" s="112"/>
      <c r="J397" s="112"/>
      <c r="K397" s="113" t="str">
        <f t="shared" si="20"/>
        <v/>
      </c>
      <c r="L397" s="112"/>
      <c r="M397" s="113" t="str">
        <f t="shared" si="21"/>
        <v/>
      </c>
      <c r="N397" s="112"/>
      <c r="O397" s="112">
        <v>0</v>
      </c>
      <c r="P397" s="116">
        <v>0</v>
      </c>
      <c r="Q397" s="100"/>
    </row>
    <row r="398" spans="2:19" s="4" customFormat="1" ht="15.75" x14ac:dyDescent="0.25">
      <c r="B398" s="95">
        <f t="shared" si="22"/>
        <v>394</v>
      </c>
      <c r="C398" s="95"/>
      <c r="D398" s="95"/>
      <c r="E398" s="96"/>
      <c r="F398" s="96"/>
      <c r="G398" s="95"/>
      <c r="H398" s="115"/>
      <c r="I398" s="112"/>
      <c r="J398" s="112"/>
      <c r="K398" s="113" t="str">
        <f t="shared" si="20"/>
        <v/>
      </c>
      <c r="L398" s="112"/>
      <c r="M398" s="113" t="str">
        <f t="shared" si="21"/>
        <v/>
      </c>
      <c r="N398" s="112"/>
      <c r="O398" s="112">
        <v>0</v>
      </c>
      <c r="P398" s="116">
        <v>0</v>
      </c>
      <c r="Q398" s="100"/>
    </row>
    <row r="399" spans="2:19" s="4" customFormat="1" ht="15.75" x14ac:dyDescent="0.25">
      <c r="B399" s="95">
        <f t="shared" si="22"/>
        <v>395</v>
      </c>
      <c r="C399" s="95"/>
      <c r="D399" s="95"/>
      <c r="E399" s="96"/>
      <c r="F399" s="96"/>
      <c r="G399" s="95"/>
      <c r="H399" s="115"/>
      <c r="I399" s="112"/>
      <c r="J399" s="112"/>
      <c r="K399" s="113" t="str">
        <f t="shared" si="20"/>
        <v/>
      </c>
      <c r="L399" s="112"/>
      <c r="M399" s="113" t="str">
        <f t="shared" si="21"/>
        <v/>
      </c>
      <c r="N399" s="112"/>
      <c r="O399" s="112">
        <v>0</v>
      </c>
      <c r="P399" s="116">
        <v>0</v>
      </c>
      <c r="Q399" s="100"/>
    </row>
    <row r="400" spans="2:19" s="4" customFormat="1" ht="15.75" x14ac:dyDescent="0.25">
      <c r="B400" s="95">
        <f t="shared" si="22"/>
        <v>396</v>
      </c>
      <c r="C400" s="95"/>
      <c r="D400" s="95"/>
      <c r="E400" s="96"/>
      <c r="F400" s="96"/>
      <c r="G400" s="95"/>
      <c r="H400" s="115"/>
      <c r="I400" s="112"/>
      <c r="J400" s="112"/>
      <c r="K400" s="113" t="str">
        <f t="shared" si="20"/>
        <v/>
      </c>
      <c r="L400" s="112"/>
      <c r="M400" s="113" t="str">
        <f t="shared" si="21"/>
        <v/>
      </c>
      <c r="N400" s="112"/>
      <c r="O400" s="112">
        <v>0</v>
      </c>
      <c r="P400" s="116">
        <v>0</v>
      </c>
      <c r="Q400" s="100"/>
    </row>
    <row r="401" spans="2:17" s="4" customFormat="1" ht="15.75" x14ac:dyDescent="0.25">
      <c r="B401" s="95">
        <f t="shared" si="22"/>
        <v>397</v>
      </c>
      <c r="C401" s="95"/>
      <c r="D401" s="95"/>
      <c r="E401" s="96"/>
      <c r="F401" s="96"/>
      <c r="G401" s="95"/>
      <c r="H401" s="115"/>
      <c r="I401" s="112"/>
      <c r="J401" s="112"/>
      <c r="K401" s="113" t="str">
        <f t="shared" si="20"/>
        <v/>
      </c>
      <c r="L401" s="112"/>
      <c r="M401" s="113" t="str">
        <f t="shared" si="21"/>
        <v/>
      </c>
      <c r="N401" s="112"/>
      <c r="O401" s="112">
        <v>0</v>
      </c>
      <c r="P401" s="116">
        <v>0</v>
      </c>
      <c r="Q401" s="100"/>
    </row>
    <row r="402" spans="2:17" s="4" customFormat="1" ht="15.75" x14ac:dyDescent="0.25">
      <c r="B402" s="95">
        <f t="shared" si="22"/>
        <v>398</v>
      </c>
      <c r="C402" s="95"/>
      <c r="D402" s="95"/>
      <c r="E402" s="96"/>
      <c r="F402" s="96"/>
      <c r="G402" s="95"/>
      <c r="H402" s="115"/>
      <c r="I402" s="112"/>
      <c r="J402" s="112"/>
      <c r="K402" s="113" t="str">
        <f t="shared" si="20"/>
        <v/>
      </c>
      <c r="L402" s="112"/>
      <c r="M402" s="113" t="str">
        <f t="shared" si="21"/>
        <v/>
      </c>
      <c r="N402" s="112"/>
      <c r="O402" s="112">
        <v>0</v>
      </c>
      <c r="P402" s="116">
        <v>0</v>
      </c>
      <c r="Q402" s="100"/>
    </row>
    <row r="403" spans="2:17" s="4" customFormat="1" ht="15.75" x14ac:dyDescent="0.25">
      <c r="B403" s="95">
        <f t="shared" si="22"/>
        <v>399</v>
      </c>
      <c r="C403" s="95"/>
      <c r="D403" s="95"/>
      <c r="E403" s="96"/>
      <c r="F403" s="96"/>
      <c r="G403" s="95"/>
      <c r="H403" s="115"/>
      <c r="I403" s="112"/>
      <c r="J403" s="112"/>
      <c r="K403" s="113" t="str">
        <f t="shared" si="20"/>
        <v/>
      </c>
      <c r="L403" s="112"/>
      <c r="M403" s="113" t="str">
        <f t="shared" si="21"/>
        <v/>
      </c>
      <c r="N403" s="112"/>
      <c r="O403" s="112">
        <v>0</v>
      </c>
      <c r="P403" s="116">
        <v>0</v>
      </c>
      <c r="Q403" s="100"/>
    </row>
    <row r="404" spans="2:17" s="4" customFormat="1" ht="15.75" x14ac:dyDescent="0.25">
      <c r="B404" s="109"/>
      <c r="C404" s="29"/>
      <c r="D404" s="29"/>
      <c r="E404" s="29"/>
      <c r="F404" s="117"/>
      <c r="G404" s="29"/>
      <c r="H404" s="29"/>
      <c r="I404" s="81"/>
      <c r="J404" s="81"/>
      <c r="K404" s="103"/>
      <c r="L404" s="81"/>
      <c r="M404" s="103"/>
      <c r="N404" s="81"/>
      <c r="O404" s="81"/>
      <c r="P404" s="81"/>
      <c r="Q404" s="82"/>
    </row>
    <row r="405" spans="2:17" s="4" customFormat="1" ht="15.75" x14ac:dyDescent="0.25">
      <c r="B405" s="109"/>
      <c r="C405" s="29"/>
      <c r="D405" s="29"/>
      <c r="E405" s="29"/>
      <c r="F405" s="117"/>
      <c r="G405" s="29"/>
      <c r="H405" s="29"/>
      <c r="I405" s="81"/>
      <c r="J405" s="81"/>
      <c r="K405" s="103"/>
      <c r="L405" s="81"/>
      <c r="M405" s="103"/>
      <c r="N405" s="81"/>
      <c r="O405" s="81"/>
      <c r="P405" s="81"/>
      <c r="Q405" s="82"/>
    </row>
    <row r="406" spans="2:17" s="4" customFormat="1" ht="15.75" x14ac:dyDescent="0.25">
      <c r="B406" s="109"/>
      <c r="C406" s="29"/>
      <c r="D406" s="29"/>
      <c r="E406" s="29"/>
      <c r="F406" s="117"/>
      <c r="G406" s="29"/>
      <c r="H406" s="29"/>
      <c r="I406" s="81"/>
      <c r="J406" s="81"/>
      <c r="K406" s="103"/>
      <c r="L406" s="81"/>
      <c r="M406" s="103"/>
      <c r="N406" s="81"/>
      <c r="O406" s="81"/>
      <c r="P406" s="81"/>
      <c r="Q406" s="82"/>
    </row>
    <row r="407" spans="2:17" s="4" customFormat="1" ht="15.75" x14ac:dyDescent="0.25">
      <c r="B407" s="109"/>
      <c r="C407" s="29"/>
      <c r="D407" s="29"/>
      <c r="E407" s="29"/>
      <c r="F407" s="117"/>
      <c r="G407" s="29"/>
      <c r="H407" s="29"/>
      <c r="I407" s="81"/>
      <c r="J407" s="81"/>
      <c r="K407" s="103"/>
      <c r="L407" s="81"/>
      <c r="M407" s="103"/>
      <c r="N407" s="81"/>
      <c r="O407" s="81"/>
      <c r="P407" s="81"/>
      <c r="Q407" s="82"/>
    </row>
    <row r="408" spans="2:17" s="4" customFormat="1" ht="15.75" x14ac:dyDescent="0.25">
      <c r="B408" s="109"/>
      <c r="C408" s="29"/>
      <c r="D408" s="29"/>
      <c r="E408" s="29"/>
      <c r="F408" s="117"/>
      <c r="G408" s="29"/>
      <c r="H408" s="29"/>
      <c r="I408" s="81"/>
      <c r="J408" s="81"/>
      <c r="K408" s="103"/>
      <c r="L408" s="81"/>
      <c r="M408" s="103"/>
      <c r="N408" s="81"/>
      <c r="O408" s="81"/>
      <c r="P408" s="81"/>
      <c r="Q408" s="82"/>
    </row>
    <row r="409" spans="2:17" s="4" customFormat="1" ht="15.75" x14ac:dyDescent="0.25">
      <c r="B409" s="109"/>
      <c r="C409" s="29"/>
      <c r="D409" s="29"/>
      <c r="E409" s="29"/>
      <c r="F409" s="117"/>
      <c r="G409" s="29"/>
      <c r="H409" s="29"/>
      <c r="I409" s="81"/>
      <c r="J409" s="81"/>
      <c r="K409" s="103"/>
      <c r="L409" s="81"/>
      <c r="M409" s="103"/>
      <c r="N409" s="81"/>
      <c r="O409" s="81"/>
      <c r="P409" s="81"/>
      <c r="Q409" s="82"/>
    </row>
    <row r="410" spans="2:17" s="4" customFormat="1" ht="15.75" x14ac:dyDescent="0.25">
      <c r="B410" s="109"/>
      <c r="C410" s="29"/>
      <c r="D410" s="29"/>
      <c r="E410" s="29"/>
      <c r="F410" s="117"/>
      <c r="G410" s="29"/>
      <c r="H410" s="29"/>
      <c r="I410" s="81"/>
      <c r="J410" s="81"/>
      <c r="K410" s="103"/>
      <c r="L410" s="81"/>
      <c r="M410" s="103"/>
      <c r="N410" s="81"/>
      <c r="O410" s="81"/>
      <c r="P410" s="81"/>
      <c r="Q410" s="82"/>
    </row>
    <row r="411" spans="2:17" s="4" customFormat="1" ht="15.75" x14ac:dyDescent="0.25">
      <c r="B411" s="109"/>
      <c r="C411" s="29"/>
      <c r="D411" s="29"/>
      <c r="E411" s="29"/>
      <c r="F411" s="117"/>
      <c r="G411" s="29"/>
      <c r="H411" s="29"/>
      <c r="I411" s="81"/>
      <c r="J411" s="81"/>
      <c r="K411" s="103"/>
      <c r="L411" s="81"/>
      <c r="M411" s="103"/>
      <c r="N411" s="81"/>
      <c r="O411" s="81"/>
      <c r="P411" s="81"/>
      <c r="Q411" s="82"/>
    </row>
    <row r="412" spans="2:17" s="4" customFormat="1" ht="15.75" x14ac:dyDescent="0.25">
      <c r="B412" s="109"/>
      <c r="C412" s="29"/>
      <c r="D412" s="29"/>
      <c r="E412" s="29"/>
      <c r="F412" s="117"/>
      <c r="G412" s="29"/>
      <c r="H412" s="29"/>
      <c r="I412" s="81"/>
      <c r="J412" s="81"/>
      <c r="K412" s="103"/>
      <c r="L412" s="81"/>
      <c r="M412" s="103"/>
      <c r="N412" s="81"/>
      <c r="O412" s="81"/>
      <c r="P412" s="81"/>
      <c r="Q412" s="82"/>
    </row>
    <row r="413" spans="2:17" s="4" customFormat="1" ht="15.75" x14ac:dyDescent="0.25">
      <c r="B413" s="109"/>
      <c r="C413" s="29"/>
      <c r="D413" s="29"/>
      <c r="E413" s="29"/>
      <c r="F413" s="117"/>
      <c r="G413" s="29"/>
      <c r="H413" s="29"/>
      <c r="I413" s="81"/>
      <c r="J413" s="81"/>
      <c r="K413" s="103"/>
      <c r="L413" s="81"/>
      <c r="M413" s="103"/>
      <c r="N413" s="81"/>
      <c r="O413" s="81"/>
      <c r="P413" s="81"/>
      <c r="Q413" s="82"/>
    </row>
    <row r="414" spans="2:17" s="4" customFormat="1" ht="15.75" x14ac:dyDescent="0.25">
      <c r="B414" s="109"/>
      <c r="C414" s="29"/>
      <c r="D414" s="29"/>
      <c r="E414" s="29"/>
      <c r="F414" s="117"/>
      <c r="G414" s="29"/>
      <c r="H414" s="29"/>
      <c r="I414" s="81"/>
      <c r="J414" s="81"/>
      <c r="K414" s="103"/>
      <c r="L414" s="81"/>
      <c r="M414" s="103"/>
      <c r="N414" s="81"/>
      <c r="O414" s="81"/>
      <c r="P414" s="81"/>
      <c r="Q414" s="82"/>
    </row>
    <row r="415" spans="2:17" s="4" customFormat="1" ht="15.75" x14ac:dyDescent="0.25">
      <c r="B415" s="109"/>
      <c r="C415" s="29"/>
      <c r="D415" s="29"/>
      <c r="E415" s="29"/>
      <c r="F415" s="117"/>
      <c r="G415" s="29"/>
      <c r="H415" s="29"/>
      <c r="I415" s="81"/>
      <c r="J415" s="81"/>
      <c r="K415" s="103"/>
      <c r="L415" s="81"/>
      <c r="M415" s="103"/>
      <c r="N415" s="81"/>
      <c r="O415" s="81"/>
      <c r="P415" s="81"/>
      <c r="Q415" s="82"/>
    </row>
    <row r="416" spans="2:17" s="4" customFormat="1" ht="15.75" x14ac:dyDescent="0.25">
      <c r="B416" s="109"/>
      <c r="C416" s="29"/>
      <c r="D416" s="29"/>
      <c r="E416" s="29"/>
      <c r="F416" s="117"/>
      <c r="G416" s="29"/>
      <c r="H416" s="29"/>
      <c r="I416" s="81"/>
      <c r="J416" s="81"/>
      <c r="K416" s="103"/>
      <c r="L416" s="81"/>
      <c r="M416" s="103"/>
      <c r="N416" s="81"/>
      <c r="O416" s="81"/>
      <c r="P416" s="81"/>
      <c r="Q416" s="82"/>
    </row>
    <row r="417" spans="2:17" s="4" customFormat="1" ht="15.75" x14ac:dyDescent="0.25">
      <c r="B417" s="109"/>
      <c r="C417" s="29"/>
      <c r="D417" s="29"/>
      <c r="E417" s="29"/>
      <c r="F417" s="117"/>
      <c r="G417" s="29"/>
      <c r="H417" s="29"/>
      <c r="I417" s="81"/>
      <c r="J417" s="81"/>
      <c r="K417" s="103"/>
      <c r="L417" s="81"/>
      <c r="M417" s="103"/>
      <c r="N417" s="81"/>
      <c r="O417" s="81"/>
      <c r="P417" s="81"/>
      <c r="Q417" s="82"/>
    </row>
    <row r="418" spans="2:17" s="4" customFormat="1" ht="15.75" x14ac:dyDescent="0.25">
      <c r="B418" s="109"/>
      <c r="C418" s="29"/>
      <c r="D418" s="29"/>
      <c r="E418" s="29"/>
      <c r="F418" s="117"/>
      <c r="G418" s="29"/>
      <c r="H418" s="29"/>
      <c r="I418" s="81"/>
      <c r="J418" s="81"/>
      <c r="K418" s="103"/>
      <c r="L418" s="81"/>
      <c r="M418" s="103"/>
      <c r="N418" s="81"/>
      <c r="O418" s="81"/>
      <c r="P418" s="81"/>
      <c r="Q418" s="82"/>
    </row>
    <row r="419" spans="2:17" s="4" customFormat="1" ht="15.75" x14ac:dyDescent="0.25">
      <c r="B419" s="109"/>
      <c r="C419" s="29"/>
      <c r="D419" s="29"/>
      <c r="E419" s="29"/>
      <c r="F419" s="117"/>
      <c r="G419" s="29"/>
      <c r="H419" s="29"/>
      <c r="I419" s="81"/>
      <c r="J419" s="81"/>
      <c r="K419" s="103"/>
      <c r="L419" s="81"/>
      <c r="M419" s="103"/>
      <c r="N419" s="81"/>
      <c r="O419" s="81"/>
      <c r="P419" s="81"/>
      <c r="Q419" s="82"/>
    </row>
    <row r="420" spans="2:17" s="4" customFormat="1" ht="15.75" x14ac:dyDescent="0.25">
      <c r="B420" s="109"/>
      <c r="C420" s="29"/>
      <c r="D420" s="29"/>
      <c r="E420" s="29"/>
      <c r="F420" s="117"/>
      <c r="G420" s="29"/>
      <c r="H420" s="29"/>
      <c r="I420" s="81"/>
      <c r="J420" s="81"/>
      <c r="K420" s="103"/>
      <c r="L420" s="81"/>
      <c r="M420" s="103"/>
      <c r="N420" s="81"/>
      <c r="O420" s="81"/>
      <c r="P420" s="81"/>
      <c r="Q420" s="82"/>
    </row>
    <row r="421" spans="2:17" s="4" customFormat="1" ht="15.75" x14ac:dyDescent="0.25">
      <c r="B421" s="109"/>
      <c r="C421" s="29"/>
      <c r="D421" s="29"/>
      <c r="E421" s="29"/>
      <c r="F421" s="117"/>
      <c r="G421" s="29"/>
      <c r="H421" s="29"/>
      <c r="I421" s="81"/>
      <c r="J421" s="81"/>
      <c r="K421" s="103"/>
      <c r="L421" s="81"/>
      <c r="M421" s="103"/>
      <c r="N421" s="81"/>
      <c r="O421" s="81"/>
      <c r="P421" s="81"/>
      <c r="Q421" s="82"/>
    </row>
    <row r="422" spans="2:17" s="4" customFormat="1" ht="15.75" x14ac:dyDescent="0.25">
      <c r="B422" s="109"/>
      <c r="C422" s="29"/>
      <c r="D422" s="29"/>
      <c r="E422" s="29"/>
      <c r="F422" s="117"/>
      <c r="G422" s="29"/>
      <c r="H422" s="29"/>
      <c r="I422" s="81"/>
      <c r="J422" s="81"/>
      <c r="K422" s="103"/>
      <c r="L422" s="81"/>
      <c r="M422" s="103"/>
      <c r="N422" s="81"/>
      <c r="O422" s="81"/>
      <c r="P422" s="81"/>
      <c r="Q422" s="82"/>
    </row>
    <row r="423" spans="2:17" s="4" customFormat="1" ht="15.75" x14ac:dyDescent="0.25">
      <c r="B423" s="109"/>
      <c r="C423" s="29"/>
      <c r="D423" s="29"/>
      <c r="E423" s="29"/>
      <c r="F423" s="117"/>
      <c r="G423" s="29"/>
      <c r="H423" s="29"/>
      <c r="I423" s="81"/>
      <c r="J423" s="81"/>
      <c r="K423" s="103"/>
      <c r="L423" s="81"/>
      <c r="M423" s="103"/>
      <c r="N423" s="81"/>
      <c r="O423" s="81"/>
      <c r="P423" s="81"/>
      <c r="Q423" s="82"/>
    </row>
    <row r="424" spans="2:17" s="4" customFormat="1" ht="15.75" x14ac:dyDescent="0.25">
      <c r="B424" s="109"/>
      <c r="C424" s="29"/>
      <c r="D424" s="29"/>
      <c r="E424" s="29"/>
      <c r="F424" s="117"/>
      <c r="G424" s="29"/>
      <c r="H424" s="29"/>
      <c r="I424" s="81"/>
      <c r="J424" s="81"/>
      <c r="K424" s="103"/>
      <c r="L424" s="81"/>
      <c r="M424" s="103"/>
      <c r="N424" s="81"/>
      <c r="O424" s="81"/>
      <c r="P424" s="81"/>
      <c r="Q424" s="82"/>
    </row>
    <row r="425" spans="2:17" s="4" customFormat="1" ht="15.75" x14ac:dyDescent="0.25">
      <c r="B425" s="109"/>
      <c r="C425" s="29"/>
      <c r="D425" s="29"/>
      <c r="E425" s="29"/>
      <c r="F425" s="117"/>
      <c r="G425" s="29"/>
      <c r="H425" s="29"/>
      <c r="I425" s="81"/>
      <c r="J425" s="81"/>
      <c r="K425" s="103"/>
      <c r="L425" s="81"/>
      <c r="M425" s="103"/>
      <c r="N425" s="81"/>
      <c r="O425" s="81"/>
      <c r="P425" s="81"/>
      <c r="Q425" s="82"/>
    </row>
    <row r="426" spans="2:17" s="4" customFormat="1" ht="15.75" x14ac:dyDescent="0.25">
      <c r="B426" s="109"/>
      <c r="C426" s="29"/>
      <c r="D426" s="29"/>
      <c r="E426" s="29"/>
      <c r="F426" s="117"/>
      <c r="G426" s="29"/>
      <c r="H426" s="29"/>
      <c r="I426" s="81"/>
      <c r="J426" s="81"/>
      <c r="K426" s="103"/>
      <c r="L426" s="81"/>
      <c r="M426" s="103"/>
      <c r="N426" s="81"/>
      <c r="O426" s="81"/>
      <c r="P426" s="81"/>
      <c r="Q426" s="82"/>
    </row>
    <row r="427" spans="2:17" s="4" customFormat="1" ht="15.75" x14ac:dyDescent="0.25">
      <c r="B427" s="109"/>
      <c r="C427" s="29"/>
      <c r="D427" s="29"/>
      <c r="E427" s="29"/>
      <c r="F427" s="117"/>
      <c r="G427" s="29"/>
      <c r="H427" s="29"/>
      <c r="I427" s="81"/>
      <c r="J427" s="81"/>
      <c r="K427" s="103"/>
      <c r="L427" s="81"/>
      <c r="M427" s="103"/>
      <c r="N427" s="81"/>
      <c r="O427" s="81"/>
      <c r="P427" s="81"/>
      <c r="Q427" s="82"/>
    </row>
    <row r="428" spans="2:17" s="4" customFormat="1" ht="15.75" x14ac:dyDescent="0.25">
      <c r="B428" s="109"/>
      <c r="C428" s="29"/>
      <c r="D428" s="29"/>
      <c r="E428" s="29"/>
      <c r="F428" s="117"/>
      <c r="G428" s="29"/>
      <c r="H428" s="29"/>
      <c r="I428" s="81"/>
      <c r="J428" s="81"/>
      <c r="K428" s="103"/>
      <c r="L428" s="81"/>
      <c r="M428" s="103"/>
      <c r="N428" s="81"/>
      <c r="O428" s="81"/>
      <c r="P428" s="81"/>
      <c r="Q428" s="82"/>
    </row>
    <row r="429" spans="2:17" s="4" customFormat="1" ht="15.75" x14ac:dyDescent="0.25">
      <c r="B429" s="109"/>
      <c r="C429" s="29"/>
      <c r="D429" s="29"/>
      <c r="E429" s="29"/>
      <c r="F429" s="117"/>
      <c r="G429" s="29"/>
      <c r="H429" s="29"/>
      <c r="I429" s="81"/>
      <c r="J429" s="81"/>
      <c r="K429" s="103"/>
      <c r="L429" s="81"/>
      <c r="M429" s="103"/>
      <c r="N429" s="81"/>
      <c r="O429" s="81"/>
      <c r="P429" s="81"/>
      <c r="Q429" s="82"/>
    </row>
    <row r="430" spans="2:17" s="4" customFormat="1" ht="15.75" x14ac:dyDescent="0.25">
      <c r="B430" s="109"/>
      <c r="C430" s="29"/>
      <c r="D430" s="29"/>
      <c r="E430" s="29"/>
      <c r="F430" s="117"/>
      <c r="G430" s="29"/>
      <c r="H430" s="29"/>
      <c r="I430" s="81"/>
      <c r="J430" s="81"/>
      <c r="K430" s="103"/>
      <c r="L430" s="81"/>
      <c r="M430" s="103"/>
      <c r="N430" s="81"/>
      <c r="O430" s="81"/>
      <c r="P430" s="81"/>
      <c r="Q430" s="82"/>
    </row>
    <row r="431" spans="2:17" s="4" customFormat="1" ht="15.75" x14ac:dyDescent="0.25">
      <c r="B431" s="109"/>
      <c r="C431" s="29"/>
      <c r="D431" s="29"/>
      <c r="E431" s="29"/>
      <c r="F431" s="117"/>
      <c r="G431" s="29"/>
      <c r="H431" s="29"/>
      <c r="I431" s="81"/>
      <c r="J431" s="81"/>
      <c r="K431" s="103"/>
      <c r="L431" s="81"/>
      <c r="M431" s="103"/>
      <c r="N431" s="81"/>
      <c r="O431" s="81"/>
      <c r="P431" s="81"/>
      <c r="Q431" s="82"/>
    </row>
    <row r="432" spans="2:17" s="4" customFormat="1" ht="15.75" x14ac:dyDescent="0.25">
      <c r="B432" s="109"/>
      <c r="C432" s="29"/>
      <c r="D432" s="29"/>
      <c r="E432" s="29"/>
      <c r="F432" s="117"/>
      <c r="G432" s="29"/>
      <c r="H432" s="29"/>
      <c r="I432" s="81"/>
      <c r="J432" s="81"/>
      <c r="K432" s="103"/>
      <c r="L432" s="81"/>
      <c r="M432" s="103"/>
      <c r="N432" s="81"/>
      <c r="O432" s="81"/>
      <c r="P432" s="81"/>
      <c r="Q432" s="82"/>
    </row>
    <row r="433" spans="2:17" s="4" customFormat="1" ht="15.75" x14ac:dyDescent="0.25">
      <c r="B433" s="109"/>
      <c r="C433" s="29"/>
      <c r="D433" s="29"/>
      <c r="E433" s="29"/>
      <c r="F433" s="117"/>
      <c r="G433" s="29"/>
      <c r="H433" s="29"/>
      <c r="I433" s="81"/>
      <c r="J433" s="81"/>
      <c r="K433" s="103"/>
      <c r="L433" s="81"/>
      <c r="M433" s="103"/>
      <c r="N433" s="81"/>
      <c r="O433" s="81"/>
      <c r="P433" s="81"/>
      <c r="Q433" s="82"/>
    </row>
    <row r="434" spans="2:17" s="4" customFormat="1" ht="15.75" x14ac:dyDescent="0.25">
      <c r="B434" s="109"/>
      <c r="C434" s="29"/>
      <c r="D434" s="29"/>
      <c r="E434" s="29"/>
      <c r="F434" s="117"/>
      <c r="G434" s="29"/>
      <c r="H434" s="29"/>
      <c r="I434" s="81"/>
      <c r="J434" s="81"/>
      <c r="K434" s="103"/>
      <c r="L434" s="81"/>
      <c r="M434" s="103"/>
      <c r="N434" s="81"/>
      <c r="O434" s="81"/>
      <c r="P434" s="81"/>
      <c r="Q434" s="82"/>
    </row>
    <row r="435" spans="2:17" s="4" customFormat="1" ht="15.75" x14ac:dyDescent="0.25">
      <c r="B435" s="109"/>
      <c r="C435" s="29"/>
      <c r="D435" s="29"/>
      <c r="E435" s="29"/>
      <c r="F435" s="117"/>
      <c r="G435" s="29"/>
      <c r="H435" s="29"/>
      <c r="I435" s="81"/>
      <c r="J435" s="81"/>
      <c r="K435" s="103"/>
      <c r="L435" s="81"/>
      <c r="M435" s="103"/>
      <c r="N435" s="81"/>
      <c r="O435" s="81"/>
      <c r="P435" s="81"/>
      <c r="Q435" s="82"/>
    </row>
    <row r="436" spans="2:17" s="4" customFormat="1" ht="15.75" x14ac:dyDescent="0.25">
      <c r="B436" s="109"/>
      <c r="C436" s="29"/>
      <c r="D436" s="29"/>
      <c r="E436" s="29"/>
      <c r="F436" s="117"/>
      <c r="G436" s="29"/>
      <c r="H436" s="29"/>
      <c r="I436" s="81"/>
      <c r="J436" s="81"/>
      <c r="K436" s="103"/>
      <c r="L436" s="81"/>
      <c r="M436" s="103"/>
      <c r="N436" s="81"/>
      <c r="O436" s="81"/>
      <c r="P436" s="81"/>
      <c r="Q436" s="82"/>
    </row>
    <row r="437" spans="2:17" s="4" customFormat="1" ht="15.75" x14ac:dyDescent="0.25">
      <c r="B437" s="109"/>
      <c r="C437" s="29"/>
      <c r="D437" s="29"/>
      <c r="E437" s="29"/>
      <c r="F437" s="117"/>
      <c r="G437" s="29"/>
      <c r="H437" s="29"/>
      <c r="I437" s="81"/>
      <c r="J437" s="81"/>
      <c r="K437" s="103"/>
      <c r="L437" s="81"/>
      <c r="M437" s="103"/>
      <c r="N437" s="81"/>
      <c r="O437" s="81"/>
      <c r="P437" s="81"/>
      <c r="Q437" s="82"/>
    </row>
    <row r="438" spans="2:17" s="4" customFormat="1" ht="15.75" x14ac:dyDescent="0.25">
      <c r="B438" s="109"/>
      <c r="C438" s="29"/>
      <c r="D438" s="29"/>
      <c r="E438" s="29"/>
      <c r="F438" s="117"/>
      <c r="G438" s="29"/>
      <c r="H438" s="29"/>
      <c r="I438" s="81"/>
      <c r="J438" s="81"/>
      <c r="K438" s="103"/>
      <c r="L438" s="81"/>
      <c r="M438" s="103"/>
      <c r="N438" s="81"/>
      <c r="O438" s="81"/>
      <c r="P438" s="81"/>
      <c r="Q438" s="82"/>
    </row>
    <row r="439" spans="2:17" s="4" customFormat="1" ht="15.75" x14ac:dyDescent="0.25">
      <c r="B439" s="109"/>
      <c r="C439" s="29"/>
      <c r="D439" s="29"/>
      <c r="E439" s="29"/>
      <c r="F439" s="117"/>
      <c r="G439" s="29"/>
      <c r="H439" s="29"/>
      <c r="I439" s="81"/>
      <c r="J439" s="81"/>
      <c r="K439" s="103"/>
      <c r="L439" s="81"/>
      <c r="M439" s="103"/>
      <c r="N439" s="81"/>
      <c r="O439" s="81"/>
      <c r="P439" s="81"/>
      <c r="Q439" s="82"/>
    </row>
    <row r="440" spans="2:17" s="4" customFormat="1" ht="15.75" x14ac:dyDescent="0.25">
      <c r="B440" s="109"/>
      <c r="C440" s="29"/>
      <c r="D440" s="29"/>
      <c r="E440" s="29"/>
      <c r="F440" s="117"/>
      <c r="G440" s="29"/>
      <c r="H440" s="29"/>
      <c r="I440" s="81"/>
      <c r="J440" s="81"/>
      <c r="K440" s="103"/>
      <c r="L440" s="81"/>
      <c r="M440" s="103"/>
      <c r="N440" s="81"/>
      <c r="O440" s="81"/>
      <c r="P440" s="81"/>
      <c r="Q440" s="82"/>
    </row>
    <row r="441" spans="2:17" s="4" customFormat="1" ht="15.75" x14ac:dyDescent="0.25">
      <c r="B441" s="109"/>
      <c r="C441" s="29"/>
      <c r="D441" s="29"/>
      <c r="E441" s="29"/>
      <c r="F441" s="117"/>
      <c r="G441" s="29"/>
      <c r="H441" s="29"/>
      <c r="I441" s="81"/>
      <c r="J441" s="81"/>
      <c r="K441" s="103"/>
      <c r="L441" s="81"/>
      <c r="M441" s="103"/>
      <c r="N441" s="81"/>
      <c r="O441" s="81"/>
      <c r="P441" s="81"/>
      <c r="Q441" s="82"/>
    </row>
    <row r="442" spans="2:17" s="4" customFormat="1" ht="15.75" x14ac:dyDescent="0.25">
      <c r="B442" s="109"/>
      <c r="C442" s="29"/>
      <c r="D442" s="29"/>
      <c r="E442" s="29"/>
      <c r="F442" s="117"/>
      <c r="G442" s="29"/>
      <c r="H442" s="29"/>
      <c r="I442" s="81"/>
      <c r="J442" s="81"/>
      <c r="K442" s="103"/>
      <c r="L442" s="81"/>
      <c r="M442" s="103"/>
      <c r="N442" s="81"/>
      <c r="O442" s="81"/>
      <c r="P442" s="81"/>
      <c r="Q442" s="82"/>
    </row>
    <row r="443" spans="2:17" s="4" customFormat="1" ht="15.75" x14ac:dyDescent="0.25">
      <c r="B443" s="109"/>
      <c r="C443" s="29"/>
      <c r="D443" s="29"/>
      <c r="E443" s="29"/>
      <c r="F443" s="117"/>
      <c r="G443" s="29"/>
      <c r="H443" s="29"/>
      <c r="I443" s="81"/>
      <c r="J443" s="81"/>
      <c r="K443" s="103"/>
      <c r="L443" s="81"/>
      <c r="M443" s="103"/>
      <c r="N443" s="81"/>
      <c r="O443" s="81"/>
      <c r="P443" s="81"/>
      <c r="Q443" s="82"/>
    </row>
    <row r="444" spans="2:17" s="4" customFormat="1" ht="15.75" x14ac:dyDescent="0.25">
      <c r="B444" s="109"/>
      <c r="C444" s="29"/>
      <c r="D444" s="29"/>
      <c r="E444" s="29"/>
      <c r="F444" s="117"/>
      <c r="G444" s="29"/>
      <c r="H444" s="29"/>
      <c r="I444" s="81"/>
      <c r="J444" s="81"/>
      <c r="K444" s="103"/>
      <c r="L444" s="81"/>
      <c r="M444" s="103"/>
      <c r="N444" s="81"/>
      <c r="O444" s="81"/>
      <c r="P444" s="81"/>
      <c r="Q444" s="82"/>
    </row>
    <row r="445" spans="2:17" s="4" customFormat="1" ht="15.75" x14ac:dyDescent="0.25">
      <c r="B445" s="109"/>
      <c r="C445" s="29"/>
      <c r="D445" s="29"/>
      <c r="E445" s="29"/>
      <c r="F445" s="117"/>
      <c r="G445" s="29"/>
      <c r="H445" s="29"/>
      <c r="I445" s="81"/>
      <c r="J445" s="81"/>
      <c r="K445" s="103"/>
      <c r="L445" s="81"/>
      <c r="M445" s="103"/>
      <c r="N445" s="81"/>
      <c r="O445" s="81"/>
      <c r="P445" s="81"/>
      <c r="Q445" s="82"/>
    </row>
    <row r="446" spans="2:17" s="4" customFormat="1" ht="15.75" x14ac:dyDescent="0.25">
      <c r="B446" s="109"/>
      <c r="C446" s="29"/>
      <c r="D446" s="29"/>
      <c r="E446" s="29"/>
      <c r="F446" s="117"/>
      <c r="G446" s="29"/>
      <c r="H446" s="29"/>
      <c r="I446" s="81"/>
      <c r="J446" s="81"/>
      <c r="K446" s="103"/>
      <c r="L446" s="81"/>
      <c r="M446" s="103"/>
      <c r="N446" s="81"/>
      <c r="O446" s="81"/>
      <c r="P446" s="81"/>
      <c r="Q446" s="82"/>
    </row>
    <row r="447" spans="2:17" s="4" customFormat="1" ht="15.75" x14ac:dyDescent="0.25">
      <c r="B447" s="109"/>
      <c r="C447" s="29"/>
      <c r="D447" s="29"/>
      <c r="E447" s="29"/>
      <c r="F447" s="117"/>
      <c r="G447" s="29"/>
      <c r="H447" s="29"/>
      <c r="I447" s="81"/>
      <c r="J447" s="81"/>
      <c r="K447" s="103"/>
      <c r="L447" s="81"/>
      <c r="M447" s="103"/>
      <c r="N447" s="81"/>
      <c r="O447" s="81"/>
      <c r="P447" s="81"/>
      <c r="Q447" s="82"/>
    </row>
    <row r="448" spans="2:17" s="4" customFormat="1" ht="15.75" x14ac:dyDescent="0.25">
      <c r="B448" s="109"/>
      <c r="C448" s="29"/>
      <c r="D448" s="29"/>
      <c r="E448" s="29"/>
      <c r="F448" s="117"/>
      <c r="G448" s="29"/>
      <c r="H448" s="29"/>
      <c r="I448" s="81"/>
      <c r="J448" s="81"/>
      <c r="K448" s="103"/>
      <c r="L448" s="81"/>
      <c r="M448" s="103"/>
      <c r="N448" s="81"/>
      <c r="O448" s="81"/>
      <c r="P448" s="81"/>
      <c r="Q448" s="82"/>
    </row>
    <row r="449" spans="2:17" s="4" customFormat="1" ht="15.75" x14ac:dyDescent="0.25">
      <c r="B449" s="109"/>
      <c r="C449" s="29"/>
      <c r="D449" s="29"/>
      <c r="E449" s="29"/>
      <c r="F449" s="117"/>
      <c r="G449" s="29"/>
      <c r="H449" s="29"/>
      <c r="I449" s="81"/>
      <c r="J449" s="81"/>
      <c r="K449" s="103"/>
      <c r="L449" s="81"/>
      <c r="M449" s="103"/>
      <c r="N449" s="81"/>
      <c r="O449" s="81"/>
      <c r="P449" s="81"/>
      <c r="Q449" s="82"/>
    </row>
    <row r="450" spans="2:17" s="4" customFormat="1" ht="15.75" x14ac:dyDescent="0.25">
      <c r="B450" s="109"/>
      <c r="C450" s="29"/>
      <c r="D450" s="29"/>
      <c r="E450" s="29"/>
      <c r="F450" s="117"/>
      <c r="G450" s="29"/>
      <c r="H450" s="29"/>
      <c r="I450" s="81"/>
      <c r="J450" s="81"/>
      <c r="K450" s="103"/>
      <c r="L450" s="81"/>
      <c r="M450" s="103"/>
      <c r="N450" s="81"/>
      <c r="O450" s="81"/>
      <c r="P450" s="81"/>
      <c r="Q450" s="82"/>
    </row>
    <row r="451" spans="2:17" s="4" customFormat="1" ht="15.75" x14ac:dyDescent="0.25">
      <c r="B451" s="109"/>
      <c r="C451" s="29"/>
      <c r="D451" s="29"/>
      <c r="E451" s="29"/>
      <c r="F451" s="117"/>
      <c r="G451" s="29"/>
      <c r="H451" s="29"/>
      <c r="I451" s="81"/>
      <c r="J451" s="81"/>
      <c r="K451" s="103"/>
      <c r="L451" s="81"/>
      <c r="M451" s="103"/>
      <c r="N451" s="81"/>
      <c r="O451" s="81"/>
      <c r="P451" s="81"/>
      <c r="Q451" s="82"/>
    </row>
    <row r="452" spans="2:17" s="4" customFormat="1" ht="15.75" x14ac:dyDescent="0.25">
      <c r="B452" s="109"/>
      <c r="C452" s="29"/>
      <c r="D452" s="29"/>
      <c r="E452" s="29"/>
      <c r="F452" s="117"/>
      <c r="G452" s="29"/>
      <c r="H452" s="29"/>
      <c r="I452" s="81"/>
      <c r="J452" s="81"/>
      <c r="K452" s="103"/>
      <c r="L452" s="81"/>
      <c r="M452" s="103"/>
      <c r="N452" s="81"/>
      <c r="O452" s="81"/>
      <c r="P452" s="81"/>
      <c r="Q452" s="82"/>
    </row>
    <row r="453" spans="2:17" s="4" customFormat="1" ht="15.75" x14ac:dyDescent="0.25">
      <c r="B453" s="109"/>
      <c r="C453" s="29"/>
      <c r="D453" s="29"/>
      <c r="E453" s="29"/>
      <c r="F453" s="117"/>
      <c r="G453" s="29"/>
      <c r="H453" s="29"/>
      <c r="I453" s="81"/>
      <c r="J453" s="81"/>
      <c r="K453" s="103"/>
      <c r="L453" s="81"/>
      <c r="M453" s="103"/>
      <c r="N453" s="81"/>
      <c r="O453" s="81"/>
      <c r="P453" s="81"/>
      <c r="Q453" s="82"/>
    </row>
    <row r="454" spans="2:17" s="4" customFormat="1" ht="15.75" x14ac:dyDescent="0.25">
      <c r="B454" s="109"/>
      <c r="C454" s="29"/>
      <c r="D454" s="29"/>
      <c r="E454" s="29"/>
      <c r="F454" s="117"/>
      <c r="G454" s="29"/>
      <c r="H454" s="29"/>
      <c r="I454" s="81"/>
      <c r="J454" s="81"/>
      <c r="K454" s="103"/>
      <c r="L454" s="81"/>
      <c r="M454" s="103"/>
      <c r="N454" s="81"/>
      <c r="O454" s="81"/>
      <c r="P454" s="81"/>
      <c r="Q454" s="82"/>
    </row>
    <row r="455" spans="2:17" s="4" customFormat="1" ht="15.75" x14ac:dyDescent="0.25">
      <c r="B455" s="109"/>
      <c r="C455" s="29"/>
      <c r="D455" s="29"/>
      <c r="E455" s="29"/>
      <c r="F455" s="117"/>
      <c r="G455" s="29"/>
      <c r="H455" s="29"/>
      <c r="I455" s="81"/>
      <c r="J455" s="81"/>
      <c r="K455" s="103"/>
      <c r="L455" s="81"/>
      <c r="M455" s="103"/>
      <c r="N455" s="81"/>
      <c r="O455" s="81"/>
      <c r="P455" s="81"/>
      <c r="Q455" s="82"/>
    </row>
    <row r="456" spans="2:17" s="4" customFormat="1" ht="15.75" x14ac:dyDescent="0.25">
      <c r="B456" s="109"/>
      <c r="C456" s="29"/>
      <c r="D456" s="29"/>
      <c r="E456" s="29"/>
      <c r="F456" s="117"/>
      <c r="G456" s="29"/>
      <c r="H456" s="29"/>
      <c r="I456" s="81"/>
      <c r="J456" s="81"/>
      <c r="K456" s="103"/>
      <c r="L456" s="81"/>
      <c r="M456" s="103"/>
      <c r="N456" s="81"/>
      <c r="O456" s="81"/>
      <c r="P456" s="81"/>
      <c r="Q456" s="82"/>
    </row>
    <row r="457" spans="2:17" s="4" customFormat="1" ht="15.75" x14ac:dyDescent="0.25">
      <c r="B457" s="109"/>
      <c r="C457" s="29"/>
      <c r="D457" s="29"/>
      <c r="E457" s="29"/>
      <c r="F457" s="117"/>
      <c r="G457" s="29"/>
      <c r="H457" s="29"/>
      <c r="I457" s="81"/>
      <c r="J457" s="81"/>
      <c r="K457" s="103"/>
      <c r="L457" s="81"/>
      <c r="M457" s="103"/>
      <c r="N457" s="81"/>
      <c r="O457" s="81"/>
      <c r="P457" s="81"/>
      <c r="Q457" s="82"/>
    </row>
    <row r="458" spans="2:17" s="4" customFormat="1" ht="15.75" x14ac:dyDescent="0.25">
      <c r="B458" s="109"/>
      <c r="C458" s="29"/>
      <c r="D458" s="29"/>
      <c r="E458" s="29"/>
      <c r="F458" s="117"/>
      <c r="G458" s="29"/>
      <c r="H458" s="29"/>
      <c r="I458" s="81"/>
      <c r="J458" s="81"/>
      <c r="K458" s="103"/>
      <c r="L458" s="81"/>
      <c r="M458" s="103"/>
      <c r="N458" s="81"/>
      <c r="O458" s="81"/>
      <c r="P458" s="81"/>
      <c r="Q458" s="82"/>
    </row>
    <row r="459" spans="2:17" s="4" customFormat="1" ht="15.75" x14ac:dyDescent="0.25">
      <c r="B459" s="109"/>
      <c r="C459" s="29"/>
      <c r="D459" s="29"/>
      <c r="E459" s="29"/>
      <c r="F459" s="117"/>
      <c r="G459" s="29"/>
      <c r="H459" s="29"/>
      <c r="I459" s="81"/>
      <c r="J459" s="81"/>
      <c r="K459" s="103"/>
      <c r="L459" s="81"/>
      <c r="M459" s="103"/>
      <c r="N459" s="81"/>
      <c r="O459" s="81"/>
      <c r="P459" s="81"/>
      <c r="Q459" s="82"/>
    </row>
    <row r="460" spans="2:17" s="4" customFormat="1" ht="15.75" x14ac:dyDescent="0.25">
      <c r="B460" s="109"/>
      <c r="C460" s="29"/>
      <c r="D460" s="29"/>
      <c r="E460" s="29"/>
      <c r="F460" s="117"/>
      <c r="G460" s="29"/>
      <c r="H460" s="29"/>
      <c r="I460" s="81"/>
      <c r="J460" s="81"/>
      <c r="K460" s="103"/>
      <c r="L460" s="81"/>
      <c r="M460" s="103"/>
      <c r="N460" s="81"/>
      <c r="O460" s="81"/>
      <c r="P460" s="81"/>
      <c r="Q460" s="82"/>
    </row>
    <row r="461" spans="2:17" s="4" customFormat="1" ht="15.75" x14ac:dyDescent="0.25">
      <c r="B461" s="109"/>
      <c r="C461" s="29"/>
      <c r="D461" s="29"/>
      <c r="E461" s="29"/>
      <c r="F461" s="117"/>
      <c r="G461" s="29"/>
      <c r="H461" s="29"/>
      <c r="I461" s="81"/>
      <c r="J461" s="81"/>
      <c r="K461" s="103"/>
      <c r="L461" s="81"/>
      <c r="M461" s="103"/>
      <c r="N461" s="81"/>
      <c r="O461" s="81"/>
      <c r="P461" s="81"/>
      <c r="Q461" s="82"/>
    </row>
    <row r="462" spans="2:17" s="4" customFormat="1" ht="15.75" x14ac:dyDescent="0.25">
      <c r="B462" s="109"/>
      <c r="C462" s="29"/>
      <c r="D462" s="29"/>
      <c r="E462" s="29"/>
      <c r="F462" s="117"/>
      <c r="G462" s="29"/>
      <c r="H462" s="29"/>
      <c r="I462" s="81"/>
      <c r="J462" s="81"/>
      <c r="K462" s="103"/>
      <c r="L462" s="81"/>
      <c r="M462" s="103"/>
      <c r="N462" s="81"/>
      <c r="O462" s="81"/>
      <c r="P462" s="81"/>
      <c r="Q462" s="82"/>
    </row>
    <row r="463" spans="2:17" s="4" customFormat="1" ht="15.75" x14ac:dyDescent="0.25">
      <c r="B463" s="109"/>
      <c r="C463" s="29"/>
      <c r="D463" s="29"/>
      <c r="E463" s="29"/>
      <c r="F463" s="117"/>
      <c r="G463" s="29"/>
      <c r="H463" s="29"/>
      <c r="I463" s="81"/>
      <c r="J463" s="81"/>
      <c r="K463" s="103"/>
      <c r="L463" s="81"/>
      <c r="M463" s="103"/>
      <c r="N463" s="81"/>
      <c r="O463" s="81"/>
      <c r="P463" s="81"/>
      <c r="Q463" s="82"/>
    </row>
    <row r="464" spans="2:17" s="4" customFormat="1" ht="15.75" x14ac:dyDescent="0.25">
      <c r="B464" s="109"/>
      <c r="C464" s="29"/>
      <c r="D464" s="29"/>
      <c r="E464" s="29"/>
      <c r="F464" s="117"/>
      <c r="G464" s="29"/>
      <c r="H464" s="29"/>
      <c r="I464" s="81"/>
      <c r="J464" s="81"/>
      <c r="K464" s="103"/>
      <c r="L464" s="81"/>
      <c r="M464" s="103"/>
      <c r="N464" s="81"/>
      <c r="O464" s="81"/>
      <c r="P464" s="81"/>
      <c r="Q464" s="82"/>
    </row>
    <row r="465" spans="2:17" s="4" customFormat="1" ht="15.75" x14ac:dyDescent="0.25">
      <c r="B465" s="109"/>
      <c r="C465" s="29"/>
      <c r="D465" s="29"/>
      <c r="E465" s="29"/>
      <c r="F465" s="117"/>
      <c r="G465" s="29"/>
      <c r="H465" s="29"/>
      <c r="I465" s="81"/>
      <c r="J465" s="81"/>
      <c r="K465" s="103"/>
      <c r="L465" s="81"/>
      <c r="M465" s="103"/>
      <c r="N465" s="81"/>
      <c r="O465" s="81"/>
      <c r="P465" s="81"/>
      <c r="Q465" s="82"/>
    </row>
    <row r="466" spans="2:17" s="4" customFormat="1" ht="15.75" x14ac:dyDescent="0.25">
      <c r="B466" s="109"/>
      <c r="C466" s="29"/>
      <c r="D466" s="29"/>
      <c r="E466" s="29"/>
      <c r="F466" s="117"/>
      <c r="G466" s="29"/>
      <c r="H466" s="29"/>
      <c r="I466" s="81"/>
      <c r="J466" s="81"/>
      <c r="K466" s="103"/>
      <c r="L466" s="81"/>
      <c r="M466" s="103"/>
      <c r="N466" s="81"/>
      <c r="O466" s="81"/>
      <c r="P466" s="81"/>
      <c r="Q466" s="82"/>
    </row>
    <row r="467" spans="2:17" s="4" customFormat="1" ht="15.75" x14ac:dyDescent="0.25">
      <c r="B467" s="109"/>
      <c r="C467" s="29"/>
      <c r="D467" s="29"/>
      <c r="E467" s="29"/>
      <c r="F467" s="117"/>
      <c r="G467" s="29"/>
      <c r="H467" s="29"/>
      <c r="I467" s="81"/>
      <c r="J467" s="81"/>
      <c r="K467" s="103"/>
      <c r="L467" s="81"/>
      <c r="M467" s="103"/>
      <c r="N467" s="81"/>
      <c r="O467" s="81"/>
      <c r="P467" s="81"/>
      <c r="Q467" s="82"/>
    </row>
    <row r="468" spans="2:17" s="4" customFormat="1" ht="15.75" x14ac:dyDescent="0.25">
      <c r="B468" s="109"/>
      <c r="C468" s="29"/>
      <c r="D468" s="29"/>
      <c r="E468" s="29"/>
      <c r="F468" s="117"/>
      <c r="G468" s="29"/>
      <c r="H468" s="29"/>
      <c r="I468" s="81"/>
      <c r="J468" s="81"/>
      <c r="K468" s="103"/>
      <c r="L468" s="81"/>
      <c r="M468" s="103"/>
      <c r="N468" s="81"/>
      <c r="O468" s="81"/>
      <c r="P468" s="81"/>
      <c r="Q468" s="82"/>
    </row>
    <row r="469" spans="2:17" s="4" customFormat="1" ht="15.75" x14ac:dyDescent="0.25">
      <c r="B469" s="109"/>
      <c r="C469" s="29"/>
      <c r="D469" s="29"/>
      <c r="E469" s="29"/>
      <c r="F469" s="117"/>
      <c r="G469" s="29"/>
      <c r="H469" s="29"/>
      <c r="I469" s="81"/>
      <c r="J469" s="81"/>
      <c r="K469" s="103"/>
      <c r="L469" s="81"/>
      <c r="M469" s="103"/>
      <c r="N469" s="81"/>
      <c r="O469" s="81"/>
      <c r="P469" s="81"/>
      <c r="Q469" s="82"/>
    </row>
    <row r="470" spans="2:17" s="4" customFormat="1" ht="15.75" x14ac:dyDescent="0.25">
      <c r="B470" s="109"/>
      <c r="C470" s="29"/>
      <c r="D470" s="29"/>
      <c r="E470" s="29"/>
      <c r="F470" s="117"/>
      <c r="G470" s="29"/>
      <c r="H470" s="29"/>
      <c r="I470" s="81"/>
      <c r="J470" s="81"/>
      <c r="K470" s="103"/>
      <c r="L470" s="81"/>
      <c r="M470" s="103"/>
      <c r="N470" s="81"/>
      <c r="O470" s="81"/>
      <c r="P470" s="81"/>
      <c r="Q470" s="82"/>
    </row>
    <row r="471" spans="2:17" s="4" customFormat="1" ht="15.75" x14ac:dyDescent="0.25">
      <c r="B471" s="109"/>
      <c r="C471" s="29"/>
      <c r="D471" s="29"/>
      <c r="E471" s="29"/>
      <c r="F471" s="117"/>
      <c r="G471" s="29"/>
      <c r="H471" s="29"/>
      <c r="I471" s="81"/>
      <c r="J471" s="81"/>
      <c r="K471" s="103"/>
      <c r="L471" s="81"/>
      <c r="M471" s="103"/>
      <c r="N471" s="81"/>
      <c r="O471" s="81"/>
      <c r="P471" s="81"/>
      <c r="Q471" s="82"/>
    </row>
    <row r="472" spans="2:17" s="4" customFormat="1" ht="15.75" x14ac:dyDescent="0.25">
      <c r="B472" s="109"/>
      <c r="C472" s="29"/>
      <c r="D472" s="29"/>
      <c r="E472" s="29"/>
      <c r="F472" s="117"/>
      <c r="G472" s="29"/>
      <c r="H472" s="29"/>
      <c r="I472" s="81"/>
      <c r="J472" s="81"/>
      <c r="K472" s="103"/>
      <c r="L472" s="81"/>
      <c r="M472" s="103"/>
      <c r="N472" s="81"/>
      <c r="O472" s="81"/>
      <c r="P472" s="81"/>
      <c r="Q472" s="82"/>
    </row>
    <row r="473" spans="2:17" s="4" customFormat="1" ht="15.75" x14ac:dyDescent="0.25">
      <c r="B473" s="109"/>
      <c r="C473" s="29"/>
      <c r="D473" s="29"/>
      <c r="E473" s="29"/>
      <c r="F473" s="117"/>
      <c r="G473" s="29"/>
      <c r="H473" s="29"/>
      <c r="I473" s="81"/>
      <c r="J473" s="81"/>
      <c r="K473" s="103"/>
      <c r="L473" s="81"/>
      <c r="M473" s="103"/>
      <c r="N473" s="81"/>
      <c r="O473" s="81"/>
      <c r="P473" s="81"/>
      <c r="Q473" s="82"/>
    </row>
    <row r="474" spans="2:17" s="4" customFormat="1" ht="15.75" x14ac:dyDescent="0.25">
      <c r="B474" s="109"/>
      <c r="C474" s="29"/>
      <c r="D474" s="29"/>
      <c r="E474" s="29"/>
      <c r="F474" s="117"/>
      <c r="G474" s="29"/>
      <c r="H474" s="29"/>
      <c r="I474" s="81"/>
      <c r="J474" s="81"/>
      <c r="K474" s="103"/>
      <c r="L474" s="81"/>
      <c r="M474" s="103"/>
      <c r="N474" s="81"/>
      <c r="O474" s="81"/>
      <c r="P474" s="81"/>
      <c r="Q474" s="82"/>
    </row>
    <row r="475" spans="2:17" s="4" customFormat="1" ht="15.75" x14ac:dyDescent="0.25">
      <c r="B475" s="109"/>
      <c r="C475" s="29"/>
      <c r="D475" s="29"/>
      <c r="E475" s="29"/>
      <c r="F475" s="117"/>
      <c r="G475" s="29"/>
      <c r="H475" s="29"/>
      <c r="I475" s="81"/>
      <c r="J475" s="81"/>
      <c r="K475" s="103"/>
      <c r="L475" s="81"/>
      <c r="M475" s="103"/>
      <c r="N475" s="81"/>
      <c r="O475" s="81"/>
      <c r="P475" s="81"/>
      <c r="Q475" s="82"/>
    </row>
    <row r="476" spans="2:17" s="4" customFormat="1" ht="15.75" x14ac:dyDescent="0.25">
      <c r="B476" s="109"/>
      <c r="C476" s="29"/>
      <c r="D476" s="29"/>
      <c r="E476" s="29"/>
      <c r="F476" s="117"/>
      <c r="G476" s="29"/>
      <c r="H476" s="29"/>
      <c r="I476" s="81"/>
      <c r="J476" s="81"/>
      <c r="K476" s="103"/>
      <c r="L476" s="81"/>
      <c r="M476" s="103"/>
      <c r="N476" s="81"/>
      <c r="O476" s="81"/>
      <c r="P476" s="81"/>
      <c r="Q476" s="82"/>
    </row>
    <row r="477" spans="2:17" s="4" customFormat="1" ht="15.75" x14ac:dyDescent="0.25">
      <c r="B477" s="109"/>
      <c r="C477" s="29"/>
      <c r="D477" s="29"/>
      <c r="E477" s="29"/>
      <c r="F477" s="117"/>
      <c r="G477" s="29"/>
      <c r="H477" s="29"/>
      <c r="I477" s="81"/>
      <c r="J477" s="81"/>
      <c r="K477" s="103"/>
      <c r="L477" s="81"/>
      <c r="M477" s="103"/>
      <c r="N477" s="81"/>
      <c r="O477" s="81"/>
      <c r="P477" s="81"/>
      <c r="Q477" s="82"/>
    </row>
    <row r="478" spans="2:17" s="4" customFormat="1" ht="15.75" x14ac:dyDescent="0.25">
      <c r="B478" s="109"/>
      <c r="C478" s="29"/>
      <c r="D478" s="29"/>
      <c r="E478" s="29"/>
      <c r="F478" s="117"/>
      <c r="G478" s="29"/>
      <c r="H478" s="29"/>
      <c r="I478" s="81"/>
      <c r="J478" s="81"/>
      <c r="K478" s="103"/>
      <c r="L478" s="81"/>
      <c r="M478" s="103"/>
      <c r="N478" s="81"/>
      <c r="O478" s="81"/>
      <c r="P478" s="81"/>
      <c r="Q478" s="82"/>
    </row>
    <row r="479" spans="2:17" s="4" customFormat="1" ht="15.75" x14ac:dyDescent="0.25">
      <c r="B479" s="109"/>
      <c r="C479" s="29"/>
      <c r="D479" s="29"/>
      <c r="E479" s="29"/>
      <c r="F479" s="117"/>
      <c r="G479" s="29"/>
      <c r="H479" s="29"/>
      <c r="I479" s="81"/>
      <c r="J479" s="81"/>
      <c r="K479" s="103"/>
      <c r="L479" s="81"/>
      <c r="M479" s="103"/>
      <c r="N479" s="81"/>
      <c r="O479" s="81"/>
      <c r="P479" s="81"/>
      <c r="Q479" s="82"/>
    </row>
    <row r="480" spans="2:17" s="4" customFormat="1" ht="15.75" x14ac:dyDescent="0.25">
      <c r="B480" s="109"/>
      <c r="C480" s="29"/>
      <c r="D480" s="29"/>
      <c r="E480" s="29"/>
      <c r="F480" s="117"/>
      <c r="G480" s="29"/>
      <c r="H480" s="29"/>
      <c r="I480" s="81"/>
      <c r="J480" s="81"/>
      <c r="K480" s="103"/>
      <c r="L480" s="81"/>
      <c r="M480" s="103"/>
      <c r="N480" s="81"/>
      <c r="O480" s="81"/>
      <c r="P480" s="81"/>
      <c r="Q480" s="82"/>
    </row>
    <row r="481" spans="2:17" s="4" customFormat="1" ht="15.75" x14ac:dyDescent="0.25">
      <c r="B481" s="109"/>
      <c r="C481" s="29"/>
      <c r="D481" s="29"/>
      <c r="E481" s="29"/>
      <c r="F481" s="117"/>
      <c r="G481" s="29"/>
      <c r="H481" s="29"/>
      <c r="I481" s="81"/>
      <c r="J481" s="81"/>
      <c r="K481" s="103"/>
      <c r="L481" s="81"/>
      <c r="M481" s="103"/>
      <c r="N481" s="81"/>
      <c r="O481" s="81"/>
      <c r="P481" s="81"/>
      <c r="Q481" s="82"/>
    </row>
    <row r="482" spans="2:17" s="4" customFormat="1" ht="15.75" x14ac:dyDescent="0.25">
      <c r="B482" s="109"/>
      <c r="C482" s="29"/>
      <c r="D482" s="29"/>
      <c r="E482" s="29"/>
      <c r="F482" s="117"/>
      <c r="G482" s="29"/>
      <c r="H482" s="29"/>
      <c r="I482" s="81"/>
      <c r="J482" s="81"/>
      <c r="K482" s="103"/>
      <c r="L482" s="81"/>
      <c r="M482" s="103"/>
      <c r="N482" s="81"/>
      <c r="O482" s="81"/>
      <c r="P482" s="81"/>
      <c r="Q482" s="82"/>
    </row>
    <row r="483" spans="2:17" s="4" customFormat="1" ht="15.75" x14ac:dyDescent="0.25">
      <c r="B483" s="109"/>
      <c r="C483" s="29"/>
      <c r="D483" s="29"/>
      <c r="E483" s="29"/>
      <c r="F483" s="117"/>
      <c r="G483" s="29"/>
      <c r="H483" s="29"/>
      <c r="I483" s="81"/>
      <c r="J483" s="81"/>
      <c r="K483" s="103"/>
      <c r="L483" s="81"/>
      <c r="M483" s="103"/>
      <c r="N483" s="81"/>
      <c r="O483" s="81"/>
      <c r="P483" s="81"/>
      <c r="Q483" s="82"/>
    </row>
    <row r="484" spans="2:17" s="4" customFormat="1" ht="15.75" x14ac:dyDescent="0.25">
      <c r="B484" s="109"/>
      <c r="C484" s="29"/>
      <c r="D484" s="29"/>
      <c r="E484" s="29"/>
      <c r="F484" s="117"/>
      <c r="G484" s="29"/>
      <c r="H484" s="29"/>
      <c r="I484" s="81"/>
      <c r="J484" s="81"/>
      <c r="K484" s="103"/>
      <c r="L484" s="81"/>
      <c r="M484" s="103"/>
      <c r="N484" s="81"/>
      <c r="O484" s="81"/>
      <c r="P484" s="81"/>
      <c r="Q484" s="82"/>
    </row>
    <row r="485" spans="2:17" s="4" customFormat="1" ht="15.75" x14ac:dyDescent="0.25">
      <c r="B485" s="109"/>
      <c r="C485" s="29"/>
      <c r="D485" s="29"/>
      <c r="E485" s="29"/>
      <c r="F485" s="117"/>
      <c r="G485" s="29"/>
      <c r="H485" s="29"/>
      <c r="I485" s="81"/>
      <c r="J485" s="81"/>
      <c r="K485" s="103"/>
      <c r="L485" s="81"/>
      <c r="M485" s="103"/>
      <c r="N485" s="81"/>
      <c r="O485" s="81"/>
      <c r="P485" s="81"/>
      <c r="Q485" s="82"/>
    </row>
    <row r="486" spans="2:17" s="4" customFormat="1" ht="15.75" x14ac:dyDescent="0.25">
      <c r="B486" s="109"/>
      <c r="C486" s="29"/>
      <c r="D486" s="29"/>
      <c r="E486" s="29"/>
      <c r="F486" s="117"/>
      <c r="G486" s="29"/>
      <c r="H486" s="29"/>
      <c r="I486" s="81"/>
      <c r="J486" s="81"/>
      <c r="K486" s="103"/>
      <c r="L486" s="81"/>
      <c r="M486" s="103"/>
      <c r="N486" s="81"/>
      <c r="O486" s="81"/>
      <c r="P486" s="81"/>
      <c r="Q486" s="82"/>
    </row>
    <row r="487" spans="2:17" s="4" customFormat="1" ht="15.75" x14ac:dyDescent="0.25">
      <c r="B487" s="109"/>
      <c r="C487" s="29"/>
      <c r="D487" s="29"/>
      <c r="E487" s="29"/>
      <c r="F487" s="117"/>
      <c r="G487" s="29"/>
      <c r="H487" s="29"/>
      <c r="I487" s="81"/>
      <c r="J487" s="81"/>
      <c r="K487" s="103"/>
      <c r="L487" s="81"/>
      <c r="M487" s="103"/>
      <c r="N487" s="81"/>
      <c r="O487" s="81"/>
      <c r="P487" s="81"/>
      <c r="Q487" s="82"/>
    </row>
    <row r="488" spans="2:17" s="4" customFormat="1" ht="15.75" x14ac:dyDescent="0.25">
      <c r="B488" s="109"/>
      <c r="C488" s="29"/>
      <c r="D488" s="29"/>
      <c r="E488" s="29"/>
      <c r="F488" s="117"/>
      <c r="G488" s="29"/>
      <c r="H488" s="29"/>
      <c r="I488" s="81"/>
      <c r="J488" s="81"/>
      <c r="K488" s="103"/>
      <c r="L488" s="81"/>
      <c r="M488" s="103"/>
      <c r="N488" s="81"/>
      <c r="O488" s="81"/>
      <c r="P488" s="81"/>
      <c r="Q488" s="82"/>
    </row>
    <row r="489" spans="2:17" s="4" customFormat="1" ht="15.75" x14ac:dyDescent="0.25">
      <c r="B489" s="109"/>
      <c r="C489" s="29"/>
      <c r="D489" s="29"/>
      <c r="E489" s="29"/>
      <c r="F489" s="117"/>
      <c r="G489" s="29"/>
      <c r="H489" s="29"/>
      <c r="I489" s="81"/>
      <c r="J489" s="81"/>
      <c r="K489" s="103"/>
      <c r="L489" s="81"/>
      <c r="M489" s="103"/>
      <c r="N489" s="81"/>
      <c r="O489" s="81"/>
      <c r="P489" s="81"/>
      <c r="Q489" s="82"/>
    </row>
    <row r="490" spans="2:17" s="4" customFormat="1" ht="15.75" x14ac:dyDescent="0.25">
      <c r="B490" s="109"/>
      <c r="C490" s="29"/>
      <c r="D490" s="29"/>
      <c r="E490" s="29"/>
      <c r="F490" s="117"/>
      <c r="G490" s="29"/>
      <c r="H490" s="29"/>
      <c r="I490" s="81"/>
      <c r="J490" s="81"/>
      <c r="K490" s="103"/>
      <c r="L490" s="81"/>
      <c r="M490" s="103"/>
      <c r="N490" s="81"/>
      <c r="O490" s="81"/>
      <c r="P490" s="81"/>
      <c r="Q490" s="82"/>
    </row>
    <row r="491" spans="2:17" s="4" customFormat="1" ht="15.75" x14ac:dyDescent="0.25">
      <c r="B491" s="109"/>
      <c r="C491" s="29"/>
      <c r="D491" s="29"/>
      <c r="E491" s="29"/>
      <c r="F491" s="117"/>
      <c r="G491" s="29"/>
      <c r="H491" s="29"/>
      <c r="I491" s="81"/>
      <c r="J491" s="81"/>
      <c r="K491" s="103"/>
      <c r="L491" s="81"/>
      <c r="M491" s="103"/>
      <c r="N491" s="81"/>
      <c r="O491" s="81"/>
      <c r="P491" s="81"/>
      <c r="Q491" s="82"/>
    </row>
    <row r="492" spans="2:17" s="4" customFormat="1" ht="15.75" x14ac:dyDescent="0.25">
      <c r="B492" s="109"/>
      <c r="C492" s="29"/>
      <c r="D492" s="29"/>
      <c r="E492" s="29"/>
      <c r="F492" s="117"/>
      <c r="G492" s="29"/>
      <c r="H492" s="29"/>
      <c r="I492" s="81"/>
      <c r="J492" s="81"/>
      <c r="K492" s="103"/>
      <c r="L492" s="81"/>
      <c r="M492" s="103"/>
      <c r="N492" s="81"/>
      <c r="O492" s="81"/>
      <c r="P492" s="81"/>
      <c r="Q492" s="82"/>
    </row>
    <row r="493" spans="2:17" s="4" customFormat="1" ht="15.75" x14ac:dyDescent="0.25">
      <c r="B493" s="109"/>
      <c r="C493" s="29"/>
      <c r="D493" s="29"/>
      <c r="E493" s="29"/>
      <c r="F493" s="117"/>
      <c r="G493" s="29"/>
      <c r="H493" s="29"/>
      <c r="I493" s="81"/>
      <c r="J493" s="81"/>
      <c r="K493" s="103"/>
      <c r="L493" s="81"/>
      <c r="M493" s="103"/>
      <c r="N493" s="81"/>
      <c r="O493" s="81"/>
      <c r="P493" s="81"/>
      <c r="Q493" s="82"/>
    </row>
    <row r="494" spans="2:17" s="4" customFormat="1" ht="15.75" x14ac:dyDescent="0.25">
      <c r="B494" s="109"/>
      <c r="C494" s="29"/>
      <c r="D494" s="29"/>
      <c r="E494" s="29"/>
      <c r="F494" s="117"/>
      <c r="G494" s="29"/>
      <c r="H494" s="29"/>
      <c r="I494" s="81"/>
      <c r="J494" s="81"/>
      <c r="K494" s="103"/>
      <c r="L494" s="81"/>
      <c r="M494" s="103"/>
      <c r="N494" s="81"/>
      <c r="O494" s="81"/>
      <c r="P494" s="81"/>
      <c r="Q494" s="82"/>
    </row>
    <row r="495" spans="2:17" s="4" customFormat="1" ht="15.75" x14ac:dyDescent="0.25">
      <c r="B495" s="109"/>
      <c r="C495" s="29"/>
      <c r="D495" s="29"/>
      <c r="E495" s="29"/>
      <c r="F495" s="117"/>
      <c r="G495" s="29"/>
      <c r="H495" s="29"/>
      <c r="I495" s="81"/>
      <c r="J495" s="81"/>
      <c r="K495" s="103"/>
      <c r="L495" s="81"/>
      <c r="M495" s="103"/>
      <c r="N495" s="81"/>
      <c r="O495" s="81"/>
      <c r="P495" s="81"/>
      <c r="Q495" s="82"/>
    </row>
    <row r="496" spans="2:17" s="4" customFormat="1" ht="15.75" x14ac:dyDescent="0.25">
      <c r="B496" s="109"/>
      <c r="C496" s="29"/>
      <c r="D496" s="29"/>
      <c r="E496" s="29"/>
      <c r="F496" s="117"/>
      <c r="G496" s="29"/>
      <c r="H496" s="29"/>
      <c r="I496" s="81"/>
      <c r="J496" s="81"/>
      <c r="K496" s="103"/>
      <c r="L496" s="81"/>
      <c r="M496" s="103"/>
      <c r="N496" s="81"/>
      <c r="O496" s="81"/>
      <c r="P496" s="81"/>
      <c r="Q496" s="82"/>
    </row>
    <row r="497" spans="2:17" s="4" customFormat="1" ht="15.75" x14ac:dyDescent="0.25">
      <c r="B497" s="109"/>
      <c r="C497" s="29"/>
      <c r="D497" s="29"/>
      <c r="E497" s="29"/>
      <c r="F497" s="117"/>
      <c r="G497" s="29"/>
      <c r="H497" s="29"/>
      <c r="I497" s="81"/>
      <c r="J497" s="81"/>
      <c r="K497" s="103"/>
      <c r="L497" s="81"/>
      <c r="M497" s="103"/>
      <c r="N497" s="81"/>
      <c r="O497" s="81"/>
      <c r="P497" s="81"/>
      <c r="Q497" s="82"/>
    </row>
    <row r="498" spans="2:17" s="4" customFormat="1" ht="15.75" x14ac:dyDescent="0.25">
      <c r="B498" s="109"/>
      <c r="C498" s="29"/>
      <c r="D498" s="29"/>
      <c r="E498" s="29"/>
      <c r="F498" s="117"/>
      <c r="G498" s="29"/>
      <c r="H498" s="29"/>
      <c r="I498" s="81"/>
      <c r="J498" s="81"/>
      <c r="K498" s="103"/>
      <c r="L498" s="81"/>
      <c r="M498" s="103"/>
      <c r="N498" s="81"/>
      <c r="O498" s="81"/>
      <c r="P498" s="81"/>
      <c r="Q498" s="82"/>
    </row>
    <row r="499" spans="2:17" s="4" customFormat="1" ht="15.75" x14ac:dyDescent="0.25">
      <c r="B499" s="109"/>
      <c r="C499" s="29"/>
      <c r="D499" s="29"/>
      <c r="E499" s="29"/>
      <c r="F499" s="117"/>
      <c r="G499" s="29"/>
      <c r="H499" s="29"/>
      <c r="I499" s="81"/>
      <c r="J499" s="81"/>
      <c r="K499" s="103"/>
      <c r="L499" s="81"/>
      <c r="M499" s="103"/>
      <c r="N499" s="81"/>
      <c r="O499" s="81"/>
      <c r="P499" s="81"/>
      <c r="Q499" s="82"/>
    </row>
    <row r="500" spans="2:17" s="4" customFormat="1" ht="15.75" x14ac:dyDescent="0.25">
      <c r="B500" s="109"/>
      <c r="C500" s="29"/>
      <c r="D500" s="29"/>
      <c r="E500" s="29"/>
      <c r="F500" s="117"/>
      <c r="G500" s="29"/>
      <c r="H500" s="29"/>
      <c r="I500" s="81"/>
      <c r="J500" s="81"/>
      <c r="K500" s="103"/>
      <c r="L500" s="81"/>
      <c r="M500" s="103"/>
      <c r="N500" s="81"/>
      <c r="O500" s="81"/>
      <c r="P500" s="81"/>
      <c r="Q500" s="82"/>
    </row>
    <row r="501" spans="2:17" s="4" customFormat="1" ht="15.75" x14ac:dyDescent="0.25">
      <c r="B501" s="109"/>
      <c r="C501" s="29"/>
      <c r="D501" s="29"/>
      <c r="E501" s="29"/>
      <c r="F501" s="117"/>
      <c r="G501" s="29"/>
      <c r="H501" s="29"/>
      <c r="I501" s="81"/>
      <c r="J501" s="81"/>
      <c r="K501" s="103"/>
      <c r="L501" s="81"/>
      <c r="M501" s="103"/>
      <c r="N501" s="81"/>
      <c r="O501" s="81"/>
      <c r="P501" s="81"/>
      <c r="Q501" s="82"/>
    </row>
    <row r="502" spans="2:17" s="4" customFormat="1" ht="15.75" x14ac:dyDescent="0.25">
      <c r="B502" s="109"/>
      <c r="C502" s="29"/>
      <c r="D502" s="29"/>
      <c r="E502" s="29"/>
      <c r="F502" s="117"/>
      <c r="G502" s="29"/>
      <c r="H502" s="29"/>
      <c r="I502" s="81"/>
      <c r="J502" s="81"/>
      <c r="K502" s="103"/>
      <c r="L502" s="81"/>
      <c r="M502" s="103"/>
      <c r="N502" s="81"/>
      <c r="O502" s="81"/>
      <c r="P502" s="81"/>
      <c r="Q502" s="82"/>
    </row>
    <row r="503" spans="2:17" s="4" customFormat="1" ht="15.75" x14ac:dyDescent="0.25">
      <c r="B503" s="109"/>
      <c r="C503" s="29"/>
      <c r="D503" s="29"/>
      <c r="E503" s="29"/>
      <c r="F503" s="117"/>
      <c r="G503" s="29"/>
      <c r="H503" s="29"/>
      <c r="I503" s="81"/>
      <c r="J503" s="81"/>
      <c r="K503" s="103"/>
      <c r="L503" s="81"/>
      <c r="M503" s="103"/>
      <c r="N503" s="81"/>
      <c r="O503" s="81"/>
      <c r="P503" s="81"/>
      <c r="Q503" s="82"/>
    </row>
    <row r="504" spans="2:17" s="4" customFormat="1" ht="15.75" x14ac:dyDescent="0.25">
      <c r="B504" s="109"/>
      <c r="C504" s="29"/>
      <c r="D504" s="29"/>
      <c r="E504" s="29"/>
      <c r="F504" s="117"/>
      <c r="G504" s="29"/>
      <c r="H504" s="29"/>
      <c r="I504" s="81"/>
      <c r="J504" s="81"/>
      <c r="K504" s="103"/>
      <c r="L504" s="81"/>
      <c r="M504" s="103"/>
      <c r="N504" s="81"/>
      <c r="O504" s="81"/>
      <c r="P504" s="81"/>
      <c r="Q504" s="82"/>
    </row>
    <row r="505" spans="2:17" s="4" customFormat="1" ht="15.75" x14ac:dyDescent="0.25">
      <c r="B505" s="109"/>
      <c r="C505" s="29"/>
      <c r="D505" s="29"/>
      <c r="E505" s="29"/>
      <c r="F505" s="117"/>
      <c r="G505" s="29"/>
      <c r="H505" s="29"/>
      <c r="I505" s="81"/>
      <c r="J505" s="81"/>
      <c r="K505" s="103"/>
      <c r="L505" s="81"/>
      <c r="M505" s="103"/>
      <c r="N505" s="81"/>
      <c r="O505" s="81"/>
      <c r="P505" s="81"/>
      <c r="Q505" s="82"/>
    </row>
    <row r="506" spans="2:17" s="4" customFormat="1" ht="15.75" x14ac:dyDescent="0.25">
      <c r="B506" s="109"/>
      <c r="C506" s="29"/>
      <c r="D506" s="29"/>
      <c r="E506" s="29"/>
      <c r="F506" s="117"/>
      <c r="G506" s="29"/>
      <c r="H506" s="29"/>
      <c r="I506" s="81"/>
      <c r="J506" s="81"/>
      <c r="K506" s="103"/>
      <c r="L506" s="81"/>
      <c r="M506" s="103"/>
      <c r="N506" s="81"/>
      <c r="O506" s="81"/>
      <c r="P506" s="81"/>
      <c r="Q506" s="82"/>
    </row>
    <row r="507" spans="2:17" s="4" customFormat="1" ht="15.75" x14ac:dyDescent="0.25">
      <c r="B507" s="109"/>
      <c r="C507" s="29"/>
      <c r="D507" s="29"/>
      <c r="E507" s="29"/>
      <c r="F507" s="117"/>
      <c r="G507" s="29"/>
      <c r="H507" s="29"/>
      <c r="I507" s="81"/>
      <c r="J507" s="81"/>
      <c r="K507" s="103"/>
      <c r="L507" s="81"/>
      <c r="M507" s="103"/>
      <c r="N507" s="81"/>
      <c r="O507" s="81"/>
      <c r="P507" s="81"/>
      <c r="Q507" s="82"/>
    </row>
    <row r="508" spans="2:17" s="4" customFormat="1" ht="15.75" x14ac:dyDescent="0.25">
      <c r="B508" s="109"/>
      <c r="C508" s="29"/>
      <c r="D508" s="29"/>
      <c r="E508" s="29"/>
      <c r="F508" s="117"/>
      <c r="G508" s="29"/>
      <c r="H508" s="29"/>
      <c r="I508" s="81"/>
      <c r="J508" s="81"/>
      <c r="K508" s="103"/>
      <c r="L508" s="81"/>
      <c r="M508" s="103"/>
      <c r="N508" s="81"/>
      <c r="O508" s="81"/>
      <c r="P508" s="81"/>
      <c r="Q508" s="82"/>
    </row>
    <row r="509" spans="2:17" s="4" customFormat="1" ht="15.75" x14ac:dyDescent="0.25">
      <c r="B509" s="109"/>
      <c r="C509" s="29"/>
      <c r="D509" s="29"/>
      <c r="E509" s="29"/>
      <c r="F509" s="117"/>
      <c r="G509" s="29"/>
      <c r="H509" s="29"/>
      <c r="I509" s="81"/>
      <c r="J509" s="81"/>
      <c r="K509" s="103"/>
      <c r="L509" s="81"/>
      <c r="M509" s="103"/>
      <c r="N509" s="81"/>
      <c r="O509" s="81"/>
      <c r="P509" s="81"/>
      <c r="Q509" s="82"/>
    </row>
    <row r="510" spans="2:17" s="4" customFormat="1" ht="15.75" x14ac:dyDescent="0.25">
      <c r="B510" s="109"/>
      <c r="C510" s="29"/>
      <c r="D510" s="29"/>
      <c r="E510" s="29"/>
      <c r="F510" s="117"/>
      <c r="G510" s="29"/>
      <c r="H510" s="29"/>
      <c r="I510" s="81"/>
      <c r="J510" s="81"/>
      <c r="K510" s="103"/>
      <c r="L510" s="81"/>
      <c r="M510" s="103"/>
      <c r="N510" s="81"/>
      <c r="O510" s="81"/>
      <c r="P510" s="81"/>
      <c r="Q510" s="82"/>
    </row>
    <row r="511" spans="2:17" s="4" customFormat="1" ht="15.75" x14ac:dyDescent="0.25">
      <c r="B511" s="109"/>
      <c r="C511" s="29"/>
      <c r="D511" s="29"/>
      <c r="E511" s="29"/>
      <c r="F511" s="117"/>
      <c r="G511" s="29"/>
      <c r="H511" s="29"/>
      <c r="I511" s="81"/>
      <c r="J511" s="81"/>
      <c r="K511" s="103"/>
      <c r="L511" s="81"/>
      <c r="M511" s="103"/>
      <c r="N511" s="81"/>
      <c r="O511" s="81"/>
      <c r="P511" s="81"/>
      <c r="Q511" s="82"/>
    </row>
    <row r="512" spans="2:17" s="4" customFormat="1" ht="15.75" x14ac:dyDescent="0.25">
      <c r="B512" s="109"/>
      <c r="C512" s="29"/>
      <c r="D512" s="29"/>
      <c r="E512" s="29"/>
      <c r="F512" s="117"/>
      <c r="G512" s="29"/>
      <c r="H512" s="29"/>
      <c r="I512" s="81"/>
      <c r="J512" s="81"/>
      <c r="K512" s="103"/>
      <c r="L512" s="81"/>
      <c r="M512" s="103"/>
      <c r="N512" s="81"/>
      <c r="O512" s="81"/>
      <c r="P512" s="81"/>
      <c r="Q512" s="82"/>
    </row>
    <row r="513" spans="2:17" s="4" customFormat="1" ht="15.75" x14ac:dyDescent="0.25">
      <c r="B513" s="109"/>
      <c r="C513" s="29"/>
      <c r="D513" s="29"/>
      <c r="E513" s="29"/>
      <c r="F513" s="117"/>
      <c r="G513" s="29"/>
      <c r="H513" s="29"/>
      <c r="I513" s="81"/>
      <c r="J513" s="81"/>
      <c r="K513" s="103"/>
      <c r="L513" s="81"/>
      <c r="M513" s="103"/>
      <c r="N513" s="81"/>
      <c r="O513" s="81"/>
      <c r="P513" s="81"/>
      <c r="Q513" s="82"/>
    </row>
    <row r="514" spans="2:17" s="4" customFormat="1" ht="15.75" x14ac:dyDescent="0.25">
      <c r="B514" s="109"/>
      <c r="C514" s="29"/>
      <c r="D514" s="29"/>
      <c r="E514" s="29"/>
      <c r="F514" s="117"/>
      <c r="G514" s="29"/>
      <c r="H514" s="29"/>
      <c r="I514" s="81"/>
      <c r="J514" s="81"/>
      <c r="K514" s="103"/>
      <c r="L514" s="81"/>
      <c r="M514" s="103"/>
      <c r="N514" s="81"/>
      <c r="O514" s="81"/>
      <c r="P514" s="81"/>
      <c r="Q514" s="82"/>
    </row>
    <row r="515" spans="2:17" s="4" customFormat="1" ht="15.75" x14ac:dyDescent="0.25">
      <c r="B515" s="109"/>
      <c r="C515" s="29"/>
      <c r="D515" s="29"/>
      <c r="E515" s="29"/>
      <c r="F515" s="117"/>
      <c r="G515" s="29"/>
      <c r="H515" s="29"/>
      <c r="I515" s="81"/>
      <c r="J515" s="81"/>
      <c r="K515" s="103"/>
      <c r="L515" s="81"/>
      <c r="M515" s="103"/>
      <c r="N515" s="81"/>
      <c r="O515" s="81"/>
      <c r="P515" s="81"/>
      <c r="Q515" s="82"/>
    </row>
    <row r="516" spans="2:17" s="4" customFormat="1" ht="15.75" x14ac:dyDescent="0.25">
      <c r="B516" s="109"/>
      <c r="C516" s="29"/>
      <c r="D516" s="29"/>
      <c r="E516" s="29"/>
      <c r="F516" s="117"/>
      <c r="G516" s="29"/>
      <c r="H516" s="29"/>
      <c r="I516" s="81"/>
      <c r="J516" s="81"/>
      <c r="K516" s="103"/>
      <c r="L516" s="81"/>
      <c r="M516" s="103"/>
      <c r="N516" s="81"/>
      <c r="O516" s="81"/>
      <c r="P516" s="81"/>
      <c r="Q516" s="82"/>
    </row>
    <row r="517" spans="2:17" s="4" customFormat="1" ht="15.75" x14ac:dyDescent="0.25">
      <c r="B517" s="109"/>
      <c r="C517" s="29"/>
      <c r="D517" s="29"/>
      <c r="E517" s="29"/>
      <c r="F517" s="117"/>
      <c r="G517" s="29"/>
      <c r="H517" s="29"/>
      <c r="I517" s="81"/>
      <c r="J517" s="81"/>
      <c r="K517" s="103"/>
      <c r="L517" s="81"/>
      <c r="M517" s="103"/>
      <c r="N517" s="81"/>
      <c r="O517" s="81"/>
      <c r="P517" s="81"/>
      <c r="Q517" s="82"/>
    </row>
    <row r="518" spans="2:17" s="4" customFormat="1" ht="15.75" x14ac:dyDescent="0.25">
      <c r="B518" s="109"/>
      <c r="C518" s="29"/>
      <c r="D518" s="29"/>
      <c r="E518" s="29"/>
      <c r="F518" s="117"/>
      <c r="G518" s="29"/>
      <c r="H518" s="29"/>
      <c r="I518" s="81"/>
      <c r="J518" s="81"/>
      <c r="K518" s="103"/>
      <c r="L518" s="81"/>
      <c r="M518" s="103"/>
      <c r="N518" s="81"/>
      <c r="O518" s="81"/>
      <c r="P518" s="81"/>
      <c r="Q518" s="82"/>
    </row>
    <row r="519" spans="2:17" s="4" customFormat="1" ht="15.75" x14ac:dyDescent="0.25">
      <c r="B519" s="109"/>
      <c r="C519" s="29"/>
      <c r="D519" s="29"/>
      <c r="E519" s="29"/>
      <c r="F519" s="117"/>
      <c r="G519" s="29"/>
      <c r="H519" s="29"/>
      <c r="I519" s="81"/>
      <c r="J519" s="81"/>
      <c r="K519" s="103"/>
      <c r="L519" s="81"/>
      <c r="M519" s="103"/>
      <c r="N519" s="81"/>
      <c r="O519" s="81"/>
      <c r="P519" s="81"/>
      <c r="Q519" s="82"/>
    </row>
    <row r="520" spans="2:17" s="4" customFormat="1" ht="15.75" x14ac:dyDescent="0.25">
      <c r="B520" s="109"/>
      <c r="C520" s="29"/>
      <c r="D520" s="29"/>
      <c r="E520" s="29"/>
      <c r="F520" s="117"/>
      <c r="G520" s="29"/>
      <c r="H520" s="29"/>
      <c r="I520" s="81"/>
      <c r="J520" s="81"/>
      <c r="K520" s="103"/>
      <c r="L520" s="81"/>
      <c r="M520" s="103"/>
      <c r="N520" s="81"/>
      <c r="O520" s="81"/>
      <c r="P520" s="81"/>
      <c r="Q520" s="82"/>
    </row>
    <row r="521" spans="2:17" s="4" customFormat="1" ht="15.75" x14ac:dyDescent="0.25">
      <c r="B521" s="109"/>
      <c r="C521" s="29"/>
      <c r="D521" s="29"/>
      <c r="E521" s="29"/>
      <c r="F521" s="117"/>
      <c r="G521" s="29"/>
      <c r="H521" s="29"/>
      <c r="I521" s="81"/>
      <c r="J521" s="81"/>
      <c r="K521" s="103"/>
      <c r="L521" s="81"/>
      <c r="M521" s="103"/>
      <c r="N521" s="81"/>
      <c r="O521" s="81"/>
      <c r="P521" s="81"/>
      <c r="Q521" s="82"/>
    </row>
    <row r="522" spans="2:17" s="4" customFormat="1" ht="15.75" x14ac:dyDescent="0.25">
      <c r="B522" s="109"/>
      <c r="C522" s="29"/>
      <c r="D522" s="29"/>
      <c r="E522" s="29"/>
      <c r="F522" s="117"/>
      <c r="G522" s="29"/>
      <c r="H522" s="29"/>
      <c r="I522" s="81"/>
      <c r="J522" s="81"/>
      <c r="K522" s="103"/>
      <c r="L522" s="81"/>
      <c r="M522" s="103"/>
      <c r="N522" s="81"/>
      <c r="O522" s="81"/>
      <c r="P522" s="81"/>
      <c r="Q522" s="82"/>
    </row>
    <row r="523" spans="2:17" s="4" customFormat="1" ht="15.75" x14ac:dyDescent="0.25">
      <c r="B523" s="109"/>
      <c r="C523" s="29"/>
      <c r="D523" s="29"/>
      <c r="E523" s="29"/>
      <c r="F523" s="117"/>
      <c r="G523" s="29"/>
      <c r="H523" s="29"/>
      <c r="I523" s="81"/>
      <c r="J523" s="81"/>
      <c r="K523" s="103"/>
      <c r="L523" s="81"/>
      <c r="M523" s="103"/>
      <c r="N523" s="81"/>
      <c r="O523" s="81"/>
      <c r="P523" s="81"/>
      <c r="Q523" s="82"/>
    </row>
    <row r="524" spans="2:17" s="4" customFormat="1" ht="15.75" x14ac:dyDescent="0.25">
      <c r="B524" s="109"/>
      <c r="C524" s="29"/>
      <c r="D524" s="29"/>
      <c r="E524" s="29"/>
      <c r="F524" s="117"/>
      <c r="G524" s="29"/>
      <c r="H524" s="29"/>
      <c r="I524" s="81"/>
      <c r="J524" s="81"/>
      <c r="K524" s="103"/>
      <c r="L524" s="81"/>
      <c r="M524" s="103"/>
      <c r="N524" s="81"/>
      <c r="O524" s="81"/>
      <c r="P524" s="81"/>
      <c r="Q524" s="82"/>
    </row>
    <row r="525" spans="2:17" s="4" customFormat="1" ht="15.75" x14ac:dyDescent="0.25">
      <c r="B525" s="109"/>
      <c r="C525" s="29"/>
      <c r="D525" s="29"/>
      <c r="E525" s="29"/>
      <c r="F525" s="117"/>
      <c r="G525" s="29"/>
      <c r="H525" s="29"/>
      <c r="I525" s="81"/>
      <c r="J525" s="81"/>
      <c r="K525" s="103"/>
      <c r="L525" s="81"/>
      <c r="M525" s="103"/>
      <c r="N525" s="81"/>
      <c r="O525" s="81"/>
      <c r="P525" s="81"/>
      <c r="Q525" s="82"/>
    </row>
    <row r="526" spans="2:17" s="4" customFormat="1" ht="15.75" x14ac:dyDescent="0.25">
      <c r="B526" s="109"/>
      <c r="C526" s="29"/>
      <c r="D526" s="29"/>
      <c r="E526" s="29"/>
      <c r="F526" s="117"/>
      <c r="G526" s="29"/>
      <c r="H526" s="29"/>
      <c r="I526" s="81"/>
      <c r="J526" s="81"/>
      <c r="K526" s="103"/>
      <c r="L526" s="81"/>
      <c r="M526" s="103"/>
      <c r="N526" s="81"/>
      <c r="O526" s="81"/>
      <c r="P526" s="81"/>
      <c r="Q526" s="82"/>
    </row>
    <row r="527" spans="2:17" s="4" customFormat="1" ht="15.75" x14ac:dyDescent="0.25">
      <c r="B527" s="109"/>
      <c r="C527" s="29"/>
      <c r="D527" s="29"/>
      <c r="E527" s="29"/>
      <c r="F527" s="117"/>
      <c r="G527" s="29"/>
      <c r="H527" s="29"/>
      <c r="I527" s="81"/>
      <c r="J527" s="81"/>
      <c r="K527" s="103"/>
      <c r="L527" s="81"/>
      <c r="M527" s="103"/>
      <c r="N527" s="81"/>
      <c r="O527" s="81"/>
      <c r="P527" s="81"/>
      <c r="Q527" s="82"/>
    </row>
    <row r="528" spans="2:17" s="4" customFormat="1" ht="15.75" x14ac:dyDescent="0.25">
      <c r="B528" s="109"/>
      <c r="C528" s="29"/>
      <c r="D528" s="29"/>
      <c r="E528" s="29"/>
      <c r="F528" s="117"/>
      <c r="G528" s="29"/>
      <c r="H528" s="29"/>
      <c r="I528" s="81"/>
      <c r="J528" s="81"/>
      <c r="K528" s="103"/>
      <c r="L528" s="81"/>
      <c r="M528" s="103"/>
      <c r="N528" s="81"/>
      <c r="O528" s="81"/>
      <c r="P528" s="81"/>
      <c r="Q528" s="82"/>
    </row>
    <row r="529" spans="2:17" s="4" customFormat="1" ht="15.75" x14ac:dyDescent="0.25">
      <c r="B529" s="109"/>
      <c r="C529" s="29"/>
      <c r="D529" s="29"/>
      <c r="E529" s="29"/>
      <c r="F529" s="117"/>
      <c r="G529" s="29"/>
      <c r="H529" s="29"/>
      <c r="I529" s="81"/>
      <c r="J529" s="81"/>
      <c r="K529" s="103"/>
      <c r="L529" s="81"/>
      <c r="M529" s="103"/>
      <c r="N529" s="81"/>
      <c r="O529" s="81"/>
      <c r="P529" s="81"/>
      <c r="Q529" s="82"/>
    </row>
    <row r="530" spans="2:17" s="4" customFormat="1" ht="15.75" x14ac:dyDescent="0.25">
      <c r="B530" s="109"/>
      <c r="C530" s="29"/>
      <c r="D530" s="29"/>
      <c r="E530" s="29"/>
      <c r="F530" s="117"/>
      <c r="G530" s="29"/>
      <c r="H530" s="29"/>
      <c r="I530" s="81"/>
      <c r="J530" s="81"/>
      <c r="K530" s="103"/>
      <c r="L530" s="81"/>
      <c r="M530" s="103"/>
      <c r="N530" s="81"/>
      <c r="O530" s="81"/>
      <c r="P530" s="81"/>
      <c r="Q530" s="82"/>
    </row>
    <row r="531" spans="2:17" s="4" customFormat="1" ht="15.75" x14ac:dyDescent="0.25">
      <c r="B531" s="109"/>
      <c r="C531" s="29"/>
      <c r="D531" s="29"/>
      <c r="E531" s="29"/>
      <c r="F531" s="117"/>
      <c r="G531" s="29"/>
      <c r="H531" s="29"/>
      <c r="I531" s="81"/>
      <c r="J531" s="81"/>
      <c r="K531" s="103"/>
      <c r="L531" s="81"/>
      <c r="M531" s="103"/>
      <c r="N531" s="81"/>
      <c r="O531" s="81"/>
      <c r="P531" s="81"/>
      <c r="Q531" s="82"/>
    </row>
    <row r="532" spans="2:17" s="4" customFormat="1" ht="15.75" x14ac:dyDescent="0.25">
      <c r="B532" s="109"/>
      <c r="C532" s="29"/>
      <c r="D532" s="29"/>
      <c r="E532" s="29"/>
      <c r="F532" s="117"/>
      <c r="G532" s="29"/>
      <c r="H532" s="29"/>
      <c r="I532" s="81"/>
      <c r="J532" s="81"/>
      <c r="K532" s="103"/>
      <c r="L532" s="81"/>
      <c r="M532" s="103"/>
      <c r="N532" s="81"/>
      <c r="O532" s="81"/>
      <c r="P532" s="81"/>
      <c r="Q532" s="82"/>
    </row>
    <row r="533" spans="2:17" s="4" customFormat="1" ht="15.75" x14ac:dyDescent="0.25">
      <c r="B533" s="109"/>
      <c r="C533" s="29"/>
      <c r="D533" s="29"/>
      <c r="E533" s="29"/>
      <c r="F533" s="117"/>
      <c r="G533" s="29"/>
      <c r="H533" s="29"/>
      <c r="I533" s="81"/>
      <c r="J533" s="81"/>
      <c r="K533" s="103"/>
      <c r="L533" s="81"/>
      <c r="M533" s="103"/>
      <c r="N533" s="81"/>
      <c r="O533" s="81"/>
      <c r="P533" s="81"/>
      <c r="Q533" s="82"/>
    </row>
    <row r="534" spans="2:17" s="4" customFormat="1" ht="15.75" x14ac:dyDescent="0.25">
      <c r="B534" s="109"/>
      <c r="C534" s="29"/>
      <c r="D534" s="29"/>
      <c r="E534" s="29"/>
      <c r="F534" s="117"/>
      <c r="G534" s="29"/>
      <c r="H534" s="29"/>
      <c r="I534" s="81"/>
      <c r="J534" s="81"/>
      <c r="K534" s="103"/>
      <c r="L534" s="81"/>
      <c r="M534" s="103"/>
      <c r="N534" s="81"/>
      <c r="O534" s="81"/>
      <c r="P534" s="81"/>
      <c r="Q534" s="82"/>
    </row>
    <row r="535" spans="2:17" s="4" customFormat="1" ht="15.75" x14ac:dyDescent="0.25">
      <c r="B535" s="109"/>
      <c r="C535" s="29"/>
      <c r="D535" s="29"/>
      <c r="E535" s="29"/>
      <c r="F535" s="117"/>
      <c r="G535" s="29"/>
      <c r="H535" s="29"/>
      <c r="I535" s="81"/>
      <c r="J535" s="81"/>
      <c r="K535" s="103"/>
      <c r="L535" s="81"/>
      <c r="M535" s="103"/>
      <c r="N535" s="81"/>
      <c r="O535" s="81"/>
      <c r="P535" s="81"/>
      <c r="Q535" s="82"/>
    </row>
    <row r="536" spans="2:17" s="4" customFormat="1" ht="15.75" x14ac:dyDescent="0.25">
      <c r="B536" s="109"/>
      <c r="C536" s="29"/>
      <c r="D536" s="29"/>
      <c r="E536" s="29"/>
      <c r="F536" s="117"/>
      <c r="G536" s="29"/>
      <c r="H536" s="29"/>
      <c r="I536" s="81"/>
      <c r="J536" s="81"/>
      <c r="K536" s="103"/>
      <c r="L536" s="81"/>
      <c r="M536" s="103"/>
      <c r="N536" s="81"/>
      <c r="O536" s="81"/>
      <c r="P536" s="81"/>
      <c r="Q536" s="82"/>
    </row>
    <row r="537" spans="2:17" s="4" customFormat="1" ht="15.75" x14ac:dyDescent="0.25">
      <c r="B537" s="109"/>
      <c r="C537" s="29"/>
      <c r="D537" s="29"/>
      <c r="E537" s="29"/>
      <c r="F537" s="117"/>
      <c r="G537" s="29"/>
      <c r="H537" s="29"/>
      <c r="I537" s="81"/>
      <c r="J537" s="81"/>
      <c r="K537" s="103"/>
      <c r="L537" s="81"/>
      <c r="M537" s="103"/>
      <c r="N537" s="81"/>
      <c r="O537" s="81"/>
      <c r="P537" s="81"/>
      <c r="Q537" s="82"/>
    </row>
    <row r="538" spans="2:17" s="4" customFormat="1" ht="15.75" x14ac:dyDescent="0.25">
      <c r="B538" s="109"/>
      <c r="C538" s="29"/>
      <c r="D538" s="29"/>
      <c r="E538" s="29"/>
      <c r="F538" s="117"/>
      <c r="G538" s="29"/>
      <c r="H538" s="29"/>
      <c r="I538" s="81"/>
      <c r="J538" s="81"/>
      <c r="K538" s="103"/>
      <c r="L538" s="81"/>
      <c r="M538" s="103"/>
      <c r="N538" s="81"/>
      <c r="O538" s="81"/>
      <c r="P538" s="81"/>
      <c r="Q538" s="82"/>
    </row>
    <row r="539" spans="2:17" s="4" customFormat="1" ht="15.75" x14ac:dyDescent="0.25">
      <c r="B539" s="109"/>
      <c r="C539" s="29"/>
      <c r="D539" s="29"/>
      <c r="E539" s="29"/>
      <c r="F539" s="117"/>
      <c r="G539" s="29"/>
      <c r="H539" s="29"/>
      <c r="I539" s="81"/>
      <c r="J539" s="81"/>
      <c r="K539" s="103"/>
      <c r="L539" s="81"/>
      <c r="M539" s="103"/>
      <c r="N539" s="81"/>
      <c r="O539" s="81"/>
      <c r="P539" s="81"/>
      <c r="Q539" s="82"/>
    </row>
    <row r="540" spans="2:17" s="4" customFormat="1" ht="15.75" x14ac:dyDescent="0.25">
      <c r="B540" s="109"/>
      <c r="C540" s="29"/>
      <c r="D540" s="29"/>
      <c r="E540" s="29"/>
      <c r="F540" s="117"/>
      <c r="G540" s="29"/>
      <c r="H540" s="29"/>
      <c r="I540" s="81"/>
      <c r="J540" s="81"/>
      <c r="K540" s="103"/>
      <c r="L540" s="81"/>
      <c r="M540" s="103"/>
      <c r="N540" s="81"/>
      <c r="O540" s="81"/>
      <c r="P540" s="81"/>
      <c r="Q540" s="82"/>
    </row>
    <row r="541" spans="2:17" s="4" customFormat="1" ht="15.75" x14ac:dyDescent="0.25">
      <c r="B541" s="109"/>
      <c r="C541" s="29"/>
      <c r="D541" s="29"/>
      <c r="E541" s="29"/>
      <c r="F541" s="117"/>
      <c r="G541" s="29"/>
      <c r="H541" s="29"/>
      <c r="I541" s="81"/>
      <c r="J541" s="81"/>
      <c r="K541" s="103"/>
      <c r="L541" s="81"/>
      <c r="M541" s="103"/>
      <c r="N541" s="81"/>
      <c r="O541" s="81"/>
      <c r="P541" s="81"/>
      <c r="Q541" s="82"/>
    </row>
    <row r="542" spans="2:17" s="4" customFormat="1" ht="15.75" x14ac:dyDescent="0.25">
      <c r="B542" s="109"/>
      <c r="C542" s="29"/>
      <c r="D542" s="29"/>
      <c r="E542" s="29"/>
      <c r="F542" s="117"/>
      <c r="G542" s="29"/>
      <c r="H542" s="29"/>
      <c r="I542" s="81"/>
      <c r="J542" s="81"/>
      <c r="K542" s="103"/>
      <c r="L542" s="81"/>
      <c r="M542" s="103"/>
      <c r="N542" s="81"/>
      <c r="O542" s="81"/>
      <c r="P542" s="81"/>
      <c r="Q542" s="82"/>
    </row>
    <row r="543" spans="2:17" s="4" customFormat="1" ht="15.75" x14ac:dyDescent="0.25">
      <c r="B543" s="109"/>
      <c r="C543" s="29"/>
      <c r="D543" s="29"/>
      <c r="E543" s="29"/>
      <c r="F543" s="117"/>
      <c r="G543" s="29"/>
      <c r="H543" s="29"/>
      <c r="I543" s="81"/>
      <c r="J543" s="81"/>
      <c r="K543" s="103"/>
      <c r="L543" s="81"/>
      <c r="M543" s="103"/>
      <c r="N543" s="81"/>
      <c r="O543" s="81"/>
      <c r="P543" s="81"/>
      <c r="Q543" s="82"/>
    </row>
    <row r="544" spans="2:17" s="4" customFormat="1" ht="15.75" x14ac:dyDescent="0.25">
      <c r="B544" s="109"/>
      <c r="C544" s="29"/>
      <c r="D544" s="29"/>
      <c r="E544" s="29"/>
      <c r="F544" s="117"/>
      <c r="G544" s="29"/>
      <c r="H544" s="29"/>
      <c r="I544" s="81"/>
      <c r="J544" s="81"/>
      <c r="K544" s="103"/>
      <c r="L544" s="81"/>
      <c r="M544" s="103"/>
      <c r="N544" s="81"/>
      <c r="O544" s="81"/>
      <c r="P544" s="81"/>
      <c r="Q544" s="82"/>
    </row>
    <row r="545" spans="2:17" s="4" customFormat="1" ht="15.75" x14ac:dyDescent="0.25">
      <c r="B545" s="109"/>
      <c r="C545" s="29"/>
      <c r="D545" s="29"/>
      <c r="E545" s="29"/>
      <c r="F545" s="117"/>
      <c r="G545" s="29"/>
      <c r="H545" s="29"/>
      <c r="I545" s="81"/>
      <c r="J545" s="81"/>
      <c r="K545" s="103"/>
      <c r="L545" s="81"/>
      <c r="M545" s="103"/>
      <c r="N545" s="81"/>
      <c r="O545" s="81"/>
      <c r="P545" s="81"/>
      <c r="Q545" s="82"/>
    </row>
    <row r="546" spans="2:17" s="4" customFormat="1" ht="15.75" x14ac:dyDescent="0.25">
      <c r="B546" s="109"/>
      <c r="C546" s="29"/>
      <c r="D546" s="29"/>
      <c r="E546" s="29"/>
      <c r="F546" s="117"/>
      <c r="G546" s="29"/>
      <c r="H546" s="29"/>
      <c r="I546" s="81"/>
      <c r="J546" s="81"/>
      <c r="K546" s="103"/>
      <c r="L546" s="81"/>
      <c r="M546" s="103"/>
      <c r="N546" s="81"/>
      <c r="O546" s="81"/>
      <c r="P546" s="81"/>
      <c r="Q546" s="82"/>
    </row>
    <row r="547" spans="2:17" s="4" customFormat="1" ht="15.75" x14ac:dyDescent="0.25">
      <c r="B547" s="109"/>
      <c r="C547" s="29"/>
      <c r="D547" s="29"/>
      <c r="E547" s="29"/>
      <c r="F547" s="117"/>
      <c r="G547" s="29"/>
      <c r="H547" s="29"/>
      <c r="I547" s="81"/>
      <c r="J547" s="81"/>
      <c r="K547" s="103"/>
      <c r="L547" s="81"/>
      <c r="M547" s="103"/>
      <c r="N547" s="81"/>
      <c r="O547" s="81"/>
      <c r="P547" s="81"/>
      <c r="Q547" s="82"/>
    </row>
    <row r="548" spans="2:17" s="4" customFormat="1" ht="15.75" x14ac:dyDescent="0.25">
      <c r="B548" s="109"/>
      <c r="C548" s="29"/>
      <c r="D548" s="29"/>
      <c r="E548" s="29"/>
      <c r="F548" s="117"/>
      <c r="G548" s="29"/>
      <c r="H548" s="29"/>
      <c r="I548" s="81"/>
      <c r="J548" s="81"/>
      <c r="K548" s="103"/>
      <c r="L548" s="81"/>
      <c r="M548" s="103"/>
      <c r="N548" s="81"/>
      <c r="O548" s="81"/>
      <c r="P548" s="81"/>
      <c r="Q548" s="82"/>
    </row>
    <row r="549" spans="2:17" s="4" customFormat="1" ht="15.75" x14ac:dyDescent="0.25">
      <c r="B549" s="109"/>
      <c r="C549" s="29"/>
      <c r="D549" s="29"/>
      <c r="E549" s="29"/>
      <c r="F549" s="117"/>
      <c r="G549" s="29"/>
      <c r="H549" s="29"/>
      <c r="I549" s="81"/>
      <c r="J549" s="81"/>
      <c r="K549" s="103"/>
      <c r="L549" s="81"/>
      <c r="M549" s="103"/>
      <c r="N549" s="81"/>
      <c r="O549" s="81"/>
      <c r="P549" s="81"/>
      <c r="Q549" s="82"/>
    </row>
    <row r="550" spans="2:17" s="4" customFormat="1" ht="15.75" x14ac:dyDescent="0.25">
      <c r="B550" s="109"/>
      <c r="C550" s="29"/>
      <c r="D550" s="29"/>
      <c r="E550" s="29"/>
      <c r="F550" s="117"/>
      <c r="G550" s="29"/>
      <c r="H550" s="29"/>
      <c r="I550" s="81"/>
      <c r="J550" s="81"/>
      <c r="K550" s="103"/>
      <c r="L550" s="81"/>
      <c r="M550" s="103"/>
      <c r="N550" s="81"/>
      <c r="O550" s="81"/>
      <c r="P550" s="81"/>
      <c r="Q550" s="82"/>
    </row>
    <row r="551" spans="2:17" s="4" customFormat="1" ht="15.75" x14ac:dyDescent="0.25">
      <c r="B551" s="109"/>
      <c r="C551" s="29"/>
      <c r="D551" s="29"/>
      <c r="E551" s="29"/>
      <c r="F551" s="117"/>
      <c r="G551" s="29"/>
      <c r="H551" s="29"/>
      <c r="I551" s="81"/>
      <c r="J551" s="81"/>
      <c r="K551" s="103"/>
      <c r="L551" s="81"/>
      <c r="M551" s="103"/>
      <c r="N551" s="81"/>
      <c r="O551" s="81"/>
      <c r="P551" s="81"/>
      <c r="Q551" s="82"/>
    </row>
    <row r="552" spans="2:17" s="4" customFormat="1" ht="15.75" x14ac:dyDescent="0.25">
      <c r="B552" s="109"/>
      <c r="C552" s="29"/>
      <c r="D552" s="29"/>
      <c r="E552" s="29"/>
      <c r="F552" s="117"/>
      <c r="G552" s="29"/>
      <c r="H552" s="29"/>
      <c r="I552" s="81"/>
      <c r="J552" s="81"/>
      <c r="K552" s="103"/>
      <c r="L552" s="81"/>
      <c r="M552" s="103"/>
      <c r="N552" s="81"/>
      <c r="O552" s="81"/>
      <c r="P552" s="81"/>
      <c r="Q552" s="82"/>
    </row>
    <row r="553" spans="2:17" s="4" customFormat="1" ht="15.75" x14ac:dyDescent="0.25">
      <c r="B553" s="109"/>
      <c r="C553" s="29"/>
      <c r="D553" s="29"/>
      <c r="E553" s="29"/>
      <c r="F553" s="117"/>
      <c r="G553" s="29"/>
      <c r="H553" s="29"/>
      <c r="I553" s="81"/>
      <c r="J553" s="81"/>
      <c r="K553" s="103"/>
      <c r="L553" s="81"/>
      <c r="M553" s="103"/>
      <c r="N553" s="81"/>
      <c r="O553" s="81"/>
      <c r="P553" s="81"/>
      <c r="Q553" s="82"/>
    </row>
    <row r="554" spans="2:17" s="4" customFormat="1" ht="15.75" x14ac:dyDescent="0.25">
      <c r="B554" s="109"/>
      <c r="C554" s="29"/>
      <c r="D554" s="29"/>
      <c r="E554" s="29"/>
      <c r="F554" s="117"/>
      <c r="G554" s="29"/>
      <c r="H554" s="29"/>
      <c r="I554" s="81"/>
      <c r="J554" s="81"/>
      <c r="K554" s="103"/>
      <c r="L554" s="81"/>
      <c r="M554" s="103"/>
      <c r="N554" s="81"/>
      <c r="O554" s="81"/>
      <c r="P554" s="81"/>
      <c r="Q554" s="82"/>
    </row>
    <row r="555" spans="2:17" s="4" customFormat="1" ht="15.75" x14ac:dyDescent="0.25">
      <c r="B555" s="109"/>
      <c r="C555" s="29"/>
      <c r="D555" s="29"/>
      <c r="E555" s="29"/>
      <c r="F555" s="117"/>
      <c r="G555" s="29"/>
      <c r="H555" s="29"/>
      <c r="I555" s="81"/>
      <c r="J555" s="81"/>
      <c r="K555" s="103"/>
      <c r="L555" s="81"/>
      <c r="M555" s="103"/>
      <c r="N555" s="81"/>
      <c r="O555" s="81"/>
      <c r="P555" s="81"/>
      <c r="Q555" s="82"/>
    </row>
    <row r="556" spans="2:17" s="4" customFormat="1" ht="15.75" x14ac:dyDescent="0.25">
      <c r="B556" s="109"/>
      <c r="C556" s="29"/>
      <c r="D556" s="29"/>
      <c r="E556" s="29"/>
      <c r="F556" s="117"/>
      <c r="G556" s="29"/>
      <c r="H556" s="29"/>
      <c r="I556" s="81"/>
      <c r="J556" s="81"/>
      <c r="K556" s="103"/>
      <c r="L556" s="81"/>
      <c r="M556" s="103"/>
      <c r="N556" s="81"/>
      <c r="O556" s="81"/>
      <c r="P556" s="81"/>
      <c r="Q556" s="82"/>
    </row>
    <row r="557" spans="2:17" s="4" customFormat="1" ht="15.75" x14ac:dyDescent="0.25">
      <c r="B557" s="109"/>
      <c r="C557" s="29"/>
      <c r="D557" s="29"/>
      <c r="E557" s="29"/>
      <c r="F557" s="117"/>
      <c r="G557" s="29"/>
      <c r="H557" s="29"/>
      <c r="I557" s="81"/>
      <c r="J557" s="81"/>
      <c r="K557" s="103"/>
      <c r="L557" s="81"/>
      <c r="M557" s="103"/>
      <c r="N557" s="81"/>
      <c r="O557" s="81"/>
      <c r="P557" s="81"/>
      <c r="Q557" s="82"/>
    </row>
    <row r="558" spans="2:17" s="4" customFormat="1" ht="15.75" x14ac:dyDescent="0.25">
      <c r="B558" s="109"/>
      <c r="C558" s="29"/>
      <c r="D558" s="29"/>
      <c r="E558" s="29"/>
      <c r="F558" s="117"/>
      <c r="G558" s="29"/>
      <c r="H558" s="29"/>
      <c r="I558" s="81"/>
      <c r="J558" s="81"/>
      <c r="K558" s="103"/>
      <c r="L558" s="81"/>
      <c r="M558" s="103"/>
      <c r="N558" s="81"/>
      <c r="O558" s="81"/>
      <c r="P558" s="81"/>
      <c r="Q558" s="82"/>
    </row>
    <row r="559" spans="2:17" s="4" customFormat="1" ht="15.75" x14ac:dyDescent="0.25">
      <c r="B559" s="109"/>
      <c r="C559" s="29"/>
      <c r="D559" s="29"/>
      <c r="E559" s="29"/>
      <c r="F559" s="117"/>
      <c r="G559" s="29"/>
      <c r="H559" s="29"/>
      <c r="I559" s="81"/>
      <c r="J559" s="81"/>
      <c r="K559" s="103"/>
      <c r="L559" s="81"/>
      <c r="M559" s="103"/>
      <c r="N559" s="81"/>
      <c r="O559" s="81"/>
      <c r="P559" s="81"/>
      <c r="Q559" s="82"/>
    </row>
    <row r="560" spans="2:17" s="4" customFormat="1" ht="15.75" x14ac:dyDescent="0.25">
      <c r="B560" s="109"/>
      <c r="C560" s="29"/>
      <c r="D560" s="29"/>
      <c r="E560" s="29"/>
      <c r="F560" s="117"/>
      <c r="G560" s="29"/>
      <c r="H560" s="29"/>
      <c r="I560" s="81"/>
      <c r="J560" s="81"/>
      <c r="K560" s="103"/>
      <c r="L560" s="81"/>
      <c r="M560" s="103"/>
      <c r="N560" s="81"/>
      <c r="O560" s="81"/>
      <c r="P560" s="81"/>
      <c r="Q560" s="82"/>
    </row>
    <row r="561" spans="2:17" s="4" customFormat="1" ht="15.75" x14ac:dyDescent="0.25">
      <c r="B561" s="109"/>
      <c r="C561" s="29"/>
      <c r="D561" s="29"/>
      <c r="E561" s="29"/>
      <c r="F561" s="117"/>
      <c r="G561" s="29"/>
      <c r="H561" s="29"/>
      <c r="I561" s="81"/>
      <c r="J561" s="81"/>
      <c r="K561" s="103"/>
      <c r="L561" s="81"/>
      <c r="M561" s="103"/>
      <c r="N561" s="81"/>
      <c r="O561" s="81"/>
      <c r="P561" s="81"/>
      <c r="Q561" s="82"/>
    </row>
    <row r="562" spans="2:17" s="4" customFormat="1" ht="15.75" x14ac:dyDescent="0.25">
      <c r="B562" s="109"/>
      <c r="C562" s="29"/>
      <c r="D562" s="29"/>
      <c r="E562" s="29"/>
      <c r="F562" s="117"/>
      <c r="G562" s="29"/>
      <c r="H562" s="29"/>
      <c r="I562" s="81"/>
      <c r="J562" s="81"/>
      <c r="K562" s="103"/>
      <c r="L562" s="81"/>
      <c r="M562" s="103"/>
      <c r="N562" s="81"/>
      <c r="O562" s="81"/>
      <c r="P562" s="81"/>
      <c r="Q562" s="82"/>
    </row>
    <row r="563" spans="2:17" s="4" customFormat="1" ht="15.75" x14ac:dyDescent="0.25">
      <c r="B563" s="109"/>
      <c r="C563" s="29"/>
      <c r="D563" s="29"/>
      <c r="E563" s="29"/>
      <c r="F563" s="117"/>
      <c r="G563" s="29"/>
      <c r="H563" s="29"/>
      <c r="I563" s="81"/>
      <c r="J563" s="81"/>
      <c r="K563" s="103"/>
      <c r="L563" s="81"/>
      <c r="M563" s="103"/>
      <c r="N563" s="81"/>
      <c r="O563" s="81"/>
      <c r="P563" s="81"/>
      <c r="Q563" s="82"/>
    </row>
    <row r="564" spans="2:17" s="4" customFormat="1" ht="15.75" x14ac:dyDescent="0.25">
      <c r="B564" s="109"/>
      <c r="C564" s="29"/>
      <c r="D564" s="29"/>
      <c r="E564" s="29"/>
      <c r="F564" s="117"/>
      <c r="G564" s="29"/>
      <c r="H564" s="29"/>
      <c r="I564" s="81"/>
      <c r="J564" s="81"/>
      <c r="K564" s="103"/>
      <c r="L564" s="81"/>
      <c r="M564" s="103"/>
      <c r="N564" s="81"/>
      <c r="O564" s="81"/>
      <c r="P564" s="81"/>
      <c r="Q564" s="82"/>
    </row>
    <row r="565" spans="2:17" s="4" customFormat="1" ht="15.75" x14ac:dyDescent="0.25">
      <c r="B565" s="109"/>
      <c r="C565" s="29"/>
      <c r="D565" s="29"/>
      <c r="E565" s="29"/>
      <c r="F565" s="117"/>
      <c r="G565" s="29"/>
      <c r="H565" s="29"/>
      <c r="I565" s="81"/>
      <c r="J565" s="81"/>
      <c r="K565" s="103"/>
      <c r="L565" s="81"/>
      <c r="M565" s="103"/>
      <c r="N565" s="81"/>
      <c r="O565" s="81"/>
      <c r="P565" s="81"/>
      <c r="Q565" s="82"/>
    </row>
    <row r="566" spans="2:17" s="4" customFormat="1" ht="15.75" x14ac:dyDescent="0.25">
      <c r="B566" s="109"/>
      <c r="C566" s="29"/>
      <c r="D566" s="29"/>
      <c r="E566" s="29"/>
      <c r="F566" s="117"/>
      <c r="G566" s="29"/>
      <c r="H566" s="29"/>
      <c r="I566" s="81"/>
      <c r="J566" s="81"/>
      <c r="K566" s="103"/>
      <c r="L566" s="81"/>
      <c r="M566" s="103"/>
      <c r="N566" s="81"/>
      <c r="O566" s="81"/>
      <c r="P566" s="81"/>
      <c r="Q566" s="82"/>
    </row>
    <row r="567" spans="2:17" s="4" customFormat="1" ht="15.75" x14ac:dyDescent="0.25">
      <c r="B567" s="109"/>
      <c r="C567" s="29"/>
      <c r="D567" s="29"/>
      <c r="E567" s="29"/>
      <c r="F567" s="117"/>
      <c r="G567" s="29"/>
      <c r="H567" s="29"/>
      <c r="I567" s="81"/>
      <c r="J567" s="81"/>
      <c r="K567" s="103"/>
      <c r="L567" s="81"/>
      <c r="M567" s="103"/>
      <c r="N567" s="81"/>
      <c r="O567" s="81"/>
      <c r="P567" s="81"/>
      <c r="Q567" s="82"/>
    </row>
    <row r="568" spans="2:17" s="4" customFormat="1" ht="15.75" x14ac:dyDescent="0.25">
      <c r="B568" s="109"/>
      <c r="C568" s="29"/>
      <c r="D568" s="29"/>
      <c r="E568" s="29"/>
      <c r="F568" s="117"/>
      <c r="G568" s="29"/>
      <c r="H568" s="29"/>
      <c r="I568" s="81"/>
      <c r="J568" s="81"/>
      <c r="K568" s="103"/>
      <c r="L568" s="81"/>
      <c r="M568" s="103"/>
      <c r="N568" s="81"/>
      <c r="O568" s="81"/>
      <c r="P568" s="81"/>
      <c r="Q568" s="82"/>
    </row>
    <row r="569" spans="2:17" s="4" customFormat="1" ht="15.75" x14ac:dyDescent="0.25">
      <c r="B569" s="109"/>
      <c r="C569" s="29"/>
      <c r="D569" s="29"/>
      <c r="E569" s="29"/>
      <c r="F569" s="117"/>
      <c r="G569" s="29"/>
      <c r="H569" s="29"/>
      <c r="I569" s="81"/>
      <c r="J569" s="81"/>
      <c r="K569" s="103"/>
      <c r="L569" s="81"/>
      <c r="M569" s="103"/>
      <c r="N569" s="81"/>
      <c r="O569" s="81"/>
      <c r="P569" s="81"/>
      <c r="Q569" s="82"/>
    </row>
    <row r="570" spans="2:17" s="4" customFormat="1" ht="15.75" x14ac:dyDescent="0.25">
      <c r="B570" s="109"/>
      <c r="C570" s="29"/>
      <c r="D570" s="29"/>
      <c r="E570" s="29"/>
      <c r="F570" s="117"/>
      <c r="G570" s="29"/>
      <c r="H570" s="29"/>
      <c r="I570" s="81"/>
      <c r="J570" s="81"/>
      <c r="K570" s="103"/>
      <c r="L570" s="81"/>
      <c r="M570" s="103"/>
      <c r="N570" s="81"/>
      <c r="O570" s="81"/>
      <c r="P570" s="81"/>
      <c r="Q570" s="82"/>
    </row>
    <row r="571" spans="2:17" s="4" customFormat="1" ht="15.75" x14ac:dyDescent="0.25">
      <c r="B571" s="109"/>
      <c r="C571" s="29"/>
      <c r="D571" s="29"/>
      <c r="E571" s="29"/>
      <c r="F571" s="117"/>
      <c r="G571" s="29"/>
      <c r="H571" s="29"/>
      <c r="I571" s="81"/>
      <c r="J571" s="81"/>
      <c r="K571" s="103"/>
      <c r="L571" s="81"/>
      <c r="M571" s="103"/>
      <c r="N571" s="81"/>
      <c r="O571" s="81"/>
      <c r="P571" s="81"/>
      <c r="Q571" s="82"/>
    </row>
    <row r="572" spans="2:17" s="4" customFormat="1" ht="15.75" x14ac:dyDescent="0.25">
      <c r="B572" s="109"/>
      <c r="C572" s="29"/>
      <c r="D572" s="29"/>
      <c r="E572" s="29"/>
      <c r="F572" s="117"/>
      <c r="G572" s="29"/>
      <c r="H572" s="29"/>
      <c r="I572" s="81"/>
      <c r="J572" s="81"/>
      <c r="K572" s="103"/>
      <c r="L572" s="81"/>
      <c r="M572" s="103"/>
      <c r="N572" s="81"/>
      <c r="O572" s="81"/>
      <c r="P572" s="81"/>
      <c r="Q572" s="82"/>
    </row>
    <row r="573" spans="2:17" s="4" customFormat="1" ht="15.75" x14ac:dyDescent="0.25">
      <c r="B573" s="109"/>
      <c r="C573" s="29"/>
      <c r="D573" s="29"/>
      <c r="E573" s="29"/>
      <c r="F573" s="117"/>
      <c r="G573" s="29"/>
      <c r="H573" s="29"/>
      <c r="I573" s="81"/>
      <c r="J573" s="81"/>
      <c r="K573" s="103"/>
      <c r="L573" s="81"/>
      <c r="M573" s="103"/>
      <c r="N573" s="81"/>
      <c r="O573" s="81"/>
      <c r="P573" s="81"/>
      <c r="Q573" s="82"/>
    </row>
    <row r="574" spans="2:17" s="4" customFormat="1" ht="15.75" x14ac:dyDescent="0.25">
      <c r="B574" s="109"/>
      <c r="C574" s="29"/>
      <c r="D574" s="29"/>
      <c r="E574" s="29"/>
      <c r="F574" s="117"/>
      <c r="G574" s="29"/>
      <c r="H574" s="29"/>
      <c r="I574" s="81"/>
      <c r="J574" s="81"/>
      <c r="K574" s="103"/>
      <c r="L574" s="81"/>
      <c r="M574" s="103"/>
      <c r="N574" s="81"/>
      <c r="O574" s="81"/>
      <c r="P574" s="81"/>
      <c r="Q574" s="82"/>
    </row>
    <row r="575" spans="2:17" s="4" customFormat="1" ht="15.75" x14ac:dyDescent="0.25">
      <c r="B575" s="109"/>
      <c r="C575" s="29"/>
      <c r="D575" s="29"/>
      <c r="E575" s="29"/>
      <c r="F575" s="117"/>
      <c r="G575" s="29"/>
      <c r="H575" s="29"/>
      <c r="I575" s="81"/>
      <c r="J575" s="81"/>
      <c r="K575" s="103"/>
      <c r="L575" s="81"/>
      <c r="M575" s="103"/>
      <c r="N575" s="81"/>
      <c r="O575" s="81"/>
      <c r="P575" s="81"/>
      <c r="Q575" s="82"/>
    </row>
    <row r="576" spans="2:17" s="4" customFormat="1" ht="15.75" x14ac:dyDescent="0.25">
      <c r="B576" s="109"/>
      <c r="C576" s="29"/>
      <c r="D576" s="29"/>
      <c r="E576" s="29"/>
      <c r="F576" s="117"/>
      <c r="G576" s="29"/>
      <c r="H576" s="29"/>
      <c r="I576" s="81"/>
      <c r="J576" s="81"/>
      <c r="K576" s="103"/>
      <c r="L576" s="81"/>
      <c r="M576" s="103"/>
      <c r="N576" s="81"/>
      <c r="O576" s="81"/>
      <c r="P576" s="81"/>
      <c r="Q576" s="82"/>
    </row>
    <row r="577" spans="2:17" s="4" customFormat="1" ht="15.75" x14ac:dyDescent="0.25">
      <c r="B577" s="109"/>
      <c r="C577" s="29"/>
      <c r="D577" s="29"/>
      <c r="E577" s="29"/>
      <c r="F577" s="117"/>
      <c r="G577" s="29"/>
      <c r="H577" s="29"/>
      <c r="I577" s="81"/>
      <c r="J577" s="81"/>
      <c r="K577" s="103"/>
      <c r="L577" s="81"/>
      <c r="M577" s="103"/>
      <c r="N577" s="81"/>
      <c r="O577" s="81"/>
      <c r="P577" s="81"/>
      <c r="Q577" s="82"/>
    </row>
    <row r="578" spans="2:17" s="4" customFormat="1" ht="15.75" x14ac:dyDescent="0.25">
      <c r="B578" s="109"/>
      <c r="C578" s="29"/>
      <c r="D578" s="29"/>
      <c r="E578" s="29"/>
      <c r="F578" s="117"/>
      <c r="G578" s="29"/>
      <c r="H578" s="29"/>
      <c r="I578" s="81"/>
      <c r="J578" s="81"/>
      <c r="K578" s="103"/>
      <c r="L578" s="81"/>
      <c r="M578" s="103"/>
      <c r="N578" s="81"/>
      <c r="O578" s="81"/>
      <c r="P578" s="81"/>
      <c r="Q578" s="82"/>
    </row>
    <row r="579" spans="2:17" s="4" customFormat="1" ht="15.75" x14ac:dyDescent="0.25">
      <c r="B579" s="109"/>
      <c r="C579" s="29"/>
      <c r="D579" s="29"/>
      <c r="E579" s="29"/>
      <c r="F579" s="117"/>
      <c r="G579" s="29"/>
      <c r="H579" s="29"/>
      <c r="I579" s="81"/>
      <c r="J579" s="81"/>
      <c r="K579" s="103"/>
      <c r="L579" s="81"/>
      <c r="M579" s="103"/>
      <c r="N579" s="81"/>
      <c r="O579" s="81"/>
      <c r="P579" s="81"/>
      <c r="Q579" s="82"/>
    </row>
    <row r="580" spans="2:17" s="4" customFormat="1" ht="15.75" x14ac:dyDescent="0.25">
      <c r="B580" s="109"/>
      <c r="C580" s="29"/>
      <c r="D580" s="29"/>
      <c r="E580" s="29"/>
      <c r="F580" s="117"/>
      <c r="G580" s="29"/>
      <c r="H580" s="29"/>
      <c r="I580" s="81"/>
      <c r="J580" s="81"/>
      <c r="K580" s="103"/>
      <c r="L580" s="81"/>
      <c r="M580" s="103"/>
      <c r="N580" s="81"/>
      <c r="O580" s="81"/>
      <c r="P580" s="81"/>
      <c r="Q580" s="82"/>
    </row>
    <row r="581" spans="2:17" s="4" customFormat="1" ht="15.75" x14ac:dyDescent="0.25">
      <c r="B581" s="109"/>
      <c r="C581" s="29"/>
      <c r="D581" s="29"/>
      <c r="E581" s="29"/>
      <c r="F581" s="117"/>
      <c r="G581" s="29"/>
      <c r="H581" s="29"/>
      <c r="I581" s="81"/>
      <c r="J581" s="81"/>
      <c r="K581" s="103"/>
      <c r="L581" s="81"/>
      <c r="M581" s="103"/>
      <c r="N581" s="81"/>
      <c r="O581" s="81"/>
      <c r="P581" s="81"/>
      <c r="Q581" s="82"/>
    </row>
    <row r="582" spans="2:17" s="4" customFormat="1" ht="15.75" x14ac:dyDescent="0.25">
      <c r="B582" s="109"/>
      <c r="C582" s="29"/>
      <c r="D582" s="29"/>
      <c r="E582" s="29"/>
      <c r="F582" s="117"/>
      <c r="G582" s="29"/>
      <c r="H582" s="29"/>
      <c r="I582" s="81"/>
      <c r="J582" s="81"/>
      <c r="K582" s="103"/>
      <c r="L582" s="81"/>
      <c r="M582" s="103"/>
      <c r="N582" s="81"/>
      <c r="O582" s="81"/>
      <c r="P582" s="81"/>
      <c r="Q582" s="82"/>
    </row>
    <row r="583" spans="2:17" s="4" customFormat="1" ht="15.75" x14ac:dyDescent="0.25">
      <c r="B583" s="109"/>
      <c r="C583" s="29"/>
      <c r="D583" s="29"/>
      <c r="E583" s="29"/>
      <c r="F583" s="117"/>
      <c r="G583" s="29"/>
      <c r="H583" s="29"/>
      <c r="I583" s="81"/>
      <c r="J583" s="81"/>
      <c r="K583" s="103"/>
      <c r="L583" s="81"/>
      <c r="M583" s="103"/>
      <c r="N583" s="81"/>
      <c r="O583" s="81"/>
      <c r="P583" s="81"/>
      <c r="Q583" s="82"/>
    </row>
    <row r="584" spans="2:17" s="4" customFormat="1" ht="15.75" x14ac:dyDescent="0.25">
      <c r="B584" s="109"/>
      <c r="C584" s="29"/>
      <c r="D584" s="29"/>
      <c r="E584" s="29"/>
      <c r="F584" s="117"/>
      <c r="G584" s="29"/>
      <c r="H584" s="29"/>
      <c r="I584" s="81"/>
      <c r="J584" s="81"/>
      <c r="K584" s="103"/>
      <c r="L584" s="81"/>
      <c r="M584" s="103"/>
      <c r="N584" s="81"/>
      <c r="O584" s="81"/>
      <c r="P584" s="81"/>
      <c r="Q584" s="82"/>
    </row>
    <row r="585" spans="2:17" s="4" customFormat="1" ht="15.75" x14ac:dyDescent="0.25">
      <c r="B585" s="109"/>
      <c r="C585" s="29"/>
      <c r="D585" s="29"/>
      <c r="E585" s="29"/>
      <c r="F585" s="117"/>
      <c r="G585" s="29"/>
      <c r="H585" s="29"/>
      <c r="I585" s="81"/>
      <c r="J585" s="81"/>
      <c r="K585" s="103"/>
      <c r="L585" s="81"/>
      <c r="M585" s="103"/>
      <c r="N585" s="81"/>
      <c r="O585" s="81"/>
      <c r="P585" s="81"/>
      <c r="Q585" s="82"/>
    </row>
    <row r="586" spans="2:17" s="4" customFormat="1" ht="15.75" x14ac:dyDescent="0.25">
      <c r="B586" s="109"/>
      <c r="C586" s="29"/>
      <c r="D586" s="29"/>
      <c r="E586" s="29"/>
      <c r="F586" s="117"/>
      <c r="G586" s="29"/>
      <c r="H586" s="29"/>
      <c r="I586" s="81"/>
      <c r="J586" s="81"/>
      <c r="K586" s="103"/>
      <c r="L586" s="81"/>
      <c r="M586" s="103"/>
      <c r="N586" s="81"/>
      <c r="O586" s="81"/>
      <c r="P586" s="81"/>
      <c r="Q586" s="82"/>
    </row>
    <row r="587" spans="2:17" s="4" customFormat="1" ht="15.75" x14ac:dyDescent="0.25">
      <c r="B587" s="109"/>
      <c r="C587" s="29"/>
      <c r="D587" s="29"/>
      <c r="E587" s="29"/>
      <c r="F587" s="117"/>
      <c r="G587" s="29"/>
      <c r="H587" s="29"/>
      <c r="I587" s="81"/>
      <c r="J587" s="81"/>
      <c r="K587" s="103"/>
      <c r="L587" s="81"/>
      <c r="M587" s="103"/>
      <c r="N587" s="81"/>
      <c r="O587" s="81"/>
      <c r="P587" s="81"/>
      <c r="Q587" s="82"/>
    </row>
    <row r="588" spans="2:17" s="4" customFormat="1" ht="15.75" x14ac:dyDescent="0.25">
      <c r="B588" s="109"/>
      <c r="C588" s="29"/>
      <c r="D588" s="29"/>
      <c r="E588" s="29"/>
      <c r="F588" s="117"/>
      <c r="G588" s="29"/>
      <c r="H588" s="29"/>
      <c r="I588" s="81"/>
      <c r="J588" s="81"/>
      <c r="K588" s="103"/>
      <c r="L588" s="81"/>
      <c r="M588" s="103"/>
      <c r="N588" s="81"/>
      <c r="O588" s="81"/>
      <c r="P588" s="81"/>
      <c r="Q588" s="82"/>
    </row>
    <row r="589" spans="2:17" s="4" customFormat="1" ht="15.75" x14ac:dyDescent="0.25">
      <c r="B589" s="109"/>
      <c r="C589" s="29"/>
      <c r="D589" s="29"/>
      <c r="E589" s="29"/>
      <c r="F589" s="117"/>
      <c r="G589" s="29"/>
      <c r="H589" s="29"/>
      <c r="I589" s="81"/>
      <c r="J589" s="81"/>
      <c r="K589" s="103"/>
      <c r="L589" s="81"/>
      <c r="M589" s="103"/>
      <c r="N589" s="81"/>
      <c r="O589" s="81"/>
      <c r="P589" s="81"/>
      <c r="Q589" s="82"/>
    </row>
    <row r="590" spans="2:17" s="4" customFormat="1" ht="15.75" x14ac:dyDescent="0.25">
      <c r="B590" s="109"/>
      <c r="C590" s="29"/>
      <c r="D590" s="29"/>
      <c r="E590" s="29"/>
      <c r="F590" s="117"/>
      <c r="G590" s="29"/>
      <c r="H590" s="29"/>
      <c r="I590" s="81"/>
      <c r="J590" s="81"/>
      <c r="K590" s="103"/>
      <c r="L590" s="81"/>
      <c r="M590" s="103"/>
      <c r="N590" s="81"/>
      <c r="O590" s="81"/>
      <c r="P590" s="81"/>
      <c r="Q590" s="82"/>
    </row>
    <row r="591" spans="2:17" s="4" customFormat="1" ht="15.75" x14ac:dyDescent="0.25">
      <c r="B591" s="109"/>
      <c r="C591" s="29"/>
      <c r="D591" s="29"/>
      <c r="E591" s="29"/>
      <c r="F591" s="117"/>
      <c r="G591" s="29"/>
      <c r="H591" s="29"/>
      <c r="I591" s="81"/>
      <c r="J591" s="81"/>
      <c r="K591" s="103"/>
      <c r="L591" s="81"/>
      <c r="M591" s="103"/>
      <c r="N591" s="81"/>
      <c r="O591" s="81"/>
      <c r="P591" s="81"/>
      <c r="Q591" s="82"/>
    </row>
    <row r="592" spans="2:17" s="4" customFormat="1" ht="15.75" x14ac:dyDescent="0.25">
      <c r="B592" s="109"/>
      <c r="C592" s="29"/>
      <c r="D592" s="29"/>
      <c r="E592" s="29"/>
      <c r="F592" s="117"/>
      <c r="G592" s="29"/>
      <c r="H592" s="29"/>
      <c r="I592" s="81"/>
      <c r="J592" s="81"/>
      <c r="K592" s="103"/>
      <c r="L592" s="81"/>
      <c r="M592" s="103"/>
      <c r="N592" s="81"/>
      <c r="O592" s="81"/>
      <c r="P592" s="81"/>
      <c r="Q592" s="82"/>
    </row>
    <row r="593" spans="2:17" s="4" customFormat="1" ht="15.75" x14ac:dyDescent="0.25">
      <c r="B593" s="109"/>
      <c r="C593" s="29"/>
      <c r="D593" s="29"/>
      <c r="E593" s="29"/>
      <c r="F593" s="117"/>
      <c r="G593" s="29"/>
      <c r="H593" s="29"/>
      <c r="I593" s="81"/>
      <c r="J593" s="81"/>
      <c r="K593" s="103"/>
      <c r="L593" s="81"/>
      <c r="M593" s="103"/>
      <c r="N593" s="81"/>
      <c r="O593" s="81"/>
      <c r="P593" s="81"/>
      <c r="Q593" s="82"/>
    </row>
    <row r="594" spans="2:17" s="4" customFormat="1" ht="15.75" x14ac:dyDescent="0.25">
      <c r="B594" s="109"/>
      <c r="C594" s="29"/>
      <c r="D594" s="29"/>
      <c r="E594" s="29"/>
      <c r="F594" s="117"/>
      <c r="G594" s="29"/>
      <c r="H594" s="29"/>
      <c r="I594" s="81"/>
      <c r="J594" s="81"/>
      <c r="K594" s="103"/>
      <c r="L594" s="81"/>
      <c r="M594" s="103"/>
      <c r="N594" s="81"/>
      <c r="O594" s="81"/>
      <c r="P594" s="81"/>
      <c r="Q594" s="82"/>
    </row>
    <row r="595" spans="2:17" s="4" customFormat="1" ht="15.75" x14ac:dyDescent="0.25">
      <c r="B595" s="109"/>
      <c r="C595" s="29"/>
      <c r="D595" s="29"/>
      <c r="E595" s="29"/>
      <c r="F595" s="117"/>
      <c r="G595" s="29"/>
      <c r="H595" s="29"/>
      <c r="I595" s="81"/>
      <c r="J595" s="81"/>
      <c r="K595" s="103"/>
      <c r="L595" s="81"/>
      <c r="M595" s="103"/>
      <c r="N595" s="81"/>
      <c r="O595" s="81"/>
      <c r="P595" s="81"/>
      <c r="Q595" s="82"/>
    </row>
    <row r="596" spans="2:17" s="4" customFormat="1" ht="15.75" x14ac:dyDescent="0.25">
      <c r="B596" s="109"/>
      <c r="C596" s="29"/>
      <c r="D596" s="29"/>
      <c r="E596" s="29"/>
      <c r="F596" s="117"/>
      <c r="G596" s="29"/>
      <c r="H596" s="29"/>
      <c r="I596" s="81"/>
      <c r="J596" s="81"/>
      <c r="K596" s="103"/>
      <c r="L596" s="81"/>
      <c r="M596" s="103"/>
      <c r="N596" s="81"/>
      <c r="O596" s="81"/>
      <c r="P596" s="81"/>
      <c r="Q596" s="82"/>
    </row>
    <row r="597" spans="2:17" s="4" customFormat="1" ht="15.75" x14ac:dyDescent="0.25">
      <c r="B597" s="109"/>
      <c r="C597" s="29"/>
      <c r="D597" s="29"/>
      <c r="E597" s="29"/>
      <c r="F597" s="117"/>
      <c r="G597" s="29"/>
      <c r="H597" s="29"/>
      <c r="I597" s="81"/>
      <c r="J597" s="81"/>
      <c r="K597" s="103"/>
      <c r="L597" s="81"/>
      <c r="M597" s="103"/>
      <c r="N597" s="81"/>
      <c r="O597" s="81"/>
      <c r="P597" s="81"/>
      <c r="Q597" s="82"/>
    </row>
    <row r="598" spans="2:17" s="4" customFormat="1" ht="15.75" x14ac:dyDescent="0.25">
      <c r="B598" s="109"/>
      <c r="C598" s="29"/>
      <c r="D598" s="29"/>
      <c r="E598" s="29"/>
      <c r="F598" s="117"/>
      <c r="G598" s="29"/>
      <c r="H598" s="29"/>
      <c r="I598" s="81"/>
      <c r="J598" s="81"/>
      <c r="K598" s="103"/>
      <c r="L598" s="81"/>
      <c r="M598" s="103"/>
      <c r="N598" s="81"/>
      <c r="O598" s="81"/>
      <c r="P598" s="81"/>
      <c r="Q598" s="82"/>
    </row>
    <row r="599" spans="2:17" s="4" customFormat="1" ht="15.75" x14ac:dyDescent="0.25">
      <c r="B599" s="109"/>
      <c r="C599" s="29"/>
      <c r="D599" s="29"/>
      <c r="E599" s="29"/>
      <c r="F599" s="117"/>
      <c r="G599" s="29"/>
      <c r="H599" s="29"/>
      <c r="I599" s="81"/>
      <c r="J599" s="81"/>
      <c r="K599" s="103"/>
      <c r="L599" s="81"/>
      <c r="M599" s="103"/>
      <c r="N599" s="81"/>
      <c r="O599" s="81"/>
      <c r="P599" s="81"/>
      <c r="Q599" s="82"/>
    </row>
    <row r="600" spans="2:17" s="4" customFormat="1" ht="15.75" x14ac:dyDescent="0.25">
      <c r="B600" s="109"/>
      <c r="C600" s="29"/>
      <c r="D600" s="29"/>
      <c r="E600" s="29"/>
      <c r="F600" s="117"/>
      <c r="G600" s="29"/>
      <c r="H600" s="29"/>
      <c r="I600" s="81"/>
      <c r="J600" s="81"/>
      <c r="K600" s="103"/>
      <c r="L600" s="81"/>
      <c r="M600" s="103"/>
      <c r="N600" s="81"/>
      <c r="O600" s="81"/>
      <c r="P600" s="81"/>
      <c r="Q600" s="82"/>
    </row>
  </sheetData>
  <autoFilter ref="B4:Q403"/>
  <mergeCells count="2">
    <mergeCell ref="F1:M1"/>
    <mergeCell ref="G3:H3"/>
  </mergeCells>
  <conditionalFormatting sqref="N1:N4 N29:N1048576">
    <cfRule type="cellIs" dxfId="1" priority="8" operator="between">
      <formula>-0.001</formula>
      <formula>-999999999</formula>
    </cfRule>
  </conditionalFormatting>
  <conditionalFormatting sqref="N5:N31">
    <cfRule type="cellIs" dxfId="0" priority="1" operator="between">
      <formula>-0.001</formula>
      <formula>-999999999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73"/>
  <sheetViews>
    <sheetView showGridLines="0" workbookViewId="0">
      <selection activeCell="D15" sqref="D15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4" width="16.7109375" style="1" customWidth="1"/>
    <col min="5" max="5" width="2.42578125" customWidth="1"/>
  </cols>
  <sheetData>
    <row r="1" spans="2:11" ht="15.75" thickBot="1" x14ac:dyDescent="0.3"/>
    <row r="2" spans="2:11" x14ac:dyDescent="0.25">
      <c r="B2" s="135" t="s">
        <v>37</v>
      </c>
      <c r="C2" s="135" t="s">
        <v>2</v>
      </c>
      <c r="D2" s="140" t="s">
        <v>38</v>
      </c>
    </row>
    <row r="3" spans="2:11" ht="15.75" customHeight="1" thickBot="1" x14ac:dyDescent="0.3">
      <c r="B3" s="136"/>
      <c r="C3" s="136"/>
      <c r="D3" s="142"/>
    </row>
    <row r="4" spans="2:11" x14ac:dyDescent="0.25">
      <c r="B4" s="146" t="s">
        <v>36</v>
      </c>
      <c r="C4" s="12" t="s">
        <v>15</v>
      </c>
      <c r="D4" s="9">
        <f>IF(SUM(COUNTIF('Raw Data'!H5:H500,{"B"})),SUM(SUMIF('Raw Data'!H5:H500,{"B"}, 'Raw Data'!K5:K500))/SUM(COUNTIF('Raw Data'!H5:H500,{"B"})),"NA")</f>
        <v>0.52038151117064502</v>
      </c>
      <c r="K4" s="2">
        <f>SUM('Product Margin Analysis'!D4)</f>
        <v>0.52038151117064502</v>
      </c>
    </row>
    <row r="5" spans="2:11" ht="15.75" thickBot="1" x14ac:dyDescent="0.3">
      <c r="B5" s="147"/>
      <c r="C5" s="13" t="s">
        <v>16</v>
      </c>
      <c r="D5" s="11" t="str">
        <f>IF(SUM(COUNTIF('Raw Data'!H5:H500,{"K"})),SUM(SUMIF('Raw Data'!H5:H500,{"K"},'Raw Data'!K5:K500))/SUM(COUNTIF('Raw Data'!H5:H500,{"K"})),"NA")</f>
        <v>NA</v>
      </c>
    </row>
    <row r="6" spans="2:11" x14ac:dyDescent="0.25">
      <c r="B6" s="148" t="s">
        <v>35</v>
      </c>
      <c r="C6" s="12" t="s">
        <v>24</v>
      </c>
      <c r="D6" s="9">
        <f>IF(SUM(COUNTIF('Raw Data'!H5:H500,{"FP","FP-LC","FP-IR","FP-VP","FP-OP"})),SUM(SUMIF('Raw Data'!H5:H500,{"FP","FP-LC","FP-IR","FP-VP","FP-OP"}, 'Raw Data'!K5:K500))/SUM(COUNTIF('Raw Data'!H5:H500,{"FP","FP-LC","FP-IR","FP-VP","FP-OP"})),"NA")</f>
        <v>0.54335604392645953</v>
      </c>
    </row>
    <row r="7" spans="2:11" x14ac:dyDescent="0.25">
      <c r="B7" s="149"/>
      <c r="C7" s="7" t="s">
        <v>14</v>
      </c>
      <c r="D7" s="10">
        <f>IF(SUM(COUNTIF('Raw Data'!H5:H500,{"IR","IR-LC","IR-FP","IR-VP","IR-OP","IR-Sky"})),SUM(SUMIF('Raw Data'!H5:H500,{"IR","IR-LC","IR-FP","IR-VP","IR-OP","IR-Sky"}, 'Raw Data'!K5:K500))/SUM(COUNTIF('Raw Data'!H5:H500,{"IR","IR-LC","IR-FP","IR-VP","IR-OP","IR-Sky"})), "NA")</f>
        <v>0.50690094726189272</v>
      </c>
    </row>
    <row r="8" spans="2:11" x14ac:dyDescent="0.25">
      <c r="B8" s="149"/>
      <c r="C8" s="7" t="s">
        <v>17</v>
      </c>
      <c r="D8" s="10">
        <f>IF(SUM(COUNTIF('Raw Data'!H5:H500,{"LC","LC-IR","LC-FP","LC-VP","LC-OP","LC-Sky"})),SUM(SUMIF('Raw Data'!H5:H500,{"LC","LC-IR","LC-FP","LC-VP","LC-OP","LC-Sky"}, 'Raw Data'!K5:K500))/SUM(COUNTIF('Raw Data'!H5:H500,{"LC","LC-IR","LC-FP","LC-VP","LC-OP","LC-Sky"})),"NA")</f>
        <v>0.51778973752017077</v>
      </c>
    </row>
    <row r="9" spans="2:11" x14ac:dyDescent="0.25">
      <c r="B9" s="149"/>
      <c r="C9" s="7" t="s">
        <v>19</v>
      </c>
      <c r="D9" s="10" t="str">
        <f>IF(SUM(COUNTIF('Raw Data'!H5:H500,{"OP","OP-IR","OP-FP","OP-VP","OP-LC"})),SUM(SUMIF('Raw Data'!H5:H500,{"OP","OP-IR","OP-FP","OP-VP","OP-LC"}, 'Raw Data'!K5:K500))/SUM(COUNTIF('Raw Data'!H5:H500,{"OP","OP-IR","OP-FP","OP-VP","OP-LC"})),"NA")</f>
        <v>NA</v>
      </c>
    </row>
    <row r="10" spans="2:11" ht="15.75" thickBot="1" x14ac:dyDescent="0.3">
      <c r="B10" s="150"/>
      <c r="C10" s="13" t="s">
        <v>22</v>
      </c>
      <c r="D10" s="11">
        <f>IF(SUM(COUNTIF('Raw Data'!H5:H500,{"VP","VP-IR","VP-FP","VP-OP","VP-LC"})),SUM(SUMIF('Raw Data'!H5:H500,{"VP","VP-IR","VP-FP","VP-OP","VP-LC"}, 'Raw Data'!K5:K500))/SUM(COUNTIF('Raw Data'!H5:H500,{"VP","VP-IR","VP-FP","VP-OP","VP-LC"})),"NA")</f>
        <v>0.51215780828159396</v>
      </c>
    </row>
    <row r="11" spans="2:11" x14ac:dyDescent="0.25">
      <c r="B11" s="151" t="s">
        <v>33</v>
      </c>
      <c r="C11" s="12" t="s">
        <v>29</v>
      </c>
      <c r="D11" s="9">
        <f>IF(SUM(COUNTIF('Raw Data'!H5:H500,{"SR-206","SR-206-Sky"})),SUM(SUMIF('Raw Data'!H5:H500,{"SR-206","SR-206-Sky"}, 'Raw Data'!K5:K500))/SUM(COUNTIF('Raw Data'!H5:H500,{"SR-206","SR-206-Sky"})),"NA")</f>
        <v>0.40672377942531468</v>
      </c>
    </row>
    <row r="12" spans="2:11" x14ac:dyDescent="0.25">
      <c r="B12" s="152"/>
      <c r="C12" s="7" t="s">
        <v>28</v>
      </c>
      <c r="D12" s="10">
        <f>IF(SUM(COUNTIF('Raw Data'!H5:H500,{"SR-306","SR-306-Sky"})),SUM(SUMIF('Raw Data'!H5:H500,{"SR-306","SR-306-Sky"}, 'Raw Data'!K5:K500))/SUM(COUNTIF('Raw Data'!H5:H500,{"SR-306","SR-306-Sky"})),"NA")</f>
        <v>0.52477694524684737</v>
      </c>
    </row>
    <row r="13" spans="2:11" x14ac:dyDescent="0.25">
      <c r="B13" s="152"/>
      <c r="C13" s="7" t="s">
        <v>30</v>
      </c>
      <c r="D13" s="10">
        <f>IF(SUM(COUNTIF('Raw Data'!H5:H500,{"SR-406","SR-406-Sky"})),SUM(SUMIF('Raw Data'!H5:H500,{"SR-406","SR-406-Sky"}, 'Raw Data'!K5:K500))/SUM(COUNTIF('Raw Data'!H5:H500,{"SR-406","SR-406-Sky"})),"NA")</f>
        <v>0.5574079901682969</v>
      </c>
    </row>
    <row r="14" spans="2:11" x14ac:dyDescent="0.25">
      <c r="B14" s="152"/>
      <c r="C14" s="7" t="s">
        <v>27</v>
      </c>
      <c r="D14" s="10">
        <f>IF(SUM(COUNTIF('Raw Data'!H5:H500,{"SR-VV"})),SUM(SUMIF('Raw Data'!H5:H500,{"SR-VV"}, 'Raw Data'!K5:K500))/SUM(COUNTIF('Raw Data'!H5:H500,{"SR-VV"})),"NA")</f>
        <v>0.51261028094569949</v>
      </c>
    </row>
    <row r="15" spans="2:11" ht="15.75" thickBot="1" x14ac:dyDescent="0.3">
      <c r="B15" s="153"/>
      <c r="C15" s="13" t="s">
        <v>31</v>
      </c>
      <c r="D15" s="11" t="str">
        <f>IF(SUM(COUNTIF('Raw Data'!H6:H501,{"SCR-WO"})),SUM(SUMIF('Raw Data'!H6:H501,{"SCR-WO"}, 'Raw Data'!K6:K501))/SUM(COUNTIF('Raw Data'!H6:H501,{"SCR-WO"})),"NA")</f>
        <v>NA</v>
      </c>
    </row>
    <row r="16" spans="2:11" x14ac:dyDescent="0.25">
      <c r="B16" s="143" t="s">
        <v>34</v>
      </c>
      <c r="C16" s="12" t="s">
        <v>54</v>
      </c>
      <c r="D16" s="80">
        <f>IF(SUM(COUNTIF('Raw Data'!H4:H499,{"D"})),SUM(SUMIF('Raw Data'!H4:H499,{"D"}, 'Raw Data'!K4:K499))/SUM(COUNTIF('Raw Data'!H4:H499,{"D"})),"NA")</f>
        <v>0.47375676718888299</v>
      </c>
    </row>
    <row r="17" spans="2:4" x14ac:dyDescent="0.25">
      <c r="B17" s="144"/>
      <c r="C17" s="8" t="s">
        <v>13</v>
      </c>
      <c r="D17" s="10">
        <f>IF(SUM(COUNTIF('Raw Data'!H5:H500,{"W (A)"})),SUM(SUMIF('Raw Data'!H5:H500,{"W (A)"}, 'Raw Data'!K5:K500))/SUM(COUNTIF('Raw Data'!H5:H500,{"W (A)"})),"NA")</f>
        <v>0.56588618393206336</v>
      </c>
    </row>
    <row r="18" spans="2:4" ht="15.75" thickBot="1" x14ac:dyDescent="0.3">
      <c r="B18" s="145"/>
      <c r="C18" s="13" t="s">
        <v>18</v>
      </c>
      <c r="D18" s="14">
        <f>IF(SUM(COUNTIF('Raw Data'!H5:H500,{"W"})),SUM(SUMIF('Raw Data'!H5:H500,{"W"}, 'Raw Data'!K5:K500))/SUM(COUNTIF('Raw Data'!H5:H500,{"W"})),"NA")</f>
        <v>0.48054287737431844</v>
      </c>
    </row>
    <row r="19" spans="2:4" ht="15.75" customHeight="1" thickBot="1" x14ac:dyDescent="0.3">
      <c r="B19" s="133" t="s">
        <v>32</v>
      </c>
      <c r="C19" s="134"/>
      <c r="D19" s="5">
        <f>'Raw Data'!$K$3</f>
        <v>0.5055785035357041</v>
      </c>
    </row>
    <row r="20" spans="2:4" ht="15.75" thickBot="1" x14ac:dyDescent="0.3"/>
    <row r="21" spans="2:4" ht="15" customHeight="1" x14ac:dyDescent="0.25">
      <c r="B21" s="139" t="s">
        <v>37</v>
      </c>
      <c r="C21" s="140"/>
      <c r="D21" s="135" t="s">
        <v>51</v>
      </c>
    </row>
    <row r="22" spans="2:4" ht="15.75" customHeight="1" thickBot="1" x14ac:dyDescent="0.3">
      <c r="B22" s="141"/>
      <c r="C22" s="142"/>
      <c r="D22" s="136"/>
    </row>
    <row r="23" spans="2:4" ht="15.75" thickBot="1" x14ac:dyDescent="0.3">
      <c r="B23" s="137" t="s">
        <v>60</v>
      </c>
      <c r="C23" s="138"/>
      <c r="D23" s="57">
        <f>D4</f>
        <v>0.52038151117064502</v>
      </c>
    </row>
    <row r="24" spans="2:4" ht="15.75" thickBot="1" x14ac:dyDescent="0.3">
      <c r="B24" s="137" t="s">
        <v>58</v>
      </c>
      <c r="C24" s="138"/>
      <c r="D24" s="57" t="str">
        <f>D5</f>
        <v>NA</v>
      </c>
    </row>
    <row r="25" spans="2:4" ht="15.75" thickBot="1" x14ac:dyDescent="0.3">
      <c r="B25" s="127" t="s">
        <v>35</v>
      </c>
      <c r="C25" s="128"/>
      <c r="D25" s="57">
        <f>AVERAGE(D6:D10)</f>
        <v>0.52005113424752925</v>
      </c>
    </row>
    <row r="26" spans="2:4" ht="15.75" thickBot="1" x14ac:dyDescent="0.3">
      <c r="B26" s="129" t="s">
        <v>33</v>
      </c>
      <c r="C26" s="130"/>
      <c r="D26" s="57">
        <f>AVERAGE(D11:D15)</f>
        <v>0.50037974894653958</v>
      </c>
    </row>
    <row r="27" spans="2:4" ht="15.75" thickBot="1" x14ac:dyDescent="0.3">
      <c r="B27" s="131" t="s">
        <v>34</v>
      </c>
      <c r="C27" s="132"/>
      <c r="D27" s="57">
        <f>AVERAGE(D16:D18)</f>
        <v>0.50672860949842169</v>
      </c>
    </row>
    <row r="28" spans="2:4" ht="16.5" thickBot="1" x14ac:dyDescent="0.3">
      <c r="B28" s="133" t="s">
        <v>32</v>
      </c>
      <c r="C28" s="134"/>
      <c r="D28" s="5">
        <f>'Raw Data'!$K$3</f>
        <v>0.5055785035357041</v>
      </c>
    </row>
    <row r="29" spans="2:4" x14ac:dyDescent="0.25">
      <c r="B29" s="50"/>
    </row>
    <row r="30" spans="2:4" x14ac:dyDescent="0.25">
      <c r="B30" s="50"/>
    </row>
    <row r="31" spans="2:4" x14ac:dyDescent="0.25">
      <c r="B31" s="50"/>
    </row>
    <row r="36" spans="2:28" x14ac:dyDescent="0.25">
      <c r="B36" s="50"/>
    </row>
    <row r="37" spans="2:28" ht="15.75" thickBot="1" x14ac:dyDescent="0.3"/>
    <row r="38" spans="2:28" x14ac:dyDescent="0.25">
      <c r="F38" s="54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</row>
    <row r="39" spans="2:28" x14ac:dyDescent="0.25">
      <c r="F39" s="5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/>
    </row>
    <row r="40" spans="2:28" x14ac:dyDescent="0.25">
      <c r="F40" s="5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/>
    </row>
    <row r="41" spans="2:28" x14ac:dyDescent="0.25">
      <c r="F41" s="5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/>
    </row>
    <row r="42" spans="2:28" x14ac:dyDescent="0.25">
      <c r="F42" s="5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/>
    </row>
    <row r="43" spans="2:28" x14ac:dyDescent="0.25">
      <c r="F43" s="5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6"/>
    </row>
    <row r="44" spans="2:28" x14ac:dyDescent="0.25">
      <c r="F44" s="5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6"/>
    </row>
    <row r="45" spans="2:28" x14ac:dyDescent="0.25">
      <c r="F45" s="5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6"/>
    </row>
    <row r="46" spans="2:28" x14ac:dyDescent="0.25">
      <c r="F46" s="5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6"/>
    </row>
    <row r="47" spans="2:28" x14ac:dyDescent="0.25">
      <c r="F47" s="5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6"/>
    </row>
    <row r="48" spans="2:28" x14ac:dyDescent="0.25">
      <c r="F48" s="5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6"/>
    </row>
    <row r="49" spans="6:28" x14ac:dyDescent="0.25">
      <c r="F49" s="5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6"/>
    </row>
    <row r="50" spans="6:28" x14ac:dyDescent="0.25">
      <c r="F50" s="5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6"/>
    </row>
    <row r="51" spans="6:28" x14ac:dyDescent="0.25">
      <c r="F51" s="5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6"/>
    </row>
    <row r="52" spans="6:28" x14ac:dyDescent="0.25">
      <c r="F52" s="5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6"/>
    </row>
    <row r="53" spans="6:28" x14ac:dyDescent="0.25">
      <c r="F53" s="5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6"/>
    </row>
    <row r="54" spans="6:28" x14ac:dyDescent="0.25">
      <c r="F54" s="5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6"/>
    </row>
    <row r="55" spans="6:28" x14ac:dyDescent="0.25">
      <c r="F55" s="5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6"/>
    </row>
    <row r="56" spans="6:28" x14ac:dyDescent="0.25">
      <c r="F56" s="5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</row>
    <row r="57" spans="6:28" x14ac:dyDescent="0.25">
      <c r="F57" s="5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6"/>
    </row>
    <row r="58" spans="6:28" x14ac:dyDescent="0.25">
      <c r="F58" s="5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6"/>
    </row>
    <row r="59" spans="6:28" x14ac:dyDescent="0.25">
      <c r="F59" s="5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6"/>
    </row>
    <row r="60" spans="6:28" x14ac:dyDescent="0.25">
      <c r="F60" s="5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6"/>
    </row>
    <row r="61" spans="6:28" x14ac:dyDescent="0.25">
      <c r="F61" s="5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6"/>
    </row>
    <row r="62" spans="6:28" x14ac:dyDescent="0.25">
      <c r="F62" s="5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6"/>
    </row>
    <row r="63" spans="6:28" x14ac:dyDescent="0.25">
      <c r="F63" s="5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6"/>
    </row>
    <row r="64" spans="6:28" x14ac:dyDescent="0.25">
      <c r="F64" s="5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6"/>
    </row>
    <row r="65" spans="6:28" x14ac:dyDescent="0.25">
      <c r="F65" s="5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6"/>
    </row>
    <row r="66" spans="6:28" x14ac:dyDescent="0.25">
      <c r="F66" s="5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</row>
    <row r="67" spans="6:28" x14ac:dyDescent="0.25">
      <c r="F67" s="5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6"/>
    </row>
    <row r="68" spans="6:28" x14ac:dyDescent="0.25">
      <c r="F68" s="5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6"/>
    </row>
    <row r="69" spans="6:28" x14ac:dyDescent="0.25">
      <c r="F69" s="5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6"/>
    </row>
    <row r="70" spans="6:28" x14ac:dyDescent="0.25">
      <c r="F70" s="5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6"/>
    </row>
    <row r="71" spans="6:28" x14ac:dyDescent="0.25">
      <c r="F71" s="5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6"/>
    </row>
    <row r="72" spans="6:28" x14ac:dyDescent="0.25">
      <c r="F72" s="5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6"/>
    </row>
    <row r="73" spans="6:28" ht="15.75" thickBot="1" x14ac:dyDescent="0.3">
      <c r="F73" s="56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1"/>
    </row>
  </sheetData>
  <mergeCells count="16">
    <mergeCell ref="B16:B18"/>
    <mergeCell ref="B19:C19"/>
    <mergeCell ref="B2:B3"/>
    <mergeCell ref="C2:C3"/>
    <mergeCell ref="D2:D3"/>
    <mergeCell ref="B4:B5"/>
    <mergeCell ref="B6:B10"/>
    <mergeCell ref="B11:B15"/>
    <mergeCell ref="B25:C25"/>
    <mergeCell ref="B26:C26"/>
    <mergeCell ref="B27:C27"/>
    <mergeCell ref="B28:C28"/>
    <mergeCell ref="D21:D22"/>
    <mergeCell ref="B23:C23"/>
    <mergeCell ref="B21:C22"/>
    <mergeCell ref="B24:C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110"/>
  <sheetViews>
    <sheetView showGridLines="0" workbookViewId="0">
      <selection activeCell="D35" sqref="D35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5" width="16.7109375" style="1" customWidth="1"/>
    <col min="6" max="6" width="2.42578125" customWidth="1"/>
  </cols>
  <sheetData>
    <row r="1" spans="1:12" ht="15.75" thickBot="1" x14ac:dyDescent="0.3"/>
    <row r="2" spans="1:12" x14ac:dyDescent="0.25">
      <c r="B2" s="135" t="s">
        <v>37</v>
      </c>
      <c r="C2" s="135" t="s">
        <v>2</v>
      </c>
      <c r="D2" s="140" t="s">
        <v>3</v>
      </c>
      <c r="E2" s="140" t="s">
        <v>39</v>
      </c>
    </row>
    <row r="3" spans="1:12" ht="15.75" customHeight="1" thickBot="1" x14ac:dyDescent="0.3">
      <c r="B3" s="136"/>
      <c r="C3" s="136"/>
      <c r="D3" s="142"/>
      <c r="E3" s="142"/>
    </row>
    <row r="4" spans="1:12" x14ac:dyDescent="0.25">
      <c r="A4" s="23"/>
      <c r="B4" s="146" t="s">
        <v>36</v>
      </c>
      <c r="C4" s="12" t="s">
        <v>15</v>
      </c>
      <c r="D4" s="15">
        <f>SUM(SUMIF('Raw Data'!$H$5:$H$500,{"B"}, 'Raw Data'!$I$5:$I$500))</f>
        <v>382416.09</v>
      </c>
      <c r="E4" s="15">
        <f>IF(D4,SUM(SUMIF('Raw Data'!$H$5:$H$500,{"B"}, 'Raw Data'!$I$5:$I$500))/SUM(COUNTIF('Raw Data'!$H$5:$H$500,{"B"})),0)</f>
        <v>8136.51255319149</v>
      </c>
      <c r="L4" s="2">
        <f>SUM('Product Revenue Analysis'!D4)</f>
        <v>382416.09</v>
      </c>
    </row>
    <row r="5" spans="1:12" ht="15.75" thickBot="1" x14ac:dyDescent="0.3">
      <c r="A5" s="23"/>
      <c r="B5" s="147"/>
      <c r="C5" s="13" t="s">
        <v>16</v>
      </c>
      <c r="D5" s="18">
        <f>SUM(SUMIF('Raw Data'!$H$5:$H$500,{"K"}, 'Raw Data'!$I$5:$I$500))</f>
        <v>0</v>
      </c>
      <c r="E5" s="18">
        <f>IF(D5,SUM(SUMIF('Raw Data'!$H$5:$H$500,{"K"}, 'Raw Data'!$I$5:$I$500))/SUM(COUNTIF('Raw Data'!$H$5:$H$500,{"K"})),0)</f>
        <v>0</v>
      </c>
    </row>
    <row r="6" spans="1:12" x14ac:dyDescent="0.25">
      <c r="A6" s="23"/>
      <c r="B6" s="148" t="s">
        <v>35</v>
      </c>
      <c r="C6" s="12" t="s">
        <v>24</v>
      </c>
      <c r="D6" s="15">
        <f>SUM(SUMIF('Raw Data'!$H$5:$H$500,{"FP","FP-LC","FP-IR","FP-VP","FP-OP"}, 'Raw Data'!$I$5:$I$500))</f>
        <v>166771.43</v>
      </c>
      <c r="E6" s="15">
        <f>IF(D6,SUM(SUMIF('Raw Data'!$H$5:$H$500,{"FP","FP-LC","FP-IR","FP-VP","FP-OP"}, 'Raw Data'!$I$5:$I$500))/SUM(COUNTIF('Raw Data'!$H$5:$H$500,{"FP","FP-LC","FP-IR","FP-VP","FP-OP"})),0)</f>
        <v>7250.9317391304348</v>
      </c>
    </row>
    <row r="7" spans="1:12" x14ac:dyDescent="0.25">
      <c r="A7" s="23"/>
      <c r="B7" s="149"/>
      <c r="C7" s="7" t="s">
        <v>14</v>
      </c>
      <c r="D7" s="17">
        <f>SUM(SUMIF('Raw Data'!$H$5:$H$500,{"IR","IR-LC","IR-FP","IR-VP","IR-OP","IR-Sky"}, 'Raw Data'!$I$5:$I$500))</f>
        <v>160477.53999999998</v>
      </c>
      <c r="E7" s="17">
        <f>IF(D7,SUM(SUMIF('Raw Data'!$H$5:$H$500,{"IR","IR-LC","IR-FP","IR-VP","IR-OP","IR-Sky"}, 'Raw Data'!$I$5:$I$500))/SUM(COUNTIF('Raw Data'!$H$5:$H$500,{"IR","IR-LC","IR-FP","IR-VP","IR-OP","IR-Sky"})),0)</f>
        <v>9439.8552941176458</v>
      </c>
    </row>
    <row r="8" spans="1:12" x14ac:dyDescent="0.25">
      <c r="A8" s="23"/>
      <c r="B8" s="149"/>
      <c r="C8" s="7" t="s">
        <v>17</v>
      </c>
      <c r="D8" s="17">
        <f>SUM(SUMIF('Raw Data'!$H$5:$H$500,{"LC","LC-IR","LC-FP","LC-VP","LC-OP","LC-Sky"}, 'Raw Data'!$I$5:$I$500))</f>
        <v>287765.26999999996</v>
      </c>
      <c r="E8" s="18">
        <f>IF(D8,SUM(SUMIF('Raw Data'!$H$5:$H$500,{"LC","LC-IR","LC-FP","LC-VP","LC-OP","LC-Sky"}, 'Raw Data'!$I$5:$I$500))/SUM(COUNTIF('Raw Data'!$H$5:$H$500,{"LC","LC-IR","LC-FP","LC-VP","LC-OP","LC-Sky"})),0)</f>
        <v>6394.7837777777768</v>
      </c>
    </row>
    <row r="9" spans="1:12" x14ac:dyDescent="0.25">
      <c r="A9" s="23"/>
      <c r="B9" s="149"/>
      <c r="C9" s="7" t="s">
        <v>19</v>
      </c>
      <c r="D9" s="17">
        <f>SUM(SUMIF('Raw Data'!$H$5:$H$500,{"OP","OP-IR"}, 'Raw Data'!$I$5:$I$500))</f>
        <v>0</v>
      </c>
      <c r="E9" s="17">
        <f>IF($D9,SUM(SUMIF('Raw Data'!$H$5:$H$500,{"OP","OP-IR"}, 'Raw Data'!$I$5:$I$500))/SUM(COUNTIF('Raw Data'!$H$5:$H$500,{"OP","OP-IR"})), 0)</f>
        <v>0</v>
      </c>
    </row>
    <row r="10" spans="1:12" ht="15.75" thickBot="1" x14ac:dyDescent="0.3">
      <c r="A10" s="23"/>
      <c r="B10" s="150"/>
      <c r="C10" s="13" t="s">
        <v>22</v>
      </c>
      <c r="D10" s="18">
        <f>SUM(SUMIF('Raw Data'!$H$5:$H$500,{"VP","VP-IR","VP-FP","VP-OP","VP-LC"}, 'Raw Data'!$I$5:$I$500))</f>
        <v>99797.749999999985</v>
      </c>
      <c r="E10" s="16">
        <f>IF(D10,SUM(SUMIF('Raw Data'!$H$5:$H$500,{"VP","VP-IR","VP-FP","VP-OP","VP-LC"}, 'Raw Data'!$I$5:$I$500))/SUM(COUNTIF('Raw Data'!$H$5:$H$500,{"VP","VP-IR","VP-FP","VP-OP","VP-LC"})),0)</f>
        <v>6653.1833333333325</v>
      </c>
    </row>
    <row r="11" spans="1:12" x14ac:dyDescent="0.25">
      <c r="A11" s="23"/>
      <c r="B11" s="151" t="s">
        <v>33</v>
      </c>
      <c r="C11" s="12" t="s">
        <v>29</v>
      </c>
      <c r="D11" s="15">
        <f>SUM(SUMIF('Raw Data'!$H$5:$H$500,{"SR-206","SR-206-Sky"}, 'Raw Data'!$I$5:$I$500))</f>
        <v>166536.41</v>
      </c>
      <c r="E11" s="15">
        <f>IF(D11,SUM(SUMIF('Raw Data'!$H$5:$H$500,{"SR-206","SR-206-Sky"}, 'Raw Data'!$I$5:$I$500))/SUM(COUNTIF('Raw Data'!$H$5:$H$500,{"SR-206","SR-206-Sky"})),0)</f>
        <v>27756.068333333333</v>
      </c>
    </row>
    <row r="12" spans="1:12" x14ac:dyDescent="0.25">
      <c r="A12" s="23"/>
      <c r="B12" s="152"/>
      <c r="C12" s="7" t="s">
        <v>28</v>
      </c>
      <c r="D12" s="17">
        <f>SUM(SUMIF('Raw Data'!$H$5:$H$500,{"SR-306","SR-306-Sky"}, 'Raw Data'!$I$5:$I$500))</f>
        <v>485087.87000000011</v>
      </c>
      <c r="E12" s="17">
        <f>IF(D12,SUM(SUMIF('Raw Data'!$H$5:$H$500,{"SR-306","SR-306-Sky"}, 'Raw Data'!$I$5:$I$500))/SUM(COUNTIF('Raw Data'!$H$5:$H$500,{"SR-306","SR-306-Sky"})),0)</f>
        <v>23099.422380952386</v>
      </c>
    </row>
    <row r="13" spans="1:12" x14ac:dyDescent="0.25">
      <c r="A13" s="23"/>
      <c r="B13" s="152"/>
      <c r="C13" s="7" t="s">
        <v>30</v>
      </c>
      <c r="D13" s="17">
        <f>SUM(SUMIF('Raw Data'!$H$5:$H$500,{"SR-406","SR-406-Sky"}, 'Raw Data'!$I$5:$I$500))</f>
        <v>101613.91</v>
      </c>
      <c r="E13" s="17">
        <f>IF(D13,SUM(SUMIF('Raw Data'!$H$5:$H$500,{"SR-406","SR-406-Sky"}, 'Raw Data'!$I$5:$I$500))/SUM(COUNTIF('Raw Data'!$H$5:$H$500,{"SR-406","SR-406-Sky"})),0)</f>
        <v>25403.477500000001</v>
      </c>
    </row>
    <row r="14" spans="1:12" x14ac:dyDescent="0.25">
      <c r="A14" s="23"/>
      <c r="B14" s="152"/>
      <c r="C14" s="7" t="s">
        <v>27</v>
      </c>
      <c r="D14" s="17">
        <f>SUM(SUMIF('Raw Data'!$H$5:$H$500,{"SR-VV"}, 'Raw Data'!$I$5:$I$500))</f>
        <v>181497.4</v>
      </c>
      <c r="E14" s="17">
        <f>IF(D14,SUM(SUMIF('Raw Data'!$H$5:$H$500,{"SR-VV"}, 'Raw Data'!$I$5:$I$500))/SUM(COUNTIF('Raw Data'!$H$5:$H$500,{"SR-VV"})),0)</f>
        <v>16499.763636363637</v>
      </c>
    </row>
    <row r="15" spans="1:12" ht="15.75" thickBot="1" x14ac:dyDescent="0.3">
      <c r="B15" s="153"/>
      <c r="C15" s="13" t="s">
        <v>31</v>
      </c>
      <c r="D15" s="18">
        <f>SUM(SUMIF('Raw Data'!$H$5:$H$500,{"SCR-WO"}, 'Raw Data'!$I$5:$I$500))</f>
        <v>0</v>
      </c>
      <c r="E15" s="16">
        <f>IF(D15,SUM(SUMIF('Raw Data'!$H$5:$H$500,{"SCR-WO"},'Raw Data'!$I$5:$I$500))/SUM(COUNTIF('Raw Data'!$H$5:$H$500,{"SCR-WO"})),0)</f>
        <v>0</v>
      </c>
    </row>
    <row r="16" spans="1:12" x14ac:dyDescent="0.25">
      <c r="B16" s="143" t="s">
        <v>34</v>
      </c>
      <c r="C16" s="12" t="s">
        <v>54</v>
      </c>
      <c r="D16" s="15">
        <f>SUM(SUMIF('Raw Data'!$H$5:$H$500,{"D"}, 'Raw Data'!$I$5:$I$500))</f>
        <v>25519.690000000002</v>
      </c>
      <c r="E16" s="18">
        <f>IF(D16,SUM(SUMIF('Raw Data'!$H$5:$H$500,{"D"}, 'Raw Data'!$I$5:$I$500))/SUM(COUNTIF('Raw Data'!$H$5:$H$500,{"D"})),0)</f>
        <v>4253.2816666666668</v>
      </c>
    </row>
    <row r="17" spans="2:5" x14ac:dyDescent="0.25">
      <c r="B17" s="144"/>
      <c r="C17" s="8" t="s">
        <v>13</v>
      </c>
      <c r="D17" s="17">
        <f>SUM(SUMIF('Raw Data'!$H$5:$H$500,{"W (A)"}, 'Raw Data'!$I$5:$I$500))</f>
        <v>99676.55</v>
      </c>
      <c r="E17" s="17">
        <f>IF(D17,SUM(SUMIF('Raw Data'!$H$5:$H$500,{"W (A)"}, 'Raw Data'!$I$5:$I$500))/SUM(COUNTIF('Raw Data'!$H$5:$H$500,{"W (A)"})),0)</f>
        <v>9061.5045454545452</v>
      </c>
    </row>
    <row r="18" spans="2:5" ht="15.75" thickBot="1" x14ac:dyDescent="0.3">
      <c r="B18" s="145"/>
      <c r="C18" s="13" t="s">
        <v>18</v>
      </c>
      <c r="D18" s="18">
        <f>SUM(SUMIF('Raw Data'!$H$5:$H$500,{"W"}, 'Raw Data'!$I$5:$I$500))</f>
        <v>601715.84000000008</v>
      </c>
      <c r="E18" s="17">
        <f>IF(D18,SUM(SUMIF('Raw Data'!$H$5:$H$500,{"W"}, 'Raw Data'!$I$5:$I$500))/SUM(COUNTIF('Raw Data'!$H$5:$H$500,{"W"})),0)</f>
        <v>14675.996097560977</v>
      </c>
    </row>
    <row r="19" spans="2:5" ht="15.75" customHeight="1" thickBot="1" x14ac:dyDescent="0.3">
      <c r="B19" s="133" t="s">
        <v>32</v>
      </c>
      <c r="C19" s="134"/>
      <c r="D19" s="22">
        <f>SUM(D4:D18)</f>
        <v>2758875.75</v>
      </c>
      <c r="E19" s="22">
        <f>AVERAGE(E4:E18)</f>
        <v>10574.985390525482</v>
      </c>
    </row>
    <row r="20" spans="2:5" ht="15.75" thickBot="1" x14ac:dyDescent="0.3"/>
    <row r="21" spans="2:5" ht="15" customHeight="1" x14ac:dyDescent="0.25">
      <c r="B21" s="139" t="s">
        <v>50</v>
      </c>
      <c r="C21" s="140"/>
      <c r="D21" s="140" t="s">
        <v>3</v>
      </c>
      <c r="E21" s="140" t="s">
        <v>39</v>
      </c>
    </row>
    <row r="22" spans="2:5" ht="15.75" customHeight="1" thickBot="1" x14ac:dyDescent="0.3">
      <c r="B22" s="141"/>
      <c r="C22" s="142"/>
      <c r="D22" s="142"/>
      <c r="E22" s="142"/>
    </row>
    <row r="23" spans="2:5" ht="15.75" thickBot="1" x14ac:dyDescent="0.3">
      <c r="B23" s="137" t="s">
        <v>60</v>
      </c>
      <c r="C23" s="155"/>
      <c r="D23" s="53">
        <f>D4</f>
        <v>382416.09</v>
      </c>
      <c r="E23" s="53">
        <f>E4</f>
        <v>8136.51255319149</v>
      </c>
    </row>
    <row r="24" spans="2:5" ht="15.75" thickBot="1" x14ac:dyDescent="0.3">
      <c r="B24" s="137" t="s">
        <v>58</v>
      </c>
      <c r="C24" s="155"/>
      <c r="D24" s="53">
        <f>D5</f>
        <v>0</v>
      </c>
      <c r="E24" s="53">
        <f>E5</f>
        <v>0</v>
      </c>
    </row>
    <row r="25" spans="2:5" ht="15.75" thickBot="1" x14ac:dyDescent="0.3">
      <c r="B25" s="156" t="s">
        <v>35</v>
      </c>
      <c r="C25" s="157"/>
      <c r="D25" s="18">
        <f>SUM(D6:D10)</f>
        <v>714811.99</v>
      </c>
      <c r="E25" s="18">
        <f>AVERAGE(E6:E10)</f>
        <v>5947.7508288718382</v>
      </c>
    </row>
    <row r="26" spans="2:5" ht="15.75" thickBot="1" x14ac:dyDescent="0.3">
      <c r="B26" s="129" t="s">
        <v>33</v>
      </c>
      <c r="C26" s="158"/>
      <c r="D26" s="53">
        <f>SUM(D11:D15)</f>
        <v>934735.5900000002</v>
      </c>
      <c r="E26" s="53">
        <f>AVERAGE(E11:E15)</f>
        <v>18551.746370129873</v>
      </c>
    </row>
    <row r="27" spans="2:5" ht="15.75" thickBot="1" x14ac:dyDescent="0.3">
      <c r="B27" s="131" t="s">
        <v>34</v>
      </c>
      <c r="C27" s="159"/>
      <c r="D27" s="53">
        <f>SUM(D16:D18)</f>
        <v>726912.08000000007</v>
      </c>
      <c r="E27" s="53">
        <f>AVERAGE(E16:E18)</f>
        <v>9330.2607698940628</v>
      </c>
    </row>
    <row r="28" spans="2:5" x14ac:dyDescent="0.25">
      <c r="B28" s="50"/>
      <c r="C28" s="51"/>
      <c r="D28" s="45"/>
      <c r="E28" s="45"/>
    </row>
    <row r="29" spans="2:5" x14ac:dyDescent="0.25">
      <c r="B29" s="50"/>
      <c r="C29" s="51"/>
      <c r="D29" s="45"/>
      <c r="E29" s="45"/>
    </row>
    <row r="33" spans="2:5" x14ac:dyDescent="0.25">
      <c r="B33" s="50"/>
      <c r="C33" s="51"/>
      <c r="D33" s="45"/>
      <c r="E33" s="45"/>
    </row>
    <row r="34" spans="2:5" x14ac:dyDescent="0.25">
      <c r="B34" s="50"/>
      <c r="C34" s="51"/>
      <c r="D34" s="45"/>
      <c r="E34" s="45"/>
    </row>
    <row r="35" spans="2:5" x14ac:dyDescent="0.25">
      <c r="B35" s="50"/>
      <c r="C35" s="51"/>
      <c r="D35" s="45"/>
      <c r="E35" s="45"/>
    </row>
    <row r="36" spans="2:5" x14ac:dyDescent="0.25">
      <c r="B36" s="50"/>
      <c r="C36" s="51"/>
      <c r="D36" s="45"/>
      <c r="E36" s="45"/>
    </row>
    <row r="37" spans="2:5" x14ac:dyDescent="0.25">
      <c r="B37" s="50"/>
      <c r="C37" s="51"/>
      <c r="D37" s="45"/>
      <c r="E37" s="45"/>
    </row>
    <row r="38" spans="2:5" ht="15.75" x14ac:dyDescent="0.25">
      <c r="B38" s="154"/>
      <c r="C38" s="154"/>
      <c r="D38" s="52"/>
      <c r="E38" s="52"/>
    </row>
    <row r="39" spans="2:5" x14ac:dyDescent="0.25">
      <c r="C39" s="20"/>
      <c r="D39" s="21"/>
      <c r="E39" s="21"/>
    </row>
    <row r="40" spans="2:5" x14ac:dyDescent="0.25">
      <c r="C40" s="20"/>
      <c r="D40" s="21"/>
      <c r="E40" s="21"/>
    </row>
    <row r="74" spans="7:28" ht="15.75" thickBot="1" x14ac:dyDescent="0.3"/>
    <row r="75" spans="7:28" x14ac:dyDescent="0.25">
      <c r="G75" s="54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</row>
    <row r="76" spans="7:28" x14ac:dyDescent="0.25">
      <c r="G76" s="5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6"/>
    </row>
    <row r="77" spans="7:28" x14ac:dyDescent="0.25">
      <c r="G77" s="5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6"/>
    </row>
    <row r="78" spans="7:28" x14ac:dyDescent="0.25">
      <c r="G78" s="5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6"/>
    </row>
    <row r="79" spans="7:28" x14ac:dyDescent="0.25">
      <c r="G79" s="5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/>
    </row>
    <row r="80" spans="7:28" x14ac:dyDescent="0.25">
      <c r="G80" s="5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6"/>
    </row>
    <row r="81" spans="7:28" x14ac:dyDescent="0.25">
      <c r="G81" s="5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6"/>
    </row>
    <row r="82" spans="7:28" x14ac:dyDescent="0.25">
      <c r="G82" s="5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6"/>
    </row>
    <row r="83" spans="7:28" x14ac:dyDescent="0.25">
      <c r="G83" s="5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6"/>
    </row>
    <row r="84" spans="7:28" x14ac:dyDescent="0.25">
      <c r="G84" s="5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6"/>
    </row>
    <row r="85" spans="7:28" x14ac:dyDescent="0.25">
      <c r="G85" s="5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6"/>
    </row>
    <row r="86" spans="7:28" x14ac:dyDescent="0.25">
      <c r="G86" s="5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6"/>
    </row>
    <row r="87" spans="7:28" x14ac:dyDescent="0.25">
      <c r="G87" s="5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6"/>
    </row>
    <row r="88" spans="7:28" x14ac:dyDescent="0.25">
      <c r="G88" s="5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6"/>
    </row>
    <row r="89" spans="7:28" x14ac:dyDescent="0.25">
      <c r="G89" s="5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6"/>
    </row>
    <row r="90" spans="7:28" x14ac:dyDescent="0.25">
      <c r="G90" s="5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6"/>
    </row>
    <row r="91" spans="7:28" x14ac:dyDescent="0.25">
      <c r="G91" s="5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6"/>
    </row>
    <row r="92" spans="7:28" x14ac:dyDescent="0.25">
      <c r="G92" s="5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6"/>
    </row>
    <row r="93" spans="7:28" x14ac:dyDescent="0.25">
      <c r="G93" s="5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6"/>
    </row>
    <row r="94" spans="7:28" x14ac:dyDescent="0.25">
      <c r="G94" s="5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6"/>
    </row>
    <row r="95" spans="7:28" x14ac:dyDescent="0.25">
      <c r="G95" s="5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6"/>
    </row>
    <row r="96" spans="7:28" x14ac:dyDescent="0.25">
      <c r="G96" s="5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6"/>
    </row>
    <row r="97" spans="7:28" x14ac:dyDescent="0.25">
      <c r="G97" s="5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6"/>
    </row>
    <row r="98" spans="7:28" x14ac:dyDescent="0.25">
      <c r="G98" s="5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6"/>
    </row>
    <row r="99" spans="7:28" x14ac:dyDescent="0.25">
      <c r="G99" s="5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6"/>
    </row>
    <row r="100" spans="7:28" x14ac:dyDescent="0.25">
      <c r="G100" s="5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6"/>
    </row>
    <row r="101" spans="7:28" x14ac:dyDescent="0.25">
      <c r="G101" s="5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6"/>
    </row>
    <row r="102" spans="7:28" x14ac:dyDescent="0.25">
      <c r="G102" s="5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6"/>
    </row>
    <row r="103" spans="7:28" x14ac:dyDescent="0.25">
      <c r="G103" s="5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6"/>
    </row>
    <row r="104" spans="7:28" x14ac:dyDescent="0.25">
      <c r="G104" s="5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6"/>
    </row>
    <row r="105" spans="7:28" x14ac:dyDescent="0.25">
      <c r="G105" s="5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6"/>
    </row>
    <row r="106" spans="7:28" x14ac:dyDescent="0.25">
      <c r="G106" s="5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6"/>
    </row>
    <row r="107" spans="7:28" x14ac:dyDescent="0.25">
      <c r="G107" s="5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6"/>
    </row>
    <row r="108" spans="7:28" x14ac:dyDescent="0.25">
      <c r="G108" s="5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6"/>
    </row>
    <row r="109" spans="7:28" x14ac:dyDescent="0.25">
      <c r="G109" s="5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6"/>
    </row>
    <row r="110" spans="7:28" ht="15.75" thickBot="1" x14ac:dyDescent="0.3">
      <c r="G110" s="56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1"/>
    </row>
  </sheetData>
  <mergeCells count="18">
    <mergeCell ref="B6:B10"/>
    <mergeCell ref="B11:B15"/>
    <mergeCell ref="E2:E3"/>
    <mergeCell ref="B2:B3"/>
    <mergeCell ref="C2:C3"/>
    <mergeCell ref="D2:D3"/>
    <mergeCell ref="B4:B5"/>
    <mergeCell ref="D21:D22"/>
    <mergeCell ref="E21:E22"/>
    <mergeCell ref="B21:C22"/>
    <mergeCell ref="B16:B18"/>
    <mergeCell ref="B19:C19"/>
    <mergeCell ref="B38:C38"/>
    <mergeCell ref="B23:C23"/>
    <mergeCell ref="B25:C25"/>
    <mergeCell ref="B26:C26"/>
    <mergeCell ref="B27:C27"/>
    <mergeCell ref="B24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64"/>
  <sheetViews>
    <sheetView showGridLines="0" workbookViewId="0">
      <selection activeCell="D30" sqref="D30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4" width="10.7109375" style="1" customWidth="1"/>
    <col min="5" max="5" width="10.7109375" style="76" customWidth="1"/>
    <col min="6" max="6" width="2.42578125" customWidth="1"/>
  </cols>
  <sheetData>
    <row r="1" spans="1:29" ht="15.75" thickBot="1" x14ac:dyDescent="0.3"/>
    <row r="2" spans="1:29" ht="15" customHeight="1" x14ac:dyDescent="0.25">
      <c r="B2" s="135" t="s">
        <v>37</v>
      </c>
      <c r="C2" s="135" t="s">
        <v>8</v>
      </c>
      <c r="D2" s="140" t="s">
        <v>21</v>
      </c>
      <c r="E2" s="163" t="s">
        <v>21</v>
      </c>
      <c r="G2" s="5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3"/>
    </row>
    <row r="3" spans="1:29" ht="15.75" customHeight="1" thickBot="1" x14ac:dyDescent="0.3">
      <c r="B3" s="162"/>
      <c r="C3" s="136"/>
      <c r="D3" s="142"/>
      <c r="E3" s="164"/>
      <c r="G3" s="5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 x14ac:dyDescent="0.25">
      <c r="A4" s="23"/>
      <c r="B4" s="146" t="s">
        <v>36</v>
      </c>
      <c r="C4" s="12" t="s">
        <v>65</v>
      </c>
      <c r="D4" s="24" t="str">
        <f>IF(E4,SUM(SUMIF('Raw Data'!$E$5:$E$500,$C4, 'Raw Data'!$K$5:$K$500))/SUM(COUNTIF('Raw Data'!$E$5:$E$500,$C4)),"NA")</f>
        <v>NA</v>
      </c>
      <c r="E4" s="104">
        <f>SUM(COUNTIF('Raw Data'!$E$5:$E$500,$C4))</f>
        <v>0</v>
      </c>
      <c r="G4" s="5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29" x14ac:dyDescent="0.25">
      <c r="A5" s="23"/>
      <c r="B5" s="165"/>
      <c r="C5" s="75" t="s">
        <v>57</v>
      </c>
      <c r="D5" s="26" t="str">
        <f>IF(E5,SUM(SUMIF('Raw Data'!$E$5:$E$500,$C5, 'Raw Data'!$K$5:$K$500))/SUM(COUNTIF('Raw Data'!$E$5:$E$500,$C5)),"NA")</f>
        <v>NA</v>
      </c>
      <c r="E5" s="44">
        <f>SUM(COUNTIF('Raw Data'!$E$5:$E$500,$C5))</f>
        <v>0</v>
      </c>
      <c r="G5" s="5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</row>
    <row r="6" spans="1:29" x14ac:dyDescent="0.25">
      <c r="A6" s="23"/>
      <c r="B6" s="165"/>
      <c r="C6" s="75" t="s">
        <v>68</v>
      </c>
      <c r="D6" s="26" t="str">
        <f>IF(E6,SUM(SUMIF('Raw Data'!$E$5:$E$500,$C6, 'Raw Data'!$K$5:$K$500))/SUM(COUNTIF('Raw Data'!$E$5:$E$500,$C6)),"NA")</f>
        <v>NA</v>
      </c>
      <c r="E6" s="44">
        <f>SUM(COUNTIF('Raw Data'!$E$5:$E$500,$C6))</f>
        <v>0</v>
      </c>
      <c r="G6" s="5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</row>
    <row r="7" spans="1:29" ht="15.75" thickBot="1" x14ac:dyDescent="0.3">
      <c r="A7" s="23"/>
      <c r="B7" s="147"/>
      <c r="C7" s="39" t="s">
        <v>67</v>
      </c>
      <c r="D7" s="119" t="str">
        <f>IF(E7,SUM(SUMIF('Raw Data'!$E$5:$E$500,$C7, 'Raw Data'!$K$5:$K$500))/SUM(COUNTIF('Raw Data'!$E$5:$E$500,$C7)),"NA")</f>
        <v>NA</v>
      </c>
      <c r="E7" s="120">
        <f>SUM(COUNTIF('Raw Data'!$E$5:$E$500,$C7))</f>
        <v>0</v>
      </c>
      <c r="G7" s="5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</row>
    <row r="8" spans="1:29" ht="15.75" thickBot="1" x14ac:dyDescent="0.3">
      <c r="B8" s="118" t="s">
        <v>40</v>
      </c>
      <c r="C8" s="121" t="s">
        <v>61</v>
      </c>
      <c r="D8" s="105" t="str">
        <f>IF(E8,SUM(SUMIF('Raw Data'!$E$5:$E$500,$C8, 'Raw Data'!$K$5:$K$500))/SUM(COUNTIF('Raw Data'!$E$5:$E$500,$C8)),"NA")</f>
        <v>NA</v>
      </c>
      <c r="E8" s="106">
        <f>SUM(COUNTIF('Raw Data'!$E$5:$E$500,$C8))</f>
        <v>0</v>
      </c>
      <c r="G8" s="5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6"/>
    </row>
    <row r="9" spans="1:29" ht="15.75" thickBot="1" x14ac:dyDescent="0.3">
      <c r="B9" s="107" t="s">
        <v>34</v>
      </c>
      <c r="C9" s="121" t="s">
        <v>62</v>
      </c>
      <c r="D9" s="105" t="str">
        <f>IF(E9,SUM(SUMIF('Raw Data'!$E$5:$E$500,$C9, 'Raw Data'!$K$5:$K$500))/SUM(COUNTIF('Raw Data'!$E$5:$E$500,$C9)),"NA")</f>
        <v>NA</v>
      </c>
      <c r="E9" s="106">
        <f>SUM(COUNTIF('Raw Data'!$E$5:$E$500,$C9))</f>
        <v>0</v>
      </c>
      <c r="G9" s="5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</row>
    <row r="10" spans="1:29" x14ac:dyDescent="0.25">
      <c r="B10" s="64"/>
      <c r="C10" s="122"/>
      <c r="D10" s="25" t="str">
        <f>IF(E10,SUM(SUMIF('Raw Data'!$E$5:$E$500,$C10, 'Raw Data'!$K$5:$K$500))/SUM(COUNTIF('Raw Data'!$E$5:$E$500,$C10)),"NA")</f>
        <v>NA</v>
      </c>
      <c r="E10" s="28">
        <f>SUM(COUNTIF('Raw Data'!$E$5:$E$500,$C10))</f>
        <v>0</v>
      </c>
      <c r="G10" s="5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</row>
    <row r="11" spans="1:29" x14ac:dyDescent="0.25">
      <c r="A11" s="23"/>
      <c r="B11" s="64"/>
      <c r="C11" s="67"/>
      <c r="D11" s="26" t="str">
        <f>IF(E11,SUM(SUMIF('Raw Data'!$E$5:$E$500,$C11, 'Raw Data'!$K$5:$K$500))/SUM(COUNTIF('Raw Data'!$E$5:$E$500,$C11)),"NA")</f>
        <v>NA</v>
      </c>
      <c r="E11" s="44">
        <f>SUM(COUNTIF('Raw Data'!$E$5:$E$500,$C11))</f>
        <v>0</v>
      </c>
      <c r="G11" s="5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</row>
    <row r="12" spans="1:29" x14ac:dyDescent="0.25">
      <c r="A12" s="23"/>
      <c r="B12" s="64"/>
      <c r="C12" s="66"/>
      <c r="D12" s="26" t="str">
        <f>IF(E12,SUM(SUMIF('Raw Data'!$E$5:$E$500,$C12, 'Raw Data'!$K$5:$K$500))/SUM(COUNTIF('Raw Data'!$E$5:$E$500,$C12)),"NA")</f>
        <v>NA</v>
      </c>
      <c r="E12" s="44">
        <f>SUM(COUNTIF('Raw Data'!$E$5:$E$500,$C12))</f>
        <v>0</v>
      </c>
      <c r="G12" s="5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</row>
    <row r="13" spans="1:29" ht="15.75" customHeight="1" x14ac:dyDescent="0.25">
      <c r="B13" s="64"/>
      <c r="C13" s="66"/>
      <c r="D13" s="26" t="str">
        <f>IF(E13,SUM(SUMIF('Raw Data'!$E$5:$E$500,$C13, 'Raw Data'!$K$5:$K$500))/SUM(COUNTIF('Raw Data'!$E$5:$E$500,$C13)),"NA")</f>
        <v>NA</v>
      </c>
      <c r="E13" s="44">
        <f>SUM(COUNTIF('Raw Data'!$E$5:$E$500,$C13))</f>
        <v>0</v>
      </c>
      <c r="G13" s="5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</row>
    <row r="14" spans="1:29" ht="15.75" customHeight="1" x14ac:dyDescent="0.25">
      <c r="B14" s="64"/>
      <c r="C14" s="66"/>
      <c r="D14" s="26" t="str">
        <f>IF(E14,SUM(SUMIF('Raw Data'!$E$5:$E$500,$C14, 'Raw Data'!$K$5:$K$500))/SUM(COUNTIF('Raw Data'!$E$5:$E$500,$C14)),"NA")</f>
        <v>NA</v>
      </c>
      <c r="E14" s="44">
        <f>SUM(COUNTIF('Raw Data'!$E$5:$E$500,$C14))</f>
        <v>0</v>
      </c>
      <c r="G14" s="5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</row>
    <row r="15" spans="1:29" x14ac:dyDescent="0.25">
      <c r="B15" s="64"/>
      <c r="C15" s="66"/>
      <c r="D15" s="26" t="str">
        <f>IF(E15,SUM(SUMIF('Raw Data'!$E$5:$E$500,$C15, 'Raw Data'!$K$5:$K$500))/SUM(COUNTIF('Raw Data'!$E$5:$E$500,$C15)),"NA")</f>
        <v>NA</v>
      </c>
      <c r="E15" s="44">
        <f>SUM(COUNTIF('Raw Data'!$E$5:$E$500,$C15))</f>
        <v>0</v>
      </c>
      <c r="G15" s="5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</row>
    <row r="16" spans="1:29" x14ac:dyDescent="0.25">
      <c r="B16" s="64"/>
      <c r="C16" s="66"/>
      <c r="D16" s="26" t="str">
        <f>IF(E16,SUM(SUMIF('Raw Data'!$E$5:$E$500,$C16, 'Raw Data'!$K$5:$K$500))/SUM(COUNTIF('Raw Data'!$E$5:$E$500,$C16)),"NA")</f>
        <v>NA</v>
      </c>
      <c r="E16" s="44">
        <f>SUM(COUNTIF('Raw Data'!$E$5:$E$500,$C16))</f>
        <v>0</v>
      </c>
      <c r="G16" s="5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</row>
    <row r="17" spans="1:29" x14ac:dyDescent="0.25">
      <c r="B17" s="64"/>
      <c r="C17" s="75"/>
      <c r="D17" s="26" t="str">
        <f>IF(E17,SUM(SUMIF('Raw Data'!$E$5:$E$500,$C17, 'Raw Data'!$K$5:$K$500))/SUM(COUNTIF('Raw Data'!$E$5:$E$500,$C17)),"NA")</f>
        <v>NA</v>
      </c>
      <c r="E17" s="44">
        <f>SUM(COUNTIF('Raw Data'!$E$5:$E$500,$C17))</f>
        <v>0</v>
      </c>
      <c r="G17" s="5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</row>
    <row r="18" spans="1:29" x14ac:dyDescent="0.25">
      <c r="A18" s="23"/>
      <c r="B18" s="74"/>
      <c r="C18" s="75"/>
      <c r="D18" s="26" t="str">
        <f>IF(E18,SUM(SUMIF('Raw Data'!$E$5:$E$500,$C18, 'Raw Data'!$K$5:$K$500))/SUM(COUNTIF('Raw Data'!$E$5:$E$500,$C18)),"NA")</f>
        <v>NA</v>
      </c>
      <c r="E18" s="44">
        <f>SUM(COUNTIF('Raw Data'!$E$5:$E$500,$C18))</f>
        <v>0</v>
      </c>
      <c r="G18" s="5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</row>
    <row r="19" spans="1:29" x14ac:dyDescent="0.25">
      <c r="A19" s="23"/>
      <c r="B19" s="64"/>
      <c r="C19" s="67"/>
      <c r="D19" s="26" t="str">
        <f>IF(E19,SUM(SUMIF('Raw Data'!$E$5:$E$500,$C19, 'Raw Data'!$K$5:$K$500))/SUM(COUNTIF('Raw Data'!$E$5:$E$500,$C19)),"NA")</f>
        <v>NA</v>
      </c>
      <c r="E19" s="44">
        <f>SUM(COUNTIF('Raw Data'!$E$5:$E$500,$C19))</f>
        <v>0</v>
      </c>
      <c r="G19" s="5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</row>
    <row r="20" spans="1:29" x14ac:dyDescent="0.25">
      <c r="A20" s="23"/>
      <c r="B20" s="64"/>
      <c r="C20" s="66"/>
      <c r="D20" s="26" t="str">
        <f>IF(E20,SUM(SUMIF('Raw Data'!$E$5:$E$500,$C20, 'Raw Data'!$K$5:$K$500))/SUM(COUNTIF('Raw Data'!$E$5:$E$500,$C20)),"NA")</f>
        <v>NA</v>
      </c>
      <c r="E20" s="44">
        <f>SUM(COUNTIF('Raw Data'!$E$5:$E$500,$C20))</f>
        <v>0</v>
      </c>
      <c r="G20" s="55"/>
      <c r="H20" s="35"/>
      <c r="I20" s="35"/>
      <c r="J20" s="35"/>
      <c r="K20" s="35"/>
      <c r="L20" s="62">
        <f>SUM('Installer Analysis'!D4)</f>
        <v>0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</row>
    <row r="21" spans="1:29" x14ac:dyDescent="0.25">
      <c r="B21" s="64"/>
      <c r="C21" s="66"/>
      <c r="D21" s="26" t="str">
        <f>IF(E21,SUM(SUMIF('Raw Data'!$E$5:$E$500,$C21, 'Raw Data'!$K$5:$K$500))/SUM(COUNTIF('Raw Data'!$E$5:$E$500,$C21)),"NA")</f>
        <v>NA</v>
      </c>
      <c r="E21" s="44">
        <f>SUM(COUNTIF('Raw Data'!$E$5:$E$500,$C21))</f>
        <v>0</v>
      </c>
      <c r="G21" s="5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</row>
    <row r="22" spans="1:29" ht="15.75" thickBot="1" x14ac:dyDescent="0.3">
      <c r="B22" s="65"/>
      <c r="C22" s="73"/>
      <c r="D22" s="68" t="str">
        <f>IF(E22,SUM(SUMIF('Raw Data'!$E$5:$E$500,$C22, 'Raw Data'!$K$5:$K$500))/SUM(COUNTIF('Raw Data'!$E$5:$E$500,$C22)),"NA")</f>
        <v>NA</v>
      </c>
      <c r="E22" s="78">
        <f>SUM(COUNTIF('Raw Data'!$E$5:$E$500,$C22))</f>
        <v>0</v>
      </c>
      <c r="G22" s="5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</row>
    <row r="23" spans="1:29" ht="15.75" thickBot="1" x14ac:dyDescent="0.3">
      <c r="B23" s="160" t="s">
        <v>56</v>
      </c>
      <c r="C23" s="161"/>
      <c r="D23" s="71">
        <f>'Raw Data'!K3</f>
        <v>0.5055785035357041</v>
      </c>
      <c r="E23" s="79">
        <f>SUM(E4:E22)</f>
        <v>0</v>
      </c>
      <c r="G23" s="5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</row>
    <row r="24" spans="1:29" x14ac:dyDescent="0.25">
      <c r="B24" s="27"/>
      <c r="C24" s="20"/>
      <c r="D24" s="63"/>
      <c r="E24" s="77"/>
      <c r="G24" s="5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</row>
    <row r="25" spans="1:29" ht="15.75" thickBot="1" x14ac:dyDescent="0.3">
      <c r="B25" s="27"/>
      <c r="C25" s="20"/>
      <c r="D25" s="63"/>
      <c r="E25" s="77"/>
      <c r="G25" s="5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</row>
    <row r="26" spans="1:29" ht="15.75" thickBot="1" x14ac:dyDescent="0.3">
      <c r="B26" s="47" t="s">
        <v>36</v>
      </c>
      <c r="C26" s="20"/>
      <c r="D26" s="63"/>
      <c r="E26" s="77"/>
      <c r="G26" s="5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</row>
    <row r="27" spans="1:29" ht="15.75" thickBot="1" x14ac:dyDescent="0.3">
      <c r="B27" s="48" t="s">
        <v>40</v>
      </c>
      <c r="C27" s="20"/>
      <c r="D27" s="21"/>
      <c r="E27" s="77"/>
      <c r="G27" s="5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</row>
    <row r="28" spans="1:29" ht="15.75" thickBot="1" x14ac:dyDescent="0.3">
      <c r="B28" s="69" t="s">
        <v>55</v>
      </c>
      <c r="C28" s="20"/>
      <c r="D28" s="21"/>
      <c r="E28" s="77"/>
      <c r="G28" s="5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</row>
    <row r="29" spans="1:29" ht="15.75" thickBot="1" x14ac:dyDescent="0.3">
      <c r="B29" s="107" t="s">
        <v>34</v>
      </c>
      <c r="C29" s="20"/>
      <c r="D29" s="21"/>
      <c r="E29" s="77"/>
      <c r="G29" s="5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</row>
    <row r="30" spans="1:29" x14ac:dyDescent="0.25">
      <c r="B30" s="50"/>
      <c r="C30" s="20"/>
      <c r="D30" s="21"/>
      <c r="E30" s="77"/>
      <c r="G30" s="5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</row>
    <row r="31" spans="1:29" x14ac:dyDescent="0.25">
      <c r="B31" s="50"/>
      <c r="C31" s="20"/>
      <c r="D31" s="63"/>
      <c r="E31" s="77"/>
      <c r="G31" s="5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</row>
    <row r="32" spans="1:29" ht="15.75" thickBot="1" x14ac:dyDescent="0.3">
      <c r="B32" s="50"/>
      <c r="C32" s="20"/>
      <c r="D32" s="21"/>
      <c r="E32" s="77"/>
      <c r="G32" s="56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1"/>
    </row>
    <row r="33" spans="2:29" ht="15.75" thickBot="1" x14ac:dyDescent="0.3">
      <c r="B33" s="70"/>
      <c r="C33" s="20"/>
      <c r="D33" s="21"/>
      <c r="E33" s="77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spans="2:29" x14ac:dyDescent="0.25">
      <c r="C34" s="20"/>
      <c r="D34" s="21"/>
      <c r="E34" s="77"/>
      <c r="G34" s="54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</row>
    <row r="35" spans="2:29" x14ac:dyDescent="0.25">
      <c r="G35" s="5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</row>
    <row r="36" spans="2:29" x14ac:dyDescent="0.25">
      <c r="G36" s="5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</row>
    <row r="37" spans="2:29" x14ac:dyDescent="0.25">
      <c r="G37" s="5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</row>
    <row r="38" spans="2:29" x14ac:dyDescent="0.25">
      <c r="G38" s="5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</row>
    <row r="39" spans="2:29" x14ac:dyDescent="0.25">
      <c r="G39" s="5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</row>
    <row r="40" spans="2:29" x14ac:dyDescent="0.25">
      <c r="G40" s="5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</row>
    <row r="41" spans="2:29" x14ac:dyDescent="0.25">
      <c r="G41" s="5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  <row r="42" spans="2:29" x14ac:dyDescent="0.25">
      <c r="G42" s="5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</row>
    <row r="43" spans="2:29" x14ac:dyDescent="0.25">
      <c r="G43" s="5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</row>
    <row r="44" spans="2:29" x14ac:dyDescent="0.25">
      <c r="G44" s="5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</row>
    <row r="45" spans="2:29" x14ac:dyDescent="0.25">
      <c r="G45" s="5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</row>
    <row r="46" spans="2:29" x14ac:dyDescent="0.25">
      <c r="G46" s="5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</row>
    <row r="47" spans="2:29" x14ac:dyDescent="0.25">
      <c r="G47" s="5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</row>
    <row r="48" spans="2:29" x14ac:dyDescent="0.25">
      <c r="G48" s="5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</row>
    <row r="49" spans="7:29" x14ac:dyDescent="0.25">
      <c r="G49" s="5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</row>
    <row r="50" spans="7:29" x14ac:dyDescent="0.25">
      <c r="G50" s="5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</row>
    <row r="51" spans="7:29" x14ac:dyDescent="0.25">
      <c r="G51" s="5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</row>
    <row r="52" spans="7:29" x14ac:dyDescent="0.25">
      <c r="G52" s="5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</row>
    <row r="53" spans="7:29" x14ac:dyDescent="0.25">
      <c r="G53" s="5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</row>
    <row r="54" spans="7:29" x14ac:dyDescent="0.25">
      <c r="G54" s="5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</row>
    <row r="55" spans="7:29" x14ac:dyDescent="0.25">
      <c r="G55" s="5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</row>
    <row r="56" spans="7:29" x14ac:dyDescent="0.25">
      <c r="G56" s="5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</row>
    <row r="57" spans="7:29" x14ac:dyDescent="0.25">
      <c r="G57" s="5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</row>
    <row r="58" spans="7:29" x14ac:dyDescent="0.25">
      <c r="G58" s="5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</row>
    <row r="59" spans="7:29" x14ac:dyDescent="0.25">
      <c r="G59" s="5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</row>
    <row r="60" spans="7:29" x14ac:dyDescent="0.25">
      <c r="G60" s="5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</row>
    <row r="61" spans="7:29" x14ac:dyDescent="0.25">
      <c r="G61" s="5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</row>
    <row r="62" spans="7:29" x14ac:dyDescent="0.25">
      <c r="G62" s="5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</row>
    <row r="63" spans="7:29" x14ac:dyDescent="0.25">
      <c r="G63" s="5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</row>
    <row r="64" spans="7:29" ht="15.75" thickBot="1" x14ac:dyDescent="0.3">
      <c r="G64" s="56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1"/>
    </row>
  </sheetData>
  <sortState ref="A4:AB22">
    <sortCondition ref="B4:B22"/>
    <sortCondition ref="C4:C22"/>
  </sortState>
  <mergeCells count="6">
    <mergeCell ref="B23:C23"/>
    <mergeCell ref="B2:B3"/>
    <mergeCell ref="C2:C3"/>
    <mergeCell ref="D2:D3"/>
    <mergeCell ref="E2:E3"/>
    <mergeCell ref="B4:B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70"/>
  <sheetViews>
    <sheetView showGridLines="0" workbookViewId="0">
      <selection activeCell="M7" sqref="M7"/>
    </sheetView>
  </sheetViews>
  <sheetFormatPr defaultRowHeight="15" x14ac:dyDescent="0.25"/>
  <cols>
    <col min="1" max="1" width="2.42578125" customWidth="1"/>
    <col min="2" max="2" width="14.7109375" style="3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23" ht="15.75" thickBot="1" x14ac:dyDescent="0.3">
      <c r="I1" s="29"/>
    </row>
    <row r="2" spans="1:23" ht="15" customHeight="1" x14ac:dyDescent="0.25">
      <c r="B2" s="135" t="s">
        <v>20</v>
      </c>
      <c r="C2" s="140" t="s">
        <v>41</v>
      </c>
      <c r="D2" s="140" t="s">
        <v>48</v>
      </c>
      <c r="E2" s="140" t="s">
        <v>42</v>
      </c>
      <c r="F2" s="140" t="s">
        <v>43</v>
      </c>
      <c r="G2" s="140" t="s">
        <v>44</v>
      </c>
      <c r="H2" s="140" t="s">
        <v>45</v>
      </c>
      <c r="I2" s="140" t="s">
        <v>47</v>
      </c>
      <c r="J2" s="140" t="s">
        <v>46</v>
      </c>
    </row>
    <row r="3" spans="1:23" ht="15.75" customHeight="1" thickBot="1" x14ac:dyDescent="0.3">
      <c r="B3" s="136"/>
      <c r="C3" s="142"/>
      <c r="D3" s="142"/>
      <c r="E3" s="142"/>
      <c r="F3" s="142"/>
      <c r="G3" s="142"/>
      <c r="H3" s="142"/>
      <c r="I3" s="142"/>
      <c r="J3" s="142"/>
    </row>
    <row r="4" spans="1:23" x14ac:dyDescent="0.25">
      <c r="A4" s="23"/>
      <c r="B4" s="7" t="s">
        <v>69</v>
      </c>
      <c r="C4" s="18">
        <f>SUM(SUMIF('Raw Data'!$D$5:$D$500,$B4, 'Raw Data'!$I$5:$KI$500))</f>
        <v>0</v>
      </c>
      <c r="D4" s="28">
        <f>SUM(COUNTIF('Raw Data'!$D$5:$D$500,$B4))</f>
        <v>0</v>
      </c>
      <c r="E4" s="18" t="str">
        <f>IF($D4,(SUM(SUMIF('Raw Data'!$D$5:$D$500,$B4, 'Raw Data'!$I$5:$I$500))/SUM(COUNTIF('Raw Data'!$D$5:$D$500,$B4))),"NA")</f>
        <v>NA</v>
      </c>
      <c r="F4" s="25" t="str">
        <f>IF(D4,SUM(SUMIF('Raw Data'!$D$5:$D$500,$B4, 'Raw Data'!$K$5:$K$500))/SUM(COUNTIF('Raw Data'!$D$5:$D$500,$B4)),"NA")</f>
        <v>NA</v>
      </c>
      <c r="G4" s="25" t="str">
        <f>IF(D4,SUM(SUMIF('Raw Data'!$D$5:$D$500,$B4, 'Raw Data'!$M$5:$M$500))/SUM(COUNTIF('Raw Data'!$D$5:$D$500,$B4)),"NA")</f>
        <v>NA</v>
      </c>
      <c r="H4" s="18" t="str">
        <f>IF(D4,SUM(SUMIF('Raw Data'!$D$5:$D$500,$B4,'Raw Data'!$N$5:$N$500))/SUM(COUNTIF('Raw Data'!$D$5:$D$500,$B4)),"NA")</f>
        <v>NA</v>
      </c>
      <c r="I4" s="18" t="str">
        <f>IF(D4,SUM(SUMIF('Raw Data'!$D$5:$D$500,$B4, 'Raw Data'!$O$5:$O$500)),"NA")</f>
        <v>NA</v>
      </c>
      <c r="J4" s="18" t="str">
        <f>IF(D4,SUM(SUMIF('Raw Data'!$D$5:$D$500,$B4, 'Raw Data'!$O$5:$O$500))/SUM(COUNTIF('Raw Data'!$D$5:$D$500,$B4)),"NA")</f>
        <v>NA</v>
      </c>
    </row>
    <row r="5" spans="1:23" x14ac:dyDescent="0.25">
      <c r="A5" s="23"/>
      <c r="B5" s="6" t="s">
        <v>66</v>
      </c>
      <c r="C5" s="18">
        <f>SUM(SUMIF('Raw Data'!$D$5:$D$500,$B5, 'Raw Data'!$I$5:$KI$500))</f>
        <v>0</v>
      </c>
      <c r="D5" s="28">
        <f>SUM(COUNTIF('Raw Data'!$D$5:$D$500,$B5))</f>
        <v>0</v>
      </c>
      <c r="E5" s="18" t="str">
        <f>IF($D5,(SUM(SUMIF('Raw Data'!$D$5:$D$500,$B5, 'Raw Data'!$I$5:$I$500))/SUM(COUNTIF('Raw Data'!$D$5:$D$500,$B5))),"NA")</f>
        <v>NA</v>
      </c>
      <c r="F5" s="25" t="str">
        <f>IF(D5,SUM(SUMIF('Raw Data'!$D$5:$D$500,$B5, 'Raw Data'!$K$5:$K$500))/SUM(COUNTIF('Raw Data'!$D$5:$D$500,$B5)),"NA")</f>
        <v>NA</v>
      </c>
      <c r="G5" s="25" t="str">
        <f>IF(D5,SUM(SUMIF('Raw Data'!$D$5:$D$500,$B5, 'Raw Data'!$M$5:$M$500))/SUM(COUNTIF('Raw Data'!$D$5:$D$500,$B5)),"NA")</f>
        <v>NA</v>
      </c>
      <c r="H5" s="18" t="str">
        <f>IF(D5,SUM(SUMIF('Raw Data'!$D$5:$D$500,$B5,'Raw Data'!$N$5:$N$500))/SUM(COUNTIF('Raw Data'!$D$5:$D$500,$B5)),"NA")</f>
        <v>NA</v>
      </c>
      <c r="I5" s="18" t="str">
        <f>IF(D5,SUM(SUMIF('Raw Data'!$D$5:$D$500,$B5, 'Raw Data'!$O$5:$O$500)),"NA")</f>
        <v>NA</v>
      </c>
      <c r="J5" s="18" t="str">
        <f>IF(D5,SUM(SUMIF('Raw Data'!$D$5:$D$500,$B5, 'Raw Data'!$O$5:$O$500))/SUM(COUNTIF('Raw Data'!$D$5:$D$500,$B5)),"NA")</f>
        <v>NA</v>
      </c>
    </row>
    <row r="6" spans="1:23" x14ac:dyDescent="0.25">
      <c r="A6" s="23"/>
      <c r="B6" s="7" t="s">
        <v>59</v>
      </c>
      <c r="C6" s="18">
        <f>SUM(SUMIF('Raw Data'!$D$5:$D$500,$B6, 'Raw Data'!$I$5:$KI$500))</f>
        <v>0</v>
      </c>
      <c r="D6" s="28">
        <f>SUM(COUNTIF('Raw Data'!$D$5:$D$500,$B6))</f>
        <v>0</v>
      </c>
      <c r="E6" s="18" t="str">
        <f>IF($D6,(SUM(SUMIF('Raw Data'!$D$5:$D$500,$B6, 'Raw Data'!$I$5:$I$500))/SUM(COUNTIF('Raw Data'!$D$5:$D$500,$B6))),"NA")</f>
        <v>NA</v>
      </c>
      <c r="F6" s="25" t="str">
        <f>IF(D6,SUM(SUMIF('Raw Data'!$D$5:$D$500,$B6, 'Raw Data'!$K$5:$K$500))/SUM(COUNTIF('Raw Data'!$D$5:$D$500,$B6)),"NA")</f>
        <v>NA</v>
      </c>
      <c r="G6" s="25" t="str">
        <f>IF(D6,SUM(SUMIF('Raw Data'!$D$5:$D$500,$B6, 'Raw Data'!$M$5:$M$500))/SUM(COUNTIF('Raw Data'!$D$5:$D$500,$B6)),"NA")</f>
        <v>NA</v>
      </c>
      <c r="H6" s="18" t="str">
        <f>IF(D6,SUM(SUMIF('Raw Data'!$D$5:$D$500,$B6,'Raw Data'!$N$5:$N$500))/SUM(COUNTIF('Raw Data'!$D$5:$D$500,$B6)),"NA")</f>
        <v>NA</v>
      </c>
      <c r="I6" s="18" t="str">
        <f>IF(D6,SUM(SUMIF('Raw Data'!$D$5:$D$500,$B6, 'Raw Data'!$O$5:$O$500)),"NA")</f>
        <v>NA</v>
      </c>
      <c r="J6" s="18" t="str">
        <f>IF(D6,SUM(SUMIF('Raw Data'!$D$5:$D$500,$B6, 'Raw Data'!$O$5:$O$500))/SUM(COUNTIF('Raw Data'!$D$5:$D$500,$B6)),"NA")</f>
        <v>NA</v>
      </c>
    </row>
    <row r="7" spans="1:23" x14ac:dyDescent="0.25">
      <c r="A7" s="23"/>
      <c r="B7" s="6" t="s">
        <v>63</v>
      </c>
      <c r="C7" s="18">
        <f>SUM(SUMIF('Raw Data'!$D$5:$D$500,$B7, 'Raw Data'!$I$5:$KI$500))</f>
        <v>0</v>
      </c>
      <c r="D7" s="28">
        <f>SUM(COUNTIF('Raw Data'!$D$5:$D$500,$B7))</f>
        <v>0</v>
      </c>
      <c r="E7" s="18" t="str">
        <f>IF($D7,(SUM(SUMIF('Raw Data'!$D$5:$D$500,$B7, 'Raw Data'!$I$5:$I$500))/SUM(COUNTIF('Raw Data'!$D$5:$D$500,$B7))),"NA")</f>
        <v>NA</v>
      </c>
      <c r="F7" s="25" t="str">
        <f>IF(D7,SUM(SUMIF('Raw Data'!$D$5:$D$500,$B7, 'Raw Data'!$K$5:$K$500))/SUM(COUNTIF('Raw Data'!$D$5:$D$500,$B7)),"NA")</f>
        <v>NA</v>
      </c>
      <c r="G7" s="25" t="str">
        <f>IF(D7,SUM(SUMIF('Raw Data'!$D$5:$D$500,$B7, 'Raw Data'!$M$5:$M$500))/SUM(COUNTIF('Raw Data'!$D$5:$D$500,$B7)),"NA")</f>
        <v>NA</v>
      </c>
      <c r="H7" s="18" t="str">
        <f>IF(D7,SUM(SUMIF('Raw Data'!$D$5:$D$500,$B7,'Raw Data'!$N$5:$N$500))/SUM(COUNTIF('Raw Data'!$D$5:$D$500,$B7)),"NA")</f>
        <v>NA</v>
      </c>
      <c r="I7" s="18" t="str">
        <f>IF(D7,SUM(SUMIF('Raw Data'!$D$5:$D$500,$B7, 'Raw Data'!$O$5:$O$500)),"NA")</f>
        <v>NA</v>
      </c>
      <c r="J7" s="18" t="str">
        <f>IF(D7,SUM(SUMIF('Raw Data'!$D$5:$D$500,$B7, 'Raw Data'!$O$5:$O$500))/SUM(COUNTIF('Raw Data'!$D$5:$D$500,$B7)),"NA")</f>
        <v>NA</v>
      </c>
      <c r="Q7" s="2"/>
    </row>
    <row r="8" spans="1:23" x14ac:dyDescent="0.25">
      <c r="A8" s="23"/>
      <c r="B8" s="6" t="s">
        <v>64</v>
      </c>
      <c r="C8" s="18">
        <f>SUM(SUMIF('Raw Data'!$D$5:$D$500,$B8, 'Raw Data'!$I$5:$KI$500))</f>
        <v>0</v>
      </c>
      <c r="D8" s="28">
        <f>SUM(COUNTIF('Raw Data'!$D$5:$D$500,$B8))</f>
        <v>0</v>
      </c>
      <c r="E8" s="18" t="str">
        <f>IF($D8,(SUM(SUMIF('Raw Data'!$D$5:$D$500,$B8, 'Raw Data'!$I$5:$I$500))/SUM(COUNTIF('Raw Data'!$D$5:$D$500,$B8))),"NA")</f>
        <v>NA</v>
      </c>
      <c r="F8" s="25" t="str">
        <f>IF(D8,SUM(SUMIF('Raw Data'!$D$5:$D$500,$B8, 'Raw Data'!$K$5:$K$500))/SUM(COUNTIF('Raw Data'!$D$5:$D$500,$B8)),"NA")</f>
        <v>NA</v>
      </c>
      <c r="G8" s="25" t="str">
        <f>IF(D8,SUM(SUMIF('Raw Data'!$D$5:$D$500,$B8, 'Raw Data'!$M$5:$M$500))/SUM(COUNTIF('Raw Data'!$D$5:$D$500,$B8)),"NA")</f>
        <v>NA</v>
      </c>
      <c r="H8" s="18" t="str">
        <f>IF(D8,SUM(SUMIF('Raw Data'!$D$5:$D$500,$B8,'Raw Data'!$N$5:$N$500))/SUM(COUNTIF('Raw Data'!$D$5:$D$500,$B8)),"NA")</f>
        <v>NA</v>
      </c>
      <c r="I8" s="18" t="str">
        <f>IF(D8,SUM(SUMIF('Raw Data'!$D$5:$D$500,$B8, 'Raw Data'!$O$5:$O$500)),"NA")</f>
        <v>NA</v>
      </c>
      <c r="J8" s="18" t="str">
        <f>IF(D8,SUM(SUMIF('Raw Data'!$D$5:$D$500,$B8, 'Raw Data'!$O$5:$O$500))/SUM(COUNTIF('Raw Data'!$D$5:$D$500,$B8)),"NA")</f>
        <v>NA</v>
      </c>
    </row>
    <row r="9" spans="1:23" x14ac:dyDescent="0.25">
      <c r="A9" s="23"/>
      <c r="B9" s="6"/>
      <c r="C9" s="18">
        <f>SUM(SUMIF('Raw Data'!$D$5:$D$500,$B9, 'Raw Data'!$I$5:$KI$500))</f>
        <v>0</v>
      </c>
      <c r="D9" s="28">
        <f>SUM(COUNTIF('Raw Data'!$D$5:$D$500,$B9))</f>
        <v>0</v>
      </c>
      <c r="E9" s="18" t="str">
        <f>IF($D9,(SUM(SUMIF('Raw Data'!$D$5:$D$500,$B9, 'Raw Data'!$I$5:$I$500))/SUM(COUNTIF('Raw Data'!$D$5:$D$500,$B9))),"NA")</f>
        <v>NA</v>
      </c>
      <c r="F9" s="25" t="str">
        <f>IF(D9,SUM(SUMIF('Raw Data'!$D$5:$D$500,$B9, 'Raw Data'!$K$5:$K$500))/SUM(COUNTIF('Raw Data'!$D$5:$D$500,$B9)),"NA")</f>
        <v>NA</v>
      </c>
      <c r="G9" s="25" t="str">
        <f>IF(D9,SUM(SUMIF('Raw Data'!$D$5:$D$500,$B9, 'Raw Data'!$M$5:$M$500))/SUM(COUNTIF('Raw Data'!$D$5:$D$500,$B9)),"NA")</f>
        <v>NA</v>
      </c>
      <c r="H9" s="18" t="str">
        <f>IF(D9,SUM(SUMIF('Raw Data'!$D$5:$D$500,$B9,'Raw Data'!$N$5:$N$500))/SUM(COUNTIF('Raw Data'!$D$5:$D$500,$B9)),"NA")</f>
        <v>NA</v>
      </c>
      <c r="I9" s="18" t="str">
        <f>IF(D9,SUM(SUMIF('Raw Data'!$D$5:$D$500,$B9, 'Raw Data'!$O$5:$O$500)),"NA")</f>
        <v>NA</v>
      </c>
      <c r="J9" s="18" t="str">
        <f>IF(D9,SUM(SUMIF('Raw Data'!$D$5:$D$500,$B9, 'Raw Data'!$O$5:$O$500))/SUM(COUNTIF('Raw Data'!$D$5:$D$500,$B9)),"NA")</f>
        <v>NA</v>
      </c>
    </row>
    <row r="10" spans="1:23" x14ac:dyDescent="0.25">
      <c r="A10" s="23"/>
      <c r="B10" s="6"/>
      <c r="C10" s="18">
        <f>SUM(SUMIF('Raw Data'!$D$5:$D$500,$B10, 'Raw Data'!$I$5:$KI$500))</f>
        <v>0</v>
      </c>
      <c r="D10" s="28">
        <f>SUM(COUNTIF('Raw Data'!$D$5:$D$500,$B10))</f>
        <v>0</v>
      </c>
      <c r="E10" s="18" t="str">
        <f>IF($D10,(SUM(SUMIF('Raw Data'!$D$5:$D$500,$B10, 'Raw Data'!$I$5:$I$500))/SUM(COUNTIF('Raw Data'!$D$5:$D$500,$B10))),"NA")</f>
        <v>NA</v>
      </c>
      <c r="F10" s="25" t="str">
        <f>IF(D10,SUM(SUMIF('Raw Data'!$D$5:$D$500,$B10, 'Raw Data'!$K$5:$K$500))/SUM(COUNTIF('Raw Data'!$D$5:$D$500,$B10)),"NA")</f>
        <v>NA</v>
      </c>
      <c r="G10" s="25" t="str">
        <f>IF(D10,SUM(SUMIF('Raw Data'!$D$5:$D$500,$B10, 'Raw Data'!$M$5:$M$500))/SUM(COUNTIF('Raw Data'!$D$5:$D$500,$B10)),"NA")</f>
        <v>NA</v>
      </c>
      <c r="H10" s="18" t="str">
        <f>IF(D10,SUM(SUMIF('Raw Data'!$D$5:$D$500,$B10,'Raw Data'!$N$5:$N$500))/SUM(COUNTIF('Raw Data'!$D$5:$D$500,$B10)),"NA")</f>
        <v>NA</v>
      </c>
      <c r="I10" s="18" t="str">
        <f>IF(D10,SUM(SUMIF('Raw Data'!$D$5:$D$500,$B10, 'Raw Data'!$O$5:$O$500)),"NA")</f>
        <v>NA</v>
      </c>
      <c r="J10" s="18" t="str">
        <f>IF(D10,SUM(SUMIF('Raw Data'!$D$5:$D$500,$B10, 'Raw Data'!$O$5:$O$500))/SUM(COUNTIF('Raw Data'!$D$5:$D$500,$B10)),"NA")</f>
        <v>NA</v>
      </c>
    </row>
    <row r="11" spans="1:23" x14ac:dyDescent="0.25">
      <c r="A11" s="23"/>
      <c r="B11" s="7"/>
      <c r="C11" s="18">
        <f>SUM(SUMIF('Raw Data'!$D$5:$D$500,$B11, 'Raw Data'!$I$5:$KI$500))</f>
        <v>0</v>
      </c>
      <c r="D11" s="28">
        <f>SUM(COUNTIF('Raw Data'!$D$5:$D$500,$B11))</f>
        <v>0</v>
      </c>
      <c r="E11" s="18" t="str">
        <f>IF($D11,(SUM(SUMIF('Raw Data'!$D$5:$D$500,$B11, 'Raw Data'!$I$5:$I$500))/SUM(COUNTIF('Raw Data'!$D$5:$D$500,$B11))),"NA")</f>
        <v>NA</v>
      </c>
      <c r="F11" s="25" t="str">
        <f>IF(D11,SUM(SUMIF('Raw Data'!$D$5:$D$500,$B11, 'Raw Data'!$K$5:$K$500))/SUM(COUNTIF('Raw Data'!$D$5:$D$500,$B11)),"NA")</f>
        <v>NA</v>
      </c>
      <c r="G11" s="25" t="str">
        <f>IF(D11,SUM(SUMIF('Raw Data'!$D$5:$D$500,$B11, 'Raw Data'!$M$5:$M$500))/SUM(COUNTIF('Raw Data'!$D$5:$D$500,$B11)),"NA")</f>
        <v>NA</v>
      </c>
      <c r="H11" s="18" t="str">
        <f>IF(D11,SUM(SUMIF('Raw Data'!$D$5:$D$500,$B11,'Raw Data'!$N$5:$N$500))/SUM(COUNTIF('Raw Data'!$D$5:$D$500,$B11)),"NA")</f>
        <v>NA</v>
      </c>
      <c r="I11" s="18" t="str">
        <f>IF(D11,SUM(SUMIF('Raw Data'!$D$5:$D$500,$B11, 'Raw Data'!$O$5:$O$500)),"NA")</f>
        <v>NA</v>
      </c>
      <c r="J11" s="18" t="str">
        <f>IF(D11,SUM(SUMIF('Raw Data'!$D$5:$D$500,$B11, 'Raw Data'!$O$5:$O$500))/SUM(COUNTIF('Raw Data'!$D$5:$D$500,$B11)),"NA")</f>
        <v>NA</v>
      </c>
    </row>
    <row r="12" spans="1:23" ht="15.75" thickBot="1" x14ac:dyDescent="0.3">
      <c r="A12" s="23"/>
      <c r="B12" s="6"/>
      <c r="C12" s="18">
        <f>SUM(SUMIF('Raw Data'!$D$5:$D$500,$B12, 'Raw Data'!$I$5:$KI$500))</f>
        <v>0</v>
      </c>
      <c r="D12" s="28">
        <f>SUM(COUNTIF('Raw Data'!$D$5:$D$500,$B12))</f>
        <v>0</v>
      </c>
      <c r="E12" s="18" t="str">
        <f>IF($D12,(SUM(SUMIF('Raw Data'!$D$5:$D$500,$B12, 'Raw Data'!$I$5:$I$500))/SUM(COUNTIF('Raw Data'!$D$5:$D$500,$B12))),"NA")</f>
        <v>NA</v>
      </c>
      <c r="F12" s="25" t="str">
        <f>IF(D12,SUM(SUMIF('Raw Data'!$D$5:$D$500,$B12, 'Raw Data'!$K$5:$K$500))/SUM(COUNTIF('Raw Data'!$D$5:$D$500,$B12)),"NA")</f>
        <v>NA</v>
      </c>
      <c r="G12" s="25" t="str">
        <f>IF(D12,SUM(SUMIF('Raw Data'!$D$5:$D$500,$B12, 'Raw Data'!$M$5:$M$500))/SUM(COUNTIF('Raw Data'!$D$5:$D$500,$B12)),"NA")</f>
        <v>NA</v>
      </c>
      <c r="H12" s="18" t="str">
        <f>IF(D12,SUM(SUMIF('Raw Data'!$D$5:$D$500,$B12,'Raw Data'!$N$5:$N$500))/SUM(COUNTIF('Raw Data'!$D$5:$D$500,$B12)),"NA")</f>
        <v>NA</v>
      </c>
      <c r="I12" s="18" t="str">
        <f>IF(D12,SUM(SUMIF('Raw Data'!$D$5:$D$500,$B12, 'Raw Data'!$O$5:$O$500)),"NA")</f>
        <v>NA</v>
      </c>
      <c r="J12" s="18" t="str">
        <f>IF(D12,SUM(SUMIF('Raw Data'!$D$5:$D$500,$B12, 'Raw Data'!$O$5:$O$500))/SUM(COUNTIF('Raw Data'!$D$5:$D$500,$B12)),"NA")</f>
        <v>NA</v>
      </c>
    </row>
    <row r="13" spans="1:23" ht="15.75" customHeight="1" x14ac:dyDescent="0.25">
      <c r="B13" s="135"/>
      <c r="C13" s="168">
        <f>SUM(C4:C11)</f>
        <v>0</v>
      </c>
      <c r="D13" s="170">
        <f>SUM(D4:D11)</f>
        <v>0</v>
      </c>
      <c r="E13" s="168" t="e">
        <f>AVERAGE(E4:E11)</f>
        <v>#DIV/0!</v>
      </c>
      <c r="F13" s="166" t="e">
        <f>AVERAGE(F4:F11)</f>
        <v>#DIV/0!</v>
      </c>
      <c r="G13" s="166" t="e">
        <f>AVERAGE(G4:G11)</f>
        <v>#DIV/0!</v>
      </c>
      <c r="H13" s="168" t="e">
        <f>AVERAGE(H4:H11)</f>
        <v>#DIV/0!</v>
      </c>
      <c r="I13" s="168">
        <f>SUM(I4:I11)</f>
        <v>0</v>
      </c>
      <c r="J13" s="168" t="e">
        <f>AVERAGE(J4:J11)</f>
        <v>#DIV/0!</v>
      </c>
    </row>
    <row r="14" spans="1:23" ht="15.75" customHeight="1" thickBot="1" x14ac:dyDescent="0.3">
      <c r="B14" s="136"/>
      <c r="C14" s="169"/>
      <c r="D14" s="171"/>
      <c r="E14" s="169"/>
      <c r="F14" s="167"/>
      <c r="G14" s="167"/>
      <c r="H14" s="169"/>
      <c r="I14" s="169"/>
      <c r="J14" s="169"/>
    </row>
    <row r="15" spans="1:23" ht="15.75" thickBot="1" x14ac:dyDescent="0.3">
      <c r="B15" s="19"/>
      <c r="C15" s="20"/>
      <c r="D15" s="20"/>
      <c r="E15" s="20"/>
      <c r="F15" s="20"/>
      <c r="G15" s="20"/>
      <c r="H15" s="20"/>
      <c r="I15" s="20"/>
      <c r="J15" s="20"/>
    </row>
    <row r="16" spans="1:23" x14ac:dyDescent="0.25">
      <c r="B16" s="30"/>
      <c r="C16" s="31"/>
      <c r="D16" s="31"/>
      <c r="E16" s="31"/>
      <c r="F16" s="31"/>
      <c r="G16" s="31"/>
      <c r="H16" s="31"/>
      <c r="I16" s="31"/>
      <c r="J16" s="31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</row>
    <row r="17" spans="2:23" x14ac:dyDescent="0.25">
      <c r="B17" s="34"/>
      <c r="C17" s="21"/>
      <c r="D17" s="21"/>
      <c r="E17" s="21"/>
      <c r="F17" s="21"/>
      <c r="G17" s="21"/>
      <c r="H17" s="21"/>
      <c r="I17" s="21"/>
      <c r="J17" s="21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6"/>
    </row>
    <row r="18" spans="2:23" x14ac:dyDescent="0.25">
      <c r="B18" s="34"/>
      <c r="C18" s="21"/>
      <c r="D18" s="21"/>
      <c r="E18" s="21"/>
      <c r="F18" s="21"/>
      <c r="G18" s="21"/>
      <c r="H18" s="21"/>
      <c r="I18" s="21"/>
      <c r="J18" s="21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6"/>
    </row>
    <row r="19" spans="2:23" x14ac:dyDescent="0.25">
      <c r="B19" s="34"/>
      <c r="C19" s="21"/>
      <c r="D19" s="21"/>
      <c r="E19" s="21"/>
      <c r="F19" s="21"/>
      <c r="G19" s="21"/>
      <c r="H19" s="21"/>
      <c r="I19" s="21"/>
      <c r="J19" s="21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6"/>
    </row>
    <row r="20" spans="2:23" x14ac:dyDescent="0.25">
      <c r="B20" s="34"/>
      <c r="C20" s="21"/>
      <c r="D20" s="21"/>
      <c r="E20" s="21"/>
      <c r="F20" s="21"/>
      <c r="G20" s="21"/>
      <c r="H20" s="21"/>
      <c r="I20" s="21"/>
      <c r="J20" s="21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</row>
    <row r="21" spans="2:23" x14ac:dyDescent="0.25">
      <c r="B21" s="34"/>
      <c r="C21" s="21"/>
      <c r="D21" s="21"/>
      <c r="E21" s="21"/>
      <c r="F21" s="21"/>
      <c r="G21" s="21"/>
      <c r="H21" s="21"/>
      <c r="I21" s="21"/>
      <c r="J21" s="21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2:23" x14ac:dyDescent="0.25">
      <c r="B22" s="34"/>
      <c r="C22" s="21"/>
      <c r="D22" s="21"/>
      <c r="E22" s="21"/>
      <c r="F22" s="21"/>
      <c r="G22" s="21"/>
      <c r="H22" s="21"/>
      <c r="I22" s="21"/>
      <c r="J22" s="21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</row>
    <row r="23" spans="2:23" x14ac:dyDescent="0.25">
      <c r="B23" s="34"/>
      <c r="C23" s="21"/>
      <c r="D23" s="21"/>
      <c r="E23" s="21"/>
      <c r="F23" s="21"/>
      <c r="G23" s="21"/>
      <c r="H23" s="21"/>
      <c r="I23" s="21"/>
      <c r="J23" s="21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</row>
    <row r="24" spans="2:23" x14ac:dyDescent="0.25">
      <c r="B24" s="34"/>
      <c r="C24" s="21"/>
      <c r="D24" s="21"/>
      <c r="E24" s="21"/>
      <c r="F24" s="21"/>
      <c r="G24" s="21"/>
      <c r="H24" s="21"/>
      <c r="I24" s="21"/>
      <c r="J24" s="21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</row>
    <row r="25" spans="2:23" x14ac:dyDescent="0.25">
      <c r="B25" s="34"/>
      <c r="C25" s="21"/>
      <c r="D25" s="21"/>
      <c r="E25" s="21"/>
      <c r="F25" s="21"/>
      <c r="G25" s="21"/>
      <c r="H25" s="21"/>
      <c r="I25" s="21"/>
      <c r="J25" s="21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</row>
    <row r="26" spans="2:23" x14ac:dyDescent="0.25">
      <c r="B26" s="34"/>
      <c r="C26" s="21"/>
      <c r="D26" s="21"/>
      <c r="E26" s="21"/>
      <c r="F26" s="21"/>
      <c r="G26" s="21"/>
      <c r="H26" s="21"/>
      <c r="I26" s="21"/>
      <c r="J26" s="21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</row>
    <row r="27" spans="2:23" x14ac:dyDescent="0.25">
      <c r="B27" s="34"/>
      <c r="C27" s="21"/>
      <c r="D27" s="21"/>
      <c r="E27" s="21"/>
      <c r="F27" s="21"/>
      <c r="G27" s="21"/>
      <c r="H27" s="21"/>
      <c r="I27" s="21"/>
      <c r="J27" s="2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2:23" x14ac:dyDescent="0.25">
      <c r="B28" s="34"/>
      <c r="C28" s="21"/>
      <c r="D28" s="21"/>
      <c r="E28" s="21"/>
      <c r="F28" s="21"/>
      <c r="G28" s="21"/>
      <c r="H28" s="21"/>
      <c r="I28" s="21"/>
      <c r="J28" s="2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2:23" x14ac:dyDescent="0.25">
      <c r="B29" s="34"/>
      <c r="C29" s="21"/>
      <c r="D29" s="21"/>
      <c r="E29" s="21"/>
      <c r="F29" s="21"/>
      <c r="G29" s="21"/>
      <c r="H29" s="21"/>
      <c r="I29" s="21"/>
      <c r="J29" s="2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</row>
    <row r="30" spans="2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2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2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7"/>
      <c r="C35" s="20"/>
      <c r="D35" s="20"/>
      <c r="E35" s="20"/>
      <c r="F35" s="20"/>
      <c r="G35" s="20"/>
      <c r="H35" s="20"/>
      <c r="I35" s="20"/>
      <c r="J35" s="20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7"/>
      <c r="C36" s="20"/>
      <c r="D36" s="20"/>
      <c r="E36" s="20"/>
      <c r="F36" s="20"/>
      <c r="G36" s="20"/>
      <c r="H36" s="20"/>
      <c r="I36" s="20"/>
      <c r="J36" s="20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7"/>
      <c r="C37" s="20"/>
      <c r="D37" s="20"/>
      <c r="E37" s="20"/>
      <c r="F37" s="20"/>
      <c r="G37" s="20"/>
      <c r="H37" s="20"/>
      <c r="I37" s="20"/>
      <c r="J37" s="20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7"/>
      <c r="C38" s="20"/>
      <c r="D38" s="20"/>
      <c r="E38" s="20"/>
      <c r="F38" s="20"/>
      <c r="G38" s="20"/>
      <c r="H38" s="20"/>
      <c r="I38" s="20"/>
      <c r="J38" s="2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7"/>
      <c r="C39" s="20"/>
      <c r="D39" s="20"/>
      <c r="E39" s="20"/>
      <c r="F39" s="20"/>
      <c r="G39" s="20"/>
      <c r="H39" s="20"/>
      <c r="I39" s="20"/>
      <c r="J39" s="2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7"/>
      <c r="C40" s="20"/>
      <c r="D40" s="20"/>
      <c r="E40" s="20"/>
      <c r="F40" s="20"/>
      <c r="G40" s="20"/>
      <c r="H40" s="20"/>
      <c r="I40" s="20"/>
      <c r="J40" s="2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7"/>
      <c r="C41" s="20"/>
      <c r="D41" s="20"/>
      <c r="E41" s="20"/>
      <c r="F41" s="20"/>
      <c r="G41" s="20"/>
      <c r="H41" s="20"/>
      <c r="I41" s="20"/>
      <c r="J41" s="2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7"/>
      <c r="C42" s="20"/>
      <c r="D42" s="20"/>
      <c r="E42" s="20"/>
      <c r="F42" s="20"/>
      <c r="G42" s="20"/>
      <c r="H42" s="20"/>
      <c r="I42" s="20"/>
      <c r="J42" s="2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7"/>
      <c r="C43" s="20"/>
      <c r="D43" s="20"/>
      <c r="E43" s="20"/>
      <c r="F43" s="20"/>
      <c r="G43" s="20"/>
      <c r="H43" s="20"/>
      <c r="I43" s="20"/>
      <c r="J43" s="2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7"/>
      <c r="C44" s="20"/>
      <c r="D44" s="20"/>
      <c r="E44" s="20"/>
      <c r="F44" s="20"/>
      <c r="G44" s="20"/>
      <c r="H44" s="20"/>
      <c r="I44" s="20"/>
      <c r="J44" s="2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7"/>
      <c r="C45" s="20"/>
      <c r="D45" s="20"/>
      <c r="E45" s="20"/>
      <c r="F45" s="20"/>
      <c r="G45" s="20"/>
      <c r="H45" s="20"/>
      <c r="I45" s="20"/>
      <c r="J45" s="2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ht="15.75" thickBot="1" x14ac:dyDescent="0.3">
      <c r="B46" s="38"/>
      <c r="C46" s="39"/>
      <c r="D46" s="39"/>
      <c r="E46" s="39"/>
      <c r="F46" s="39"/>
      <c r="G46" s="39"/>
      <c r="H46" s="39"/>
      <c r="I46" s="39"/>
      <c r="J46" s="39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1"/>
    </row>
    <row r="47" spans="2:23" ht="15.75" thickBot="1" x14ac:dyDescent="0.3"/>
    <row r="48" spans="2:23" x14ac:dyDescent="0.25">
      <c r="B48" s="42"/>
      <c r="C48" s="43"/>
      <c r="D48" s="43"/>
      <c r="E48" s="43"/>
      <c r="F48" s="43"/>
      <c r="G48" s="43"/>
      <c r="H48" s="43"/>
      <c r="I48" s="43"/>
      <c r="J48" s="4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3"/>
    </row>
    <row r="49" spans="2:23" x14ac:dyDescent="0.25">
      <c r="B49" s="37"/>
      <c r="C49" s="20"/>
      <c r="D49" s="20"/>
      <c r="E49" s="20"/>
      <c r="F49" s="20"/>
      <c r="G49" s="20"/>
      <c r="H49" s="20"/>
      <c r="I49" s="20"/>
      <c r="J49" s="2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6"/>
    </row>
    <row r="50" spans="2:23" x14ac:dyDescent="0.25">
      <c r="B50" s="37"/>
      <c r="C50" s="20"/>
      <c r="D50" s="20"/>
      <c r="E50" s="20"/>
      <c r="F50" s="20"/>
      <c r="G50" s="20"/>
      <c r="H50" s="20"/>
      <c r="I50" s="20"/>
      <c r="J50" s="2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6"/>
    </row>
    <row r="51" spans="2:23" x14ac:dyDescent="0.25">
      <c r="B51" s="37"/>
      <c r="C51" s="20"/>
      <c r="D51" s="20"/>
      <c r="E51" s="20"/>
      <c r="F51" s="20"/>
      <c r="G51" s="20"/>
      <c r="H51" s="20"/>
      <c r="I51" s="20"/>
      <c r="J51" s="2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6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x14ac:dyDescent="0.25">
      <c r="B59" s="37"/>
      <c r="C59" s="20"/>
      <c r="D59" s="20"/>
      <c r="E59" s="20"/>
      <c r="F59" s="20"/>
      <c r="G59" s="20"/>
      <c r="H59" s="20"/>
      <c r="I59" s="20"/>
      <c r="J59" s="20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6"/>
    </row>
    <row r="60" spans="2:23" x14ac:dyDescent="0.25">
      <c r="B60" s="37"/>
      <c r="C60" s="20"/>
      <c r="D60" s="20"/>
      <c r="E60" s="20"/>
      <c r="F60" s="20"/>
      <c r="G60" s="20"/>
      <c r="H60" s="20"/>
      <c r="I60" s="20"/>
      <c r="J60" s="2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</row>
    <row r="61" spans="2:23" x14ac:dyDescent="0.25">
      <c r="B61" s="37"/>
      <c r="C61" s="20"/>
      <c r="D61" s="20"/>
      <c r="E61" s="20"/>
      <c r="F61" s="20"/>
      <c r="G61" s="20"/>
      <c r="H61" s="20"/>
      <c r="I61" s="20"/>
      <c r="J61" s="20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6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ht="15.75" thickBot="1" x14ac:dyDescent="0.3">
      <c r="B78" s="38"/>
      <c r="C78" s="39"/>
      <c r="D78" s="39"/>
      <c r="E78" s="39"/>
      <c r="F78" s="39"/>
      <c r="G78" s="39"/>
      <c r="H78" s="39"/>
      <c r="I78" s="39"/>
      <c r="J78" s="39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/>
    </row>
    <row r="79" spans="2:23" ht="15.75" thickBot="1" x14ac:dyDescent="0.3"/>
    <row r="80" spans="2:23" x14ac:dyDescent="0.25">
      <c r="B80" s="42"/>
      <c r="C80" s="43"/>
      <c r="D80" s="43"/>
      <c r="E80" s="43"/>
      <c r="F80" s="43"/>
      <c r="G80" s="43"/>
      <c r="H80" s="43"/>
      <c r="I80" s="43"/>
      <c r="J80" s="43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3"/>
    </row>
    <row r="81" spans="2:23" x14ac:dyDescent="0.25">
      <c r="B81" s="37"/>
      <c r="C81" s="20"/>
      <c r="D81" s="20"/>
      <c r="E81" s="20"/>
      <c r="F81" s="20"/>
      <c r="G81" s="20"/>
      <c r="H81" s="20"/>
      <c r="I81" s="20"/>
      <c r="J81" s="20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</row>
    <row r="82" spans="2:23" x14ac:dyDescent="0.25">
      <c r="B82" s="37"/>
      <c r="C82" s="20"/>
      <c r="D82" s="20"/>
      <c r="E82" s="20"/>
      <c r="F82" s="20"/>
      <c r="G82" s="20"/>
      <c r="H82" s="20"/>
      <c r="I82" s="20"/>
      <c r="J82" s="20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</row>
    <row r="83" spans="2:23" x14ac:dyDescent="0.25">
      <c r="B83" s="37"/>
      <c r="C83" s="20"/>
      <c r="D83" s="20"/>
      <c r="E83" s="20"/>
      <c r="F83" s="20"/>
      <c r="G83" s="20"/>
      <c r="H83" s="20"/>
      <c r="I83" s="20"/>
      <c r="J83" s="20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x14ac:dyDescent="0.25">
      <c r="B91" s="37"/>
      <c r="C91" s="20"/>
      <c r="D91" s="20"/>
      <c r="E91" s="20"/>
      <c r="F91" s="20"/>
      <c r="G91" s="20"/>
      <c r="H91" s="20"/>
      <c r="I91" s="20"/>
      <c r="J91" s="20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6"/>
    </row>
    <row r="92" spans="2:23" x14ac:dyDescent="0.25">
      <c r="B92" s="37"/>
      <c r="C92" s="20"/>
      <c r="D92" s="20"/>
      <c r="E92" s="20"/>
      <c r="F92" s="20"/>
      <c r="G92" s="20"/>
      <c r="H92" s="20"/>
      <c r="I92" s="20"/>
      <c r="J92" s="20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</row>
    <row r="93" spans="2:23" x14ac:dyDescent="0.25">
      <c r="B93" s="37"/>
      <c r="C93" s="20"/>
      <c r="D93" s="20"/>
      <c r="E93" s="20"/>
      <c r="F93" s="20"/>
      <c r="G93" s="20"/>
      <c r="H93" s="20"/>
      <c r="I93" s="20"/>
      <c r="J93" s="20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6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ht="15.75" thickBot="1" x14ac:dyDescent="0.3">
      <c r="B110" s="38"/>
      <c r="C110" s="39"/>
      <c r="D110" s="39"/>
      <c r="E110" s="39"/>
      <c r="F110" s="39"/>
      <c r="G110" s="39"/>
      <c r="H110" s="39"/>
      <c r="I110" s="39"/>
      <c r="J110" s="39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1"/>
    </row>
    <row r="111" spans="2:23" ht="15.75" thickBot="1" x14ac:dyDescent="0.3"/>
    <row r="112" spans="2:23" x14ac:dyDescent="0.25">
      <c r="B112" s="42"/>
      <c r="C112" s="43"/>
      <c r="D112" s="43"/>
      <c r="E112" s="43"/>
      <c r="F112" s="43"/>
      <c r="G112" s="43"/>
      <c r="H112" s="43"/>
      <c r="I112" s="43"/>
      <c r="J112" s="43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3"/>
    </row>
    <row r="113" spans="2:23" x14ac:dyDescent="0.25">
      <c r="B113" s="37"/>
      <c r="C113" s="20"/>
      <c r="D113" s="20"/>
      <c r="E113" s="20"/>
      <c r="F113" s="20"/>
      <c r="G113" s="20"/>
      <c r="H113" s="20"/>
      <c r="I113" s="20"/>
      <c r="J113" s="20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6"/>
    </row>
    <row r="114" spans="2:23" x14ac:dyDescent="0.25">
      <c r="B114" s="37"/>
      <c r="C114" s="20"/>
      <c r="D114" s="20"/>
      <c r="E114" s="20"/>
      <c r="F114" s="20"/>
      <c r="G114" s="20"/>
      <c r="H114" s="20"/>
      <c r="I114" s="20"/>
      <c r="J114" s="2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6"/>
    </row>
    <row r="115" spans="2:23" x14ac:dyDescent="0.25">
      <c r="B115" s="37"/>
      <c r="C115" s="20"/>
      <c r="D115" s="20"/>
      <c r="E115" s="20"/>
      <c r="F115" s="20"/>
      <c r="G115" s="20"/>
      <c r="H115" s="20"/>
      <c r="I115" s="20"/>
      <c r="J115" s="20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6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x14ac:dyDescent="0.25">
      <c r="B123" s="37"/>
      <c r="C123" s="20"/>
      <c r="D123" s="20"/>
      <c r="E123" s="20"/>
      <c r="F123" s="20"/>
      <c r="G123" s="20"/>
      <c r="H123" s="20"/>
      <c r="I123" s="20"/>
      <c r="J123" s="2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6"/>
    </row>
    <row r="124" spans="2:23" x14ac:dyDescent="0.25">
      <c r="B124" s="37"/>
      <c r="C124" s="20"/>
      <c r="D124" s="20"/>
      <c r="E124" s="20"/>
      <c r="F124" s="20"/>
      <c r="G124" s="20"/>
      <c r="H124" s="20"/>
      <c r="I124" s="20"/>
      <c r="J124" s="2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6"/>
    </row>
    <row r="125" spans="2:23" x14ac:dyDescent="0.25">
      <c r="B125" s="37"/>
      <c r="C125" s="20"/>
      <c r="D125" s="20"/>
      <c r="E125" s="20"/>
      <c r="F125" s="20"/>
      <c r="G125" s="20"/>
      <c r="H125" s="20"/>
      <c r="I125" s="20"/>
      <c r="J125" s="2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6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ht="15.75" thickBot="1" x14ac:dyDescent="0.3">
      <c r="B142" s="38"/>
      <c r="C142" s="39"/>
      <c r="D142" s="39"/>
      <c r="E142" s="39"/>
      <c r="F142" s="39"/>
      <c r="G142" s="39"/>
      <c r="H142" s="39"/>
      <c r="I142" s="39"/>
      <c r="J142" s="39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1"/>
    </row>
    <row r="143" spans="2:23" ht="15.75" thickBot="1" x14ac:dyDescent="0.3"/>
    <row r="144" spans="2:23" x14ac:dyDescent="0.25">
      <c r="B144" s="42"/>
      <c r="C144" s="43"/>
      <c r="D144" s="43"/>
      <c r="E144" s="43"/>
      <c r="F144" s="43"/>
      <c r="G144" s="43"/>
      <c r="H144" s="43"/>
      <c r="I144" s="43"/>
      <c r="J144" s="43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3"/>
    </row>
    <row r="145" spans="2:23" x14ac:dyDescent="0.25">
      <c r="B145" s="37"/>
      <c r="C145" s="20"/>
      <c r="D145" s="20"/>
      <c r="E145" s="20"/>
      <c r="F145" s="20"/>
      <c r="G145" s="20"/>
      <c r="H145" s="20"/>
      <c r="I145" s="20"/>
      <c r="J145" s="2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6"/>
    </row>
    <row r="146" spans="2:23" x14ac:dyDescent="0.25">
      <c r="B146" s="37"/>
      <c r="C146" s="20"/>
      <c r="D146" s="20"/>
      <c r="E146" s="20"/>
      <c r="F146" s="20"/>
      <c r="G146" s="20"/>
      <c r="H146" s="20"/>
      <c r="I146" s="20"/>
      <c r="J146" s="2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6"/>
    </row>
    <row r="147" spans="2:23" x14ac:dyDescent="0.25">
      <c r="B147" s="37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6"/>
    </row>
    <row r="148" spans="2:23" x14ac:dyDescent="0.25">
      <c r="B148" s="37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6"/>
    </row>
    <row r="149" spans="2:23" x14ac:dyDescent="0.25">
      <c r="B149" s="37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6"/>
    </row>
    <row r="150" spans="2:23" x14ac:dyDescent="0.25">
      <c r="B150" s="37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6"/>
    </row>
    <row r="151" spans="2:23" x14ac:dyDescent="0.25">
      <c r="B151" s="37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6"/>
    </row>
    <row r="152" spans="2:23" x14ac:dyDescent="0.25">
      <c r="B152" s="37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6"/>
    </row>
    <row r="153" spans="2:23" x14ac:dyDescent="0.25">
      <c r="B153" s="37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6"/>
    </row>
    <row r="154" spans="2:23" x14ac:dyDescent="0.25">
      <c r="B154" s="37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6"/>
    </row>
    <row r="155" spans="2:23" x14ac:dyDescent="0.25">
      <c r="B155" s="37"/>
      <c r="C155" s="20"/>
      <c r="D155" s="20"/>
      <c r="E155" s="20"/>
      <c r="F155" s="20"/>
      <c r="G155" s="20"/>
      <c r="H155" s="20"/>
      <c r="I155" s="20"/>
      <c r="J155" s="2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6"/>
    </row>
    <row r="156" spans="2:23" x14ac:dyDescent="0.25">
      <c r="B156" s="37"/>
      <c r="C156" s="20"/>
      <c r="D156" s="20"/>
      <c r="E156" s="20"/>
      <c r="F156" s="20"/>
      <c r="G156" s="20"/>
      <c r="H156" s="20"/>
      <c r="I156" s="20"/>
      <c r="J156" s="2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6"/>
    </row>
    <row r="157" spans="2:23" x14ac:dyDescent="0.25">
      <c r="B157" s="37"/>
      <c r="C157" s="20"/>
      <c r="D157" s="20"/>
      <c r="E157" s="20"/>
      <c r="F157" s="20"/>
      <c r="G157" s="20"/>
      <c r="H157" s="20"/>
      <c r="I157" s="20"/>
      <c r="J157" s="2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6"/>
    </row>
    <row r="158" spans="2:23" x14ac:dyDescent="0.25">
      <c r="B158" s="37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6"/>
    </row>
    <row r="159" spans="2:23" x14ac:dyDescent="0.25">
      <c r="B159" s="37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6"/>
    </row>
    <row r="160" spans="2:23" x14ac:dyDescent="0.25">
      <c r="B160" s="37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6"/>
    </row>
    <row r="161" spans="2:23" x14ac:dyDescent="0.25">
      <c r="B161" s="37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6"/>
    </row>
    <row r="162" spans="2:23" x14ac:dyDescent="0.25">
      <c r="B162" s="37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6"/>
    </row>
    <row r="163" spans="2:23" x14ac:dyDescent="0.25">
      <c r="B163" s="37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6"/>
    </row>
    <row r="164" spans="2:23" x14ac:dyDescent="0.25">
      <c r="B164" s="37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6"/>
    </row>
    <row r="165" spans="2:23" x14ac:dyDescent="0.25">
      <c r="B165" s="37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6"/>
    </row>
    <row r="166" spans="2:23" x14ac:dyDescent="0.25">
      <c r="B166" s="37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6"/>
    </row>
    <row r="167" spans="2:23" x14ac:dyDescent="0.25">
      <c r="B167" s="37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6"/>
    </row>
    <row r="168" spans="2:23" x14ac:dyDescent="0.25">
      <c r="B168" s="37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6"/>
    </row>
    <row r="169" spans="2:23" x14ac:dyDescent="0.25">
      <c r="B169" s="37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6"/>
    </row>
    <row r="170" spans="2:23" x14ac:dyDescent="0.25">
      <c r="B170" s="37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6"/>
    </row>
    <row r="171" spans="2:23" x14ac:dyDescent="0.25">
      <c r="B171" s="37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6"/>
    </row>
    <row r="172" spans="2:23" x14ac:dyDescent="0.25">
      <c r="B172" s="37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6"/>
    </row>
    <row r="173" spans="2:23" x14ac:dyDescent="0.25">
      <c r="B173" s="37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6"/>
    </row>
    <row r="174" spans="2:23" ht="15.75" thickBot="1" x14ac:dyDescent="0.3">
      <c r="B174" s="38"/>
      <c r="C174" s="39"/>
      <c r="D174" s="39"/>
      <c r="E174" s="39"/>
      <c r="F174" s="39"/>
      <c r="G174" s="39"/>
      <c r="H174" s="39"/>
      <c r="I174" s="39"/>
      <c r="J174" s="39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1"/>
    </row>
    <row r="175" spans="2:23" ht="15.75" thickBot="1" x14ac:dyDescent="0.3"/>
    <row r="176" spans="2:23" x14ac:dyDescent="0.25">
      <c r="B176" s="42"/>
      <c r="C176" s="43"/>
      <c r="D176" s="43"/>
      <c r="E176" s="43"/>
      <c r="F176" s="43"/>
      <c r="G176" s="43"/>
      <c r="H176" s="43"/>
      <c r="I176" s="43"/>
      <c r="J176" s="43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3"/>
    </row>
    <row r="177" spans="2:23" x14ac:dyDescent="0.25">
      <c r="B177" s="37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6"/>
    </row>
    <row r="178" spans="2:23" x14ac:dyDescent="0.25">
      <c r="B178" s="37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6"/>
    </row>
    <row r="179" spans="2:23" x14ac:dyDescent="0.25">
      <c r="B179" s="37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6"/>
    </row>
    <row r="180" spans="2:23" x14ac:dyDescent="0.25">
      <c r="B180" s="37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6"/>
    </row>
    <row r="181" spans="2:23" x14ac:dyDescent="0.25">
      <c r="B181" s="37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6"/>
    </row>
    <row r="182" spans="2:23" x14ac:dyDescent="0.25">
      <c r="B182" s="37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6"/>
    </row>
    <row r="183" spans="2:23" x14ac:dyDescent="0.25">
      <c r="B183" s="37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6"/>
    </row>
    <row r="184" spans="2:23" x14ac:dyDescent="0.25">
      <c r="B184" s="37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6"/>
    </row>
    <row r="185" spans="2:23" x14ac:dyDescent="0.25">
      <c r="B185" s="37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6"/>
    </row>
    <row r="186" spans="2:23" x14ac:dyDescent="0.25">
      <c r="B186" s="37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6"/>
    </row>
    <row r="187" spans="2:23" x14ac:dyDescent="0.25">
      <c r="B187" s="37"/>
      <c r="C187" s="20"/>
      <c r="D187" s="20"/>
      <c r="E187" s="20"/>
      <c r="F187" s="20"/>
      <c r="G187" s="20"/>
      <c r="H187" s="20"/>
      <c r="I187" s="20"/>
      <c r="J187" s="2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6"/>
    </row>
    <row r="188" spans="2:23" x14ac:dyDescent="0.25">
      <c r="B188" s="37"/>
      <c r="C188" s="20"/>
      <c r="D188" s="20"/>
      <c r="E188" s="20"/>
      <c r="F188" s="20"/>
      <c r="G188" s="20"/>
      <c r="H188" s="20"/>
      <c r="I188" s="20"/>
      <c r="J188" s="2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6"/>
    </row>
    <row r="189" spans="2:23" x14ac:dyDescent="0.25">
      <c r="B189" s="37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6"/>
    </row>
    <row r="190" spans="2:23" x14ac:dyDescent="0.25">
      <c r="B190" s="37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6"/>
    </row>
    <row r="191" spans="2:23" x14ac:dyDescent="0.25">
      <c r="B191" s="37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6"/>
    </row>
    <row r="192" spans="2:23" x14ac:dyDescent="0.25">
      <c r="B192" s="37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6"/>
    </row>
    <row r="193" spans="2:23" x14ac:dyDescent="0.25">
      <c r="B193" s="37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6"/>
    </row>
    <row r="194" spans="2:23" x14ac:dyDescent="0.25">
      <c r="B194" s="37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6"/>
    </row>
    <row r="195" spans="2:23" x14ac:dyDescent="0.25">
      <c r="B195" s="37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6"/>
    </row>
    <row r="196" spans="2:23" x14ac:dyDescent="0.25">
      <c r="B196" s="37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6"/>
    </row>
    <row r="197" spans="2:23" x14ac:dyDescent="0.25">
      <c r="B197" s="37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6"/>
    </row>
    <row r="198" spans="2:23" x14ac:dyDescent="0.25">
      <c r="B198" s="37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6"/>
    </row>
    <row r="199" spans="2:23" x14ac:dyDescent="0.25">
      <c r="B199" s="37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6"/>
    </row>
    <row r="200" spans="2:23" x14ac:dyDescent="0.25">
      <c r="B200" s="37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6"/>
    </row>
    <row r="201" spans="2:23" x14ac:dyDescent="0.25">
      <c r="B201" s="37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6"/>
    </row>
    <row r="202" spans="2:23" x14ac:dyDescent="0.25">
      <c r="B202" s="37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6"/>
    </row>
    <row r="203" spans="2:23" x14ac:dyDescent="0.25">
      <c r="B203" s="37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6"/>
    </row>
    <row r="204" spans="2:23" x14ac:dyDescent="0.25">
      <c r="B204" s="37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6"/>
    </row>
    <row r="205" spans="2:23" x14ac:dyDescent="0.25">
      <c r="B205" s="37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6"/>
    </row>
    <row r="206" spans="2:23" ht="15.75" thickBot="1" x14ac:dyDescent="0.3">
      <c r="B206" s="38"/>
      <c r="C206" s="39"/>
      <c r="D206" s="39"/>
      <c r="E206" s="39"/>
      <c r="F206" s="39"/>
      <c r="G206" s="39"/>
      <c r="H206" s="39"/>
      <c r="I206" s="39"/>
      <c r="J206" s="39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1"/>
    </row>
    <row r="207" spans="2:23" ht="15.75" thickBot="1" x14ac:dyDescent="0.3"/>
    <row r="208" spans="2:23" x14ac:dyDescent="0.25">
      <c r="B208" s="42"/>
      <c r="C208" s="43"/>
      <c r="D208" s="43"/>
      <c r="E208" s="43"/>
      <c r="F208" s="43"/>
      <c r="G208" s="43"/>
      <c r="H208" s="43"/>
      <c r="I208" s="43"/>
      <c r="J208" s="43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3"/>
    </row>
    <row r="209" spans="2:23" x14ac:dyDescent="0.25">
      <c r="B209" s="37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6"/>
    </row>
    <row r="210" spans="2:23" x14ac:dyDescent="0.25">
      <c r="B210" s="37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6"/>
    </row>
    <row r="211" spans="2:23" x14ac:dyDescent="0.25">
      <c r="B211" s="37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6"/>
    </row>
    <row r="212" spans="2:23" x14ac:dyDescent="0.25">
      <c r="B212" s="37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6"/>
    </row>
    <row r="213" spans="2:23" x14ac:dyDescent="0.25">
      <c r="B213" s="37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6"/>
    </row>
    <row r="214" spans="2:23" x14ac:dyDescent="0.25">
      <c r="B214" s="37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6"/>
    </row>
    <row r="215" spans="2:23" x14ac:dyDescent="0.25">
      <c r="B215" s="37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6"/>
    </row>
    <row r="216" spans="2:23" x14ac:dyDescent="0.25">
      <c r="B216" s="37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6"/>
    </row>
    <row r="217" spans="2:23" x14ac:dyDescent="0.25">
      <c r="B217" s="37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6"/>
    </row>
    <row r="218" spans="2:23" x14ac:dyDescent="0.25">
      <c r="B218" s="37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6"/>
    </row>
    <row r="219" spans="2:23" x14ac:dyDescent="0.25">
      <c r="B219" s="37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6"/>
    </row>
    <row r="220" spans="2:23" x14ac:dyDescent="0.25">
      <c r="B220" s="37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6"/>
    </row>
    <row r="221" spans="2:23" x14ac:dyDescent="0.25">
      <c r="B221" s="37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6"/>
    </row>
    <row r="222" spans="2:23" x14ac:dyDescent="0.25">
      <c r="B222" s="37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6"/>
    </row>
    <row r="223" spans="2:23" x14ac:dyDescent="0.25">
      <c r="B223" s="37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6"/>
    </row>
    <row r="224" spans="2:23" x14ac:dyDescent="0.25">
      <c r="B224" s="37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6"/>
    </row>
    <row r="225" spans="2:23" x14ac:dyDescent="0.25">
      <c r="B225" s="37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6"/>
    </row>
    <row r="226" spans="2:23" x14ac:dyDescent="0.25">
      <c r="B226" s="37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6"/>
    </row>
    <row r="227" spans="2:23" x14ac:dyDescent="0.25">
      <c r="B227" s="37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6"/>
    </row>
    <row r="228" spans="2:23" x14ac:dyDescent="0.25">
      <c r="B228" s="37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6"/>
    </row>
    <row r="229" spans="2:23" x14ac:dyDescent="0.25">
      <c r="B229" s="37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6"/>
    </row>
    <row r="230" spans="2:23" x14ac:dyDescent="0.25">
      <c r="B230" s="37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6"/>
    </row>
    <row r="231" spans="2:23" x14ac:dyDescent="0.25">
      <c r="B231" s="37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6"/>
    </row>
    <row r="232" spans="2:23" x14ac:dyDescent="0.25">
      <c r="B232" s="37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6"/>
    </row>
    <row r="233" spans="2:23" x14ac:dyDescent="0.25">
      <c r="B233" s="37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6"/>
    </row>
    <row r="234" spans="2:23" x14ac:dyDescent="0.25">
      <c r="B234" s="37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6"/>
    </row>
    <row r="235" spans="2:23" x14ac:dyDescent="0.25">
      <c r="B235" s="37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6"/>
    </row>
    <row r="236" spans="2:23" x14ac:dyDescent="0.25">
      <c r="B236" s="37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6"/>
    </row>
    <row r="237" spans="2:23" x14ac:dyDescent="0.25">
      <c r="B237" s="37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6"/>
    </row>
    <row r="238" spans="2:23" ht="15.75" thickBot="1" x14ac:dyDescent="0.3">
      <c r="B238" s="38"/>
      <c r="C238" s="39"/>
      <c r="D238" s="39"/>
      <c r="E238" s="39"/>
      <c r="F238" s="39"/>
      <c r="G238" s="39"/>
      <c r="H238" s="39"/>
      <c r="I238" s="39"/>
      <c r="J238" s="39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1"/>
    </row>
    <row r="239" spans="2:23" ht="15.75" thickBot="1" x14ac:dyDescent="0.3"/>
    <row r="240" spans="2:23" x14ac:dyDescent="0.25">
      <c r="B240" s="42"/>
      <c r="C240" s="43"/>
      <c r="D240" s="43"/>
      <c r="E240" s="43"/>
      <c r="F240" s="43"/>
      <c r="G240" s="43"/>
      <c r="H240" s="43"/>
      <c r="I240" s="43"/>
      <c r="J240" s="43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3"/>
    </row>
    <row r="241" spans="2:23" x14ac:dyDescent="0.25">
      <c r="B241" s="37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6"/>
    </row>
    <row r="242" spans="2:23" x14ac:dyDescent="0.25">
      <c r="B242" s="37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6"/>
    </row>
    <row r="243" spans="2:23" x14ac:dyDescent="0.25">
      <c r="B243" s="37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6"/>
    </row>
    <row r="244" spans="2:23" x14ac:dyDescent="0.25">
      <c r="B244" s="37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6"/>
    </row>
    <row r="245" spans="2:23" x14ac:dyDescent="0.25">
      <c r="B245" s="37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6"/>
    </row>
    <row r="246" spans="2:23" x14ac:dyDescent="0.25">
      <c r="B246" s="37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6"/>
    </row>
    <row r="247" spans="2:23" x14ac:dyDescent="0.25">
      <c r="B247" s="37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6"/>
    </row>
    <row r="248" spans="2:23" x14ac:dyDescent="0.25">
      <c r="B248" s="37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6"/>
    </row>
    <row r="249" spans="2:23" x14ac:dyDescent="0.25">
      <c r="B249" s="37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6"/>
    </row>
    <row r="250" spans="2:23" x14ac:dyDescent="0.25">
      <c r="B250" s="37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6"/>
    </row>
    <row r="251" spans="2:23" x14ac:dyDescent="0.25">
      <c r="B251" s="37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6"/>
    </row>
    <row r="252" spans="2:23" x14ac:dyDescent="0.25">
      <c r="B252" s="37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6"/>
    </row>
    <row r="253" spans="2:23" x14ac:dyDescent="0.25">
      <c r="B253" s="37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6"/>
    </row>
    <row r="254" spans="2:23" x14ac:dyDescent="0.25">
      <c r="B254" s="37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6"/>
    </row>
    <row r="255" spans="2:23" x14ac:dyDescent="0.25">
      <c r="B255" s="37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6"/>
    </row>
    <row r="256" spans="2:23" x14ac:dyDescent="0.25">
      <c r="B256" s="37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6"/>
    </row>
    <row r="257" spans="2:23" x14ac:dyDescent="0.25">
      <c r="B257" s="37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6"/>
    </row>
    <row r="258" spans="2:23" x14ac:dyDescent="0.25">
      <c r="B258" s="37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6"/>
    </row>
    <row r="259" spans="2:23" x14ac:dyDescent="0.25">
      <c r="B259" s="37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6"/>
    </row>
    <row r="260" spans="2:23" x14ac:dyDescent="0.25">
      <c r="B260" s="37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6"/>
    </row>
    <row r="261" spans="2:23" x14ac:dyDescent="0.25">
      <c r="B261" s="37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6"/>
    </row>
    <row r="262" spans="2:23" x14ac:dyDescent="0.25">
      <c r="B262" s="37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6"/>
    </row>
    <row r="263" spans="2:23" x14ac:dyDescent="0.25">
      <c r="B263" s="37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6"/>
    </row>
    <row r="264" spans="2:23" x14ac:dyDescent="0.25">
      <c r="B264" s="37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6"/>
    </row>
    <row r="265" spans="2:23" x14ac:dyDescent="0.25">
      <c r="B265" s="37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6"/>
    </row>
    <row r="266" spans="2:23" x14ac:dyDescent="0.25">
      <c r="B266" s="37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6"/>
    </row>
    <row r="267" spans="2:23" x14ac:dyDescent="0.25">
      <c r="B267" s="37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6"/>
    </row>
    <row r="268" spans="2:23" x14ac:dyDescent="0.25">
      <c r="B268" s="37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6"/>
    </row>
    <row r="269" spans="2:23" x14ac:dyDescent="0.25">
      <c r="B269" s="37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6"/>
    </row>
    <row r="270" spans="2:23" ht="15.75" thickBot="1" x14ac:dyDescent="0.3">
      <c r="B270" s="38"/>
      <c r="C270" s="39"/>
      <c r="D270" s="39"/>
      <c r="E270" s="39"/>
      <c r="F270" s="39"/>
      <c r="G270" s="39"/>
      <c r="H270" s="39"/>
      <c r="I270" s="39"/>
      <c r="J270" s="39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1"/>
    </row>
  </sheetData>
  <sortState ref="B5:J12">
    <sortCondition ref="B5:B12"/>
  </sortState>
  <mergeCells count="18">
    <mergeCell ref="B13:B14"/>
    <mergeCell ref="B2:B3"/>
    <mergeCell ref="C2:C3"/>
    <mergeCell ref="C13:C14"/>
    <mergeCell ref="F2:F3"/>
    <mergeCell ref="F13:F14"/>
    <mergeCell ref="E2:E3"/>
    <mergeCell ref="E13:E14"/>
    <mergeCell ref="D2:D3"/>
    <mergeCell ref="D13:D14"/>
    <mergeCell ref="G2:G3"/>
    <mergeCell ref="G13:G14"/>
    <mergeCell ref="H2:H3"/>
    <mergeCell ref="H13:H14"/>
    <mergeCell ref="J2:J3"/>
    <mergeCell ref="J13:J14"/>
    <mergeCell ref="I2:I3"/>
    <mergeCell ref="I13:I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85"/>
  <sheetViews>
    <sheetView showGridLines="0" workbookViewId="0">
      <selection activeCell="Z170" sqref="Z170"/>
    </sheetView>
  </sheetViews>
  <sheetFormatPr defaultRowHeight="15" x14ac:dyDescent="0.25"/>
  <cols>
    <col min="1" max="1" width="2.42578125" customWidth="1"/>
    <col min="2" max="2" width="14.7109375" style="3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4.7109375" style="1" customWidth="1"/>
    <col min="8" max="8" width="12.7109375" style="1" customWidth="1"/>
    <col min="9" max="10" width="14.7109375" style="1" customWidth="1"/>
    <col min="11" max="11" width="2.42578125" customWidth="1"/>
  </cols>
  <sheetData>
    <row r="1" spans="1:17" ht="15.75" thickBot="1" x14ac:dyDescent="0.3">
      <c r="I1" s="29"/>
    </row>
    <row r="2" spans="1:17" ht="15" customHeight="1" x14ac:dyDescent="0.25">
      <c r="B2" s="135" t="s">
        <v>52</v>
      </c>
      <c r="C2" s="140" t="s">
        <v>41</v>
      </c>
      <c r="D2" s="140" t="s">
        <v>48</v>
      </c>
      <c r="E2" s="140" t="s">
        <v>42</v>
      </c>
      <c r="F2" s="140" t="s">
        <v>43</v>
      </c>
      <c r="G2" s="135" t="s">
        <v>45</v>
      </c>
      <c r="H2" s="173"/>
      <c r="I2" s="173"/>
      <c r="J2" s="173"/>
    </row>
    <row r="3" spans="1:17" ht="15.75" customHeight="1" thickBot="1" x14ac:dyDescent="0.3">
      <c r="B3" s="136"/>
      <c r="C3" s="142"/>
      <c r="D3" s="142"/>
      <c r="E3" s="142"/>
      <c r="F3" s="142"/>
      <c r="G3" s="136"/>
      <c r="H3" s="173"/>
      <c r="I3" s="173"/>
      <c r="J3" s="173"/>
    </row>
    <row r="4" spans="1:17" ht="15.75" customHeight="1" x14ac:dyDescent="0.25">
      <c r="A4" s="23"/>
      <c r="B4" s="12"/>
      <c r="C4" s="17">
        <f>SUM(SUMIF('Raw Data'!$C$5:$C$500,$B4, 'Raw Data'!$I$5:$KI$500))</f>
        <v>0</v>
      </c>
      <c r="D4" s="44">
        <f>SUM(COUNTIF('Raw Data'!$C$5:$C$500,$B4))</f>
        <v>0</v>
      </c>
      <c r="E4" s="17" t="str">
        <f>IF(D4,SUM(SUMIF('Raw Data'!$C$5:$C$500,$B4, 'Raw Data'!$I$5:$I$500))/SUM(COUNTIF('Raw Data'!$C$5:$C$500,$B4)),"NA")</f>
        <v>NA</v>
      </c>
      <c r="F4" s="26" t="str">
        <f>IF(D4,SUM(SUMIF('Raw Data'!$C$5:$C$500,$B4, 'Raw Data'!$K$5:$K$500))/SUM(COUNTIF('Raw Data'!$C$5:$C$500,$B4)),"NA")</f>
        <v>NA</v>
      </c>
      <c r="G4" s="17" t="str">
        <f>IF(D4,SUM(SUMIF('Raw Data'!$C$5:$C$500,$B4, 'Raw Data'!$N$5:$N$500))/SUM(COUNTIF('Raw Data'!$C$5:$C$500,$B4)),"NA")</f>
        <v>NA</v>
      </c>
      <c r="H4" s="46"/>
      <c r="I4" s="45"/>
      <c r="J4" s="45"/>
    </row>
    <row r="5" spans="1:17" ht="15.75" customHeight="1" x14ac:dyDescent="0.25">
      <c r="A5" s="23"/>
      <c r="B5" s="7"/>
      <c r="C5" s="17">
        <f>SUM(SUMIF('Raw Data'!$C$5:$C$500,$B5, 'Raw Data'!$I$5:$KI$500))</f>
        <v>0</v>
      </c>
      <c r="D5" s="44">
        <f>SUM(COUNTIF('Raw Data'!$C$5:$C$500,$B5))</f>
        <v>0</v>
      </c>
      <c r="E5" s="17" t="str">
        <f>IF(D5,SUM(SUMIF('Raw Data'!$C$5:$C$500,$B5, 'Raw Data'!$I$5:$I$500))/SUM(COUNTIF('Raw Data'!$C$5:$C$500,$B5)),"NA")</f>
        <v>NA</v>
      </c>
      <c r="F5" s="26" t="str">
        <f>IF(D5,SUM(SUMIF('Raw Data'!$C$5:$C$500,$B5, 'Raw Data'!$K$5:$K$500))/SUM(COUNTIF('Raw Data'!$C$5:$C$500,$B5)),"NA")</f>
        <v>NA</v>
      </c>
      <c r="G5" s="17" t="str">
        <f>IF(D5,SUM(SUMIF('Raw Data'!$C$5:$C$500,$B5, 'Raw Data'!$N$5:$N$500))/SUM(COUNTIF('Raw Data'!$C$5:$C$500,$B5)),"NA")</f>
        <v>NA</v>
      </c>
      <c r="H5" s="46"/>
      <c r="I5" s="45"/>
      <c r="J5" s="45"/>
    </row>
    <row r="6" spans="1:17" ht="15.75" customHeight="1" x14ac:dyDescent="0.25">
      <c r="A6" s="23"/>
      <c r="B6" s="7"/>
      <c r="C6" s="17">
        <f>SUM(SUMIF('Raw Data'!$C$5:$C$500,$B6, 'Raw Data'!$I$5:$KI$500))</f>
        <v>0</v>
      </c>
      <c r="D6" s="44">
        <f>SUM(COUNTIF('Raw Data'!$C$5:$C$500,$B6))</f>
        <v>0</v>
      </c>
      <c r="E6" s="17" t="str">
        <f>IF(D6,SUM(SUMIF('Raw Data'!$C$5:$C$500,$B6, 'Raw Data'!$I$5:$I$500))/SUM(COUNTIF('Raw Data'!$C$5:$C$500,$B6)),"NA")</f>
        <v>NA</v>
      </c>
      <c r="F6" s="26" t="str">
        <f>IF(D6,SUM(SUMIF('Raw Data'!$C$5:$C$500,$B6, 'Raw Data'!$K$5:$K$500))/SUM(COUNTIF('Raw Data'!$C$5:$C$500,$B6)),"NA")</f>
        <v>NA</v>
      </c>
      <c r="G6" s="17" t="str">
        <f>IF(D6,SUM(SUMIF('Raw Data'!$C$5:$C$500,$B6, 'Raw Data'!$N$5:$N$500))/SUM(COUNTIF('Raw Data'!$C$5:$C$500,$B6)),"NA")</f>
        <v>NA</v>
      </c>
      <c r="H6" s="46"/>
      <c r="I6" s="45"/>
      <c r="J6" s="45"/>
    </row>
    <row r="7" spans="1:17" ht="15.75" customHeight="1" x14ac:dyDescent="0.25">
      <c r="A7" s="23"/>
      <c r="B7" s="7"/>
      <c r="C7" s="17">
        <f>SUM(SUMIF('Raw Data'!$C$5:$C$500,$B7, 'Raw Data'!$I$5:$KI$500))</f>
        <v>0</v>
      </c>
      <c r="D7" s="44">
        <f>SUM(COUNTIF('Raw Data'!$C$5:$C$500,$B7))</f>
        <v>0</v>
      </c>
      <c r="E7" s="17" t="str">
        <f>IF(D7,SUM(SUMIF('Raw Data'!$C$5:$C$500,$B7, 'Raw Data'!$I$5:$I$500))/SUM(COUNTIF('Raw Data'!$C$5:$C$500,$B7)),"NA")</f>
        <v>NA</v>
      </c>
      <c r="F7" s="26" t="str">
        <f>IF(D7,SUM(SUMIF('Raw Data'!$C$5:$C$500,$B7, 'Raw Data'!$K$5:$K$500))/SUM(COUNTIF('Raw Data'!$C$5:$C$500,$B7)),"NA")</f>
        <v>NA</v>
      </c>
      <c r="G7" s="17" t="str">
        <f>IF(D7,SUM(SUMIF('Raw Data'!$C$5:$C$500,$B7, 'Raw Data'!$N$5:$N$500))/SUM(COUNTIF('Raw Data'!$C$5:$C$500,$B7)),"NA")</f>
        <v>NA</v>
      </c>
      <c r="H7" s="46"/>
      <c r="I7" s="45"/>
      <c r="J7" s="45"/>
    </row>
    <row r="8" spans="1:17" ht="15.75" customHeight="1" x14ac:dyDescent="0.25">
      <c r="A8" s="23"/>
      <c r="B8" s="6"/>
      <c r="C8" s="17">
        <f>SUM(SUMIF('Raw Data'!$C$5:$C$500,$B8, 'Raw Data'!$I$5:$KI$500))</f>
        <v>0</v>
      </c>
      <c r="D8" s="44">
        <f>SUM(COUNTIF('Raw Data'!$C$5:$C$500,$B8))</f>
        <v>0</v>
      </c>
      <c r="E8" s="17" t="str">
        <f>IF(D8,SUM(SUMIF('Raw Data'!$C$5:$C$500,$B8, 'Raw Data'!$I$5:$I$500))/SUM(COUNTIF('Raw Data'!$C$5:$C$500,$B8)),"NA")</f>
        <v>NA</v>
      </c>
      <c r="F8" s="26" t="str">
        <f>IF(D8,SUM(SUMIF('Raw Data'!$C$5:$C$500,$B8, 'Raw Data'!$K$5:$K$500))/SUM(COUNTIF('Raw Data'!$C$5:$C$500,$B8)),"NA")</f>
        <v>NA</v>
      </c>
      <c r="G8" s="17" t="str">
        <f>IF(D8,SUM(SUMIF('Raw Data'!$C$5:$C$500,$B8, 'Raw Data'!$N$5:$N$500))/SUM(COUNTIF('Raw Data'!$C$5:$C$500,$B8)),"NA")</f>
        <v>NA</v>
      </c>
      <c r="H8" s="46"/>
      <c r="I8" s="45"/>
      <c r="J8" s="45"/>
    </row>
    <row r="9" spans="1:17" ht="15.75" customHeight="1" x14ac:dyDescent="0.25">
      <c r="A9" s="23"/>
      <c r="B9" s="7"/>
      <c r="C9" s="17">
        <f>SUM(SUMIF('Raw Data'!$C$5:$C$500,$B9, 'Raw Data'!$I$5:$KI$500))</f>
        <v>0</v>
      </c>
      <c r="D9" s="44">
        <f>SUM(COUNTIF('Raw Data'!$C$5:$C$500,$B9))</f>
        <v>0</v>
      </c>
      <c r="E9" s="17" t="str">
        <f>IF(D9,SUM(SUMIF('Raw Data'!$C$5:$C$500,$B9, 'Raw Data'!$I$5:$I$500))/SUM(COUNTIF('Raw Data'!$C$5:$C$500,$B9)),"NA")</f>
        <v>NA</v>
      </c>
      <c r="F9" s="26" t="str">
        <f>IF(D9,SUM(SUMIF('Raw Data'!$C$5:$C$500,$B9, 'Raw Data'!$K$5:$K$500))/SUM(COUNTIF('Raw Data'!$C$5:$C$500,$B9)),"NA")</f>
        <v>NA</v>
      </c>
      <c r="G9" s="17" t="str">
        <f>IF(D9,SUM(SUMIF('Raw Data'!$C$5:$C$500,$B9, 'Raw Data'!$N$5:$N$500))/SUM(COUNTIF('Raw Data'!$C$5:$C$500,$B9)),"NA")</f>
        <v>NA</v>
      </c>
      <c r="H9" s="46"/>
      <c r="I9" s="45"/>
      <c r="J9" s="45"/>
      <c r="Q9" s="2"/>
    </row>
    <row r="10" spans="1:17" ht="15.75" customHeight="1" x14ac:dyDescent="0.25">
      <c r="A10" s="23"/>
      <c r="B10" s="6"/>
      <c r="C10" s="17">
        <f>SUM(SUMIF('Raw Data'!$C$5:$C$500,$B10, 'Raw Data'!$I$5:$KI$500))</f>
        <v>0</v>
      </c>
      <c r="D10" s="44">
        <f>SUM(COUNTIF('Raw Data'!$C$5:$C$500,$B10))</f>
        <v>0</v>
      </c>
      <c r="E10" s="17" t="str">
        <f>IF(D10,SUM(SUMIF('Raw Data'!$C$5:$C$500,$B10, 'Raw Data'!$I$5:$I$500))/SUM(COUNTIF('Raw Data'!$C$5:$C$500,$B10)),"NA")</f>
        <v>NA</v>
      </c>
      <c r="F10" s="26" t="str">
        <f>IF(D10,SUM(SUMIF('Raw Data'!$C$5:$C$500,$B10, 'Raw Data'!$K$5:$K$500))/SUM(COUNTIF('Raw Data'!$C$5:$C$500,$B10)),"NA")</f>
        <v>NA</v>
      </c>
      <c r="G10" s="17" t="str">
        <f>IF(D10,SUM(SUMIF('Raw Data'!$C$5:$C$500,$B10, 'Raw Data'!$N$5:$N$500))/SUM(COUNTIF('Raw Data'!$C$5:$C$500,$B10)),"NA")</f>
        <v>NA</v>
      </c>
      <c r="H10" s="46"/>
      <c r="I10" s="45"/>
      <c r="J10" s="45"/>
    </row>
    <row r="11" spans="1:17" ht="15.75" customHeight="1" x14ac:dyDescent="0.25">
      <c r="A11" s="23"/>
      <c r="B11" s="7"/>
      <c r="C11" s="17">
        <f>SUM(SUMIF('Raw Data'!$C$5:$C$500,$B11, 'Raw Data'!$I$5:$KI$500))</f>
        <v>0</v>
      </c>
      <c r="D11" s="44">
        <f>SUM(COUNTIF('Raw Data'!$C$5:$C$500,$B11))</f>
        <v>0</v>
      </c>
      <c r="E11" s="17" t="str">
        <f>IF(D11,SUM(SUMIF('Raw Data'!$C$5:$C$500,$B11, 'Raw Data'!$I$5:$I$500))/SUM(COUNTIF('Raw Data'!$C$5:$C$500,$B11)),"NA")</f>
        <v>NA</v>
      </c>
      <c r="F11" s="26" t="str">
        <f>IF(D11,SUM(SUMIF('Raw Data'!$C$5:$C$500,$B11, 'Raw Data'!$K$5:$K$500))/SUM(COUNTIF('Raw Data'!$C$5:$C$500,$B11)),"NA")</f>
        <v>NA</v>
      </c>
      <c r="G11" s="17" t="str">
        <f>IF(D11,SUM(SUMIF('Raw Data'!$C$5:$C$500,$B11, 'Raw Data'!$N$5:$N$500))/SUM(COUNTIF('Raw Data'!$C$5:$C$500,$B11)),"NA")</f>
        <v>NA</v>
      </c>
      <c r="H11" s="46"/>
      <c r="I11" s="45"/>
      <c r="J11" s="45"/>
    </row>
    <row r="12" spans="1:17" ht="15.75" customHeight="1" x14ac:dyDescent="0.25">
      <c r="A12" s="23"/>
      <c r="B12" s="6"/>
      <c r="C12" s="17">
        <f>SUM(SUMIF('Raw Data'!$C$5:$C$500,$B12, 'Raw Data'!$I$5:$KI$500))</f>
        <v>0</v>
      </c>
      <c r="D12" s="44">
        <f>SUM(COUNTIF('Raw Data'!$C$5:$C$500,$B12))</f>
        <v>0</v>
      </c>
      <c r="E12" s="17" t="str">
        <f>IF(D12,SUM(SUMIF('Raw Data'!$C$5:$C$500,$B12, 'Raw Data'!$I$5:$I$500))/SUM(COUNTIF('Raw Data'!$C$5:$C$500,$B12)),"NA")</f>
        <v>NA</v>
      </c>
      <c r="F12" s="26" t="str">
        <f>IF(D12,SUM(SUMIF('Raw Data'!$C$5:$C$500,$B12, 'Raw Data'!$K$5:$K$500))/SUM(COUNTIF('Raw Data'!$C$5:$C$500,$B12)),"NA")</f>
        <v>NA</v>
      </c>
      <c r="G12" s="17" t="str">
        <f>IF(D12,SUM(SUMIF('Raw Data'!$C$5:$C$500,$B12, 'Raw Data'!$N$5:$N$500))/SUM(COUNTIF('Raw Data'!$C$5:$C$500,$B12)),"NA")</f>
        <v>NA</v>
      </c>
      <c r="H12" s="46"/>
      <c r="I12" s="45"/>
      <c r="J12" s="45"/>
    </row>
    <row r="13" spans="1:17" ht="15.75" customHeight="1" x14ac:dyDescent="0.25">
      <c r="A13" s="23"/>
      <c r="B13" s="7"/>
      <c r="C13" s="17">
        <f>SUM(SUMIF('Raw Data'!$C$5:$C$500,$B13, 'Raw Data'!$I$5:$KI$500))</f>
        <v>0</v>
      </c>
      <c r="D13" s="44">
        <f>SUM(COUNTIF('Raw Data'!$C$5:$C$500,$B13))</f>
        <v>0</v>
      </c>
      <c r="E13" s="17" t="str">
        <f>IF(D13,SUM(SUMIF('Raw Data'!$C$5:$C$500,$B13, 'Raw Data'!$I$5:$I$500))/SUM(COUNTIF('Raw Data'!$C$5:$C$500,$B13)),"NA")</f>
        <v>NA</v>
      </c>
      <c r="F13" s="26" t="str">
        <f>IF(D13,SUM(SUMIF('Raw Data'!$C$5:$C$500,$B13, 'Raw Data'!$K$5:$K$500))/SUM(COUNTIF('Raw Data'!$C$5:$C$500,$B13)),"NA")</f>
        <v>NA</v>
      </c>
      <c r="G13" s="17" t="str">
        <f>IF(D13,SUM(SUMIF('Raw Data'!$C$5:$C$500,$B13, 'Raw Data'!$N$5:$N$500))/SUM(COUNTIF('Raw Data'!$C$5:$C$500,$B13)),"NA")</f>
        <v>NA</v>
      </c>
      <c r="H13" s="46"/>
      <c r="I13" s="45"/>
      <c r="J13" s="45"/>
      <c r="Q13" s="2"/>
    </row>
    <row r="14" spans="1:17" ht="15.75" customHeight="1" x14ac:dyDescent="0.25">
      <c r="A14" s="23"/>
      <c r="B14" s="6"/>
      <c r="C14" s="17">
        <f>SUM(SUMIF('Raw Data'!$C$5:$C$500,$B14, 'Raw Data'!$I$5:$KI$500))</f>
        <v>0</v>
      </c>
      <c r="D14" s="44">
        <f>SUM(COUNTIF('Raw Data'!$C$5:$C$500,$B14))</f>
        <v>0</v>
      </c>
      <c r="E14" s="17" t="str">
        <f>IF(D14,SUM(SUMIF('Raw Data'!$C$5:$C$500,$B14, 'Raw Data'!$I$5:$I$500))/SUM(COUNTIF('Raw Data'!$C$5:$C$500,$B14)),"NA")</f>
        <v>NA</v>
      </c>
      <c r="F14" s="26" t="str">
        <f>IF(D14,SUM(SUMIF('Raw Data'!$C$5:$C$500,$B14, 'Raw Data'!$K$5:$K$500))/SUM(COUNTIF('Raw Data'!$C$5:$C$500,$B14)),"NA")</f>
        <v>NA</v>
      </c>
      <c r="G14" s="17" t="str">
        <f>IF(D14,SUM(SUMIF('Raw Data'!$C$5:$C$500,$B14, 'Raw Data'!$N$5:$N$500))/SUM(COUNTIF('Raw Data'!$C$5:$C$500,$B14)),"NA")</f>
        <v>NA</v>
      </c>
      <c r="H14" s="46"/>
      <c r="I14" s="45"/>
      <c r="J14" s="45"/>
    </row>
    <row r="15" spans="1:17" ht="15.75" customHeight="1" x14ac:dyDescent="0.25">
      <c r="A15" s="23"/>
      <c r="B15" s="7"/>
      <c r="C15" s="17">
        <f>SUM(SUMIF('Raw Data'!$C$5:$C$500,$B15, 'Raw Data'!$I$5:$KI$500))</f>
        <v>0</v>
      </c>
      <c r="D15" s="44">
        <f>SUM(COUNTIF('Raw Data'!$C$5:$C$500,$B15))</f>
        <v>0</v>
      </c>
      <c r="E15" s="17" t="str">
        <f>IF(D15,SUM(SUMIF('Raw Data'!$C$5:$C$500,$B15, 'Raw Data'!$I$5:$I$500))/SUM(COUNTIF('Raw Data'!$C$5:$C$500,$B15)),"NA")</f>
        <v>NA</v>
      </c>
      <c r="F15" s="26" t="str">
        <f>IF(D15,SUM(SUMIF('Raw Data'!$C$5:$C$500,$B15, 'Raw Data'!$K$5:$K$500))/SUM(COUNTIF('Raw Data'!$C$5:$C$500,$B15)),"NA")</f>
        <v>NA</v>
      </c>
      <c r="G15" s="17" t="str">
        <f>IF(D15,SUM(SUMIF('Raw Data'!$C$5:$C$500,$B15, 'Raw Data'!$N$5:$N$500))/SUM(COUNTIF('Raw Data'!$C$5:$C$500,$B15)),"NA")</f>
        <v>NA</v>
      </c>
      <c r="H15" s="46"/>
      <c r="I15" s="45"/>
      <c r="J15" s="45"/>
    </row>
    <row r="16" spans="1:17" ht="15.75" customHeight="1" x14ac:dyDescent="0.25">
      <c r="A16" s="23"/>
      <c r="B16" s="7"/>
      <c r="C16" s="17">
        <f>SUM(SUMIF('Raw Data'!$C$5:$C$500,$B16, 'Raw Data'!$I$5:$KI$500))</f>
        <v>0</v>
      </c>
      <c r="D16" s="44">
        <f>SUM(COUNTIF('Raw Data'!$C$5:$C$500,$B16))</f>
        <v>0</v>
      </c>
      <c r="E16" s="17" t="str">
        <f>IF(D16,SUM(SUMIF('Raw Data'!$C$5:$C$500,$B16, 'Raw Data'!$I$5:$I$500))/SUM(COUNTIF('Raw Data'!$C$5:$C$500,$B16)),"NA")</f>
        <v>NA</v>
      </c>
      <c r="F16" s="26" t="str">
        <f>IF(D16,SUM(SUMIF('Raw Data'!$C$5:$C$500,$B16, 'Raw Data'!$K$5:$K$500))/SUM(COUNTIF('Raw Data'!$C$5:$C$500,$B16)),"NA")</f>
        <v>NA</v>
      </c>
      <c r="G16" s="17" t="str">
        <f>IF(D16,SUM(SUMIF('Raw Data'!$C$5:$C$500,$B16, 'Raw Data'!$N$5:$N$500))/SUM(COUNTIF('Raw Data'!$C$5:$C$500,$B16)),"NA")</f>
        <v>NA</v>
      </c>
      <c r="H16" s="46"/>
      <c r="I16" s="45"/>
      <c r="J16" s="45"/>
    </row>
    <row r="17" spans="1:23" ht="15.75" customHeight="1" x14ac:dyDescent="0.25">
      <c r="A17" s="23"/>
      <c r="B17" s="7"/>
      <c r="C17" s="17">
        <f>SUM(SUMIF('Raw Data'!$C$5:$C$500,$B17, 'Raw Data'!$I$5:$KI$500))</f>
        <v>0</v>
      </c>
      <c r="D17" s="44">
        <f>SUM(COUNTIF('Raw Data'!$C$5:$C$500,$B17))</f>
        <v>0</v>
      </c>
      <c r="E17" s="17" t="str">
        <f>IF(D17,SUM(SUMIF('Raw Data'!$C$5:$C$500,$B17, 'Raw Data'!$I$5:$I$500))/SUM(COUNTIF('Raw Data'!$C$5:$C$500,$B17)),"NA")</f>
        <v>NA</v>
      </c>
      <c r="F17" s="26" t="str">
        <f>IF(D17,SUM(SUMIF('Raw Data'!$C$5:$C$500,$B17, 'Raw Data'!$K$5:$K$500))/SUM(COUNTIF('Raw Data'!$C$5:$C$500,$B17)),"NA")</f>
        <v>NA</v>
      </c>
      <c r="G17" s="17" t="str">
        <f>IF(D17,SUM(SUMIF('Raw Data'!$C$5:$C$500,$B17, 'Raw Data'!$N$5:$N$500))/SUM(COUNTIF('Raw Data'!$C$5:$C$500,$B17)),"NA")</f>
        <v>NA</v>
      </c>
      <c r="H17" s="46"/>
      <c r="I17" s="45"/>
      <c r="J17" s="45"/>
    </row>
    <row r="18" spans="1:23" ht="15.75" customHeight="1" x14ac:dyDescent="0.25">
      <c r="A18" s="23"/>
      <c r="B18" s="6"/>
      <c r="C18" s="17">
        <f>SUM(SUMIF('Raw Data'!$C$5:$C$500,$B18, 'Raw Data'!$I$5:$KI$500))</f>
        <v>0</v>
      </c>
      <c r="D18" s="44">
        <f>SUM(COUNTIF('Raw Data'!$C$5:$C$500,$B18))</f>
        <v>0</v>
      </c>
      <c r="E18" s="17" t="str">
        <f>IF(D18,SUM(SUMIF('Raw Data'!$C$5:$C$500,$B18, 'Raw Data'!$I$5:$I$500))/SUM(COUNTIF('Raw Data'!$C$5:$C$500,$B18)),"NA")</f>
        <v>NA</v>
      </c>
      <c r="F18" s="26" t="str">
        <f>IF(D18,SUM(SUMIF('Raw Data'!$C$5:$C$500,$B18, 'Raw Data'!$K$5:$K$500))/SUM(COUNTIF('Raw Data'!$C$5:$C$500,$B18)),"NA")</f>
        <v>NA</v>
      </c>
      <c r="G18" s="17" t="str">
        <f>IF(D18,SUM(SUMIF('Raw Data'!$C$5:$C$500,$B18, 'Raw Data'!$N$5:$N$500))/SUM(COUNTIF('Raw Data'!$C$5:$C$500,$B18)),"NA")</f>
        <v>NA</v>
      </c>
      <c r="H18" s="46"/>
      <c r="I18" s="45"/>
      <c r="J18" s="45"/>
    </row>
    <row r="19" spans="1:23" ht="15.75" customHeight="1" x14ac:dyDescent="0.25">
      <c r="A19" s="23"/>
      <c r="B19" s="7"/>
      <c r="C19" s="17">
        <f>SUM(SUMIF('Raw Data'!$C$5:$C$500,$B19, 'Raw Data'!$I$5:$KI$500))</f>
        <v>0</v>
      </c>
      <c r="D19" s="44">
        <f>SUM(COUNTIF('Raw Data'!$C$5:$C$500,$B19))</f>
        <v>0</v>
      </c>
      <c r="E19" s="17" t="str">
        <f>IF(D19,SUM(SUMIF('Raw Data'!$C$5:$C$500,$B19, 'Raw Data'!$I$5:$I$500))/SUM(COUNTIF('Raw Data'!$C$5:$C$500,$B19)),"NA")</f>
        <v>NA</v>
      </c>
      <c r="F19" s="26" t="str">
        <f>IF(D19,SUM(SUMIF('Raw Data'!$C$5:$C$500,$B19, 'Raw Data'!$K$5:$K$500))/SUM(COUNTIF('Raw Data'!$C$5:$C$500,$B19)),"NA")</f>
        <v>NA</v>
      </c>
      <c r="G19" s="17" t="str">
        <f>IF(D19,SUM(SUMIF('Raw Data'!$C$5:$C$500,$B19, 'Raw Data'!$N$5:$N$500))/SUM(COUNTIF('Raw Data'!$C$5:$C$500,$B19)),"NA")</f>
        <v>NA</v>
      </c>
      <c r="H19" s="46"/>
      <c r="I19" s="45"/>
      <c r="J19" s="45"/>
      <c r="Q19" s="2"/>
    </row>
    <row r="20" spans="1:23" ht="15.75" customHeight="1" x14ac:dyDescent="0.25">
      <c r="A20" s="23"/>
      <c r="B20" s="6"/>
      <c r="C20" s="17">
        <f>SUM(SUMIF('Raw Data'!$C$5:$C$500,$B20, 'Raw Data'!$I$5:$KI$500))</f>
        <v>0</v>
      </c>
      <c r="D20" s="44">
        <f>SUM(COUNTIF('Raw Data'!$C$5:$C$500,$B20))</f>
        <v>0</v>
      </c>
      <c r="E20" s="17" t="str">
        <f>IF(D20,SUM(SUMIF('Raw Data'!$C$5:$C$500,$B20, 'Raw Data'!$I$5:$I$500))/SUM(COUNTIF('Raw Data'!$C$5:$C$500,$B20)),"NA")</f>
        <v>NA</v>
      </c>
      <c r="F20" s="26" t="str">
        <f>IF(D20,SUM(SUMIF('Raw Data'!$C$5:$C$500,$B20, 'Raw Data'!$K$5:$K$500))/SUM(COUNTIF('Raw Data'!$C$5:$C$500,$B20)),"NA")</f>
        <v>NA</v>
      </c>
      <c r="G20" s="17" t="str">
        <f>IF(D20,SUM(SUMIF('Raw Data'!$C$5:$C$500,$B20, 'Raw Data'!$N$5:$N$500))/SUM(COUNTIF('Raw Data'!$C$5:$C$500,$B20)),"NA")</f>
        <v>NA</v>
      </c>
      <c r="H20" s="46"/>
      <c r="I20" s="45"/>
      <c r="J20" s="45"/>
    </row>
    <row r="21" spans="1:23" ht="15.75" customHeight="1" x14ac:dyDescent="0.25">
      <c r="A21" s="23"/>
      <c r="B21" s="7"/>
      <c r="C21" s="17">
        <f>SUM(SUMIF('Raw Data'!$C$5:$C$500,$B21, 'Raw Data'!$I$5:$KI$500))</f>
        <v>0</v>
      </c>
      <c r="D21" s="44">
        <f>SUM(COUNTIF('Raw Data'!$C$5:$C$500,$B21))</f>
        <v>0</v>
      </c>
      <c r="E21" s="17" t="str">
        <f>IF(D21,SUM(SUMIF('Raw Data'!$C$5:$C$500,$B21, 'Raw Data'!$I$5:$I$500))/SUM(COUNTIF('Raw Data'!$C$5:$C$500,$B21)),"NA")</f>
        <v>NA</v>
      </c>
      <c r="F21" s="26" t="str">
        <f>IF(D21,SUM(SUMIF('Raw Data'!$C$5:$C$500,$B21, 'Raw Data'!$K$5:$K$500))/SUM(COUNTIF('Raw Data'!$C$5:$C$500,$B21)),"NA")</f>
        <v>NA</v>
      </c>
      <c r="G21" s="17" t="str">
        <f>IF(D21,SUM(SUMIF('Raw Data'!$C$5:$C$500,$B21, 'Raw Data'!$N$5:$N$500))/SUM(COUNTIF('Raw Data'!$C$5:$C$500,$B21)),"NA")</f>
        <v>NA</v>
      </c>
      <c r="H21" s="46"/>
      <c r="I21" s="45"/>
      <c r="J21" s="45"/>
    </row>
    <row r="22" spans="1:23" ht="15.75" customHeight="1" x14ac:dyDescent="0.25">
      <c r="A22" s="23"/>
      <c r="B22" s="6"/>
      <c r="C22" s="17">
        <f>SUM(SUMIF('Raw Data'!$C$5:$C$500,$B22, 'Raw Data'!$I$5:$KI$500))</f>
        <v>0</v>
      </c>
      <c r="D22" s="44">
        <f>SUM(COUNTIF('Raw Data'!$C$5:$C$500,$B22))</f>
        <v>0</v>
      </c>
      <c r="E22" s="17" t="str">
        <f>IF(D22,SUM(SUMIF('Raw Data'!$C$5:$C$500,$B22, 'Raw Data'!$I$5:$I$500))/SUM(COUNTIF('Raw Data'!$C$5:$C$500,$B22)),"NA")</f>
        <v>NA</v>
      </c>
      <c r="F22" s="26" t="str">
        <f>IF(D22,SUM(SUMIF('Raw Data'!$C$5:$C$500,$B22, 'Raw Data'!$K$5:$K$500))/SUM(COUNTIF('Raw Data'!$C$5:$C$500,$B22)),"NA")</f>
        <v>NA</v>
      </c>
      <c r="G22" s="17" t="str">
        <f>IF(D22,SUM(SUMIF('Raw Data'!$C$5:$C$500,$B22, 'Raw Data'!$N$5:$N$500))/SUM(COUNTIF('Raw Data'!$C$5:$C$500,$B22)),"NA")</f>
        <v>NA</v>
      </c>
      <c r="H22" s="46"/>
      <c r="I22" s="45"/>
      <c r="J22" s="45"/>
    </row>
    <row r="23" spans="1:23" ht="15.75" customHeight="1" x14ac:dyDescent="0.25">
      <c r="A23" s="23"/>
      <c r="B23" s="7"/>
      <c r="C23" s="17">
        <f>SUM(SUMIF('Raw Data'!$C$5:$C$500,$B23, 'Raw Data'!$I$5:$KI$500))</f>
        <v>0</v>
      </c>
      <c r="D23" s="44">
        <f>SUM(COUNTIF('Raw Data'!$C$5:$C$500,$B23))</f>
        <v>0</v>
      </c>
      <c r="E23" s="17" t="str">
        <f>IF(D23,SUM(SUMIF('Raw Data'!$C$5:$C$500,$B23, 'Raw Data'!$I$5:$I$500))/SUM(COUNTIF('Raw Data'!$C$5:$C$500,$B23)),"NA")</f>
        <v>NA</v>
      </c>
      <c r="F23" s="26" t="str">
        <f>IF(D23,SUM(SUMIF('Raw Data'!$C$5:$C$500,$B23, 'Raw Data'!$K$5:$K$500))/SUM(COUNTIF('Raw Data'!$C$5:$C$500,$B23)),"NA")</f>
        <v>NA</v>
      </c>
      <c r="G23" s="17" t="str">
        <f>IF(D23,SUM(SUMIF('Raw Data'!$C$5:$C$500,$B23, 'Raw Data'!$N$5:$N$500))/SUM(COUNTIF('Raw Data'!$C$5:$C$500,$B23)),"NA")</f>
        <v>NA</v>
      </c>
      <c r="H23" s="46"/>
      <c r="I23" s="45"/>
      <c r="J23" s="45"/>
      <c r="Q23" s="2"/>
    </row>
    <row r="24" spans="1:23" ht="15.75" customHeight="1" x14ac:dyDescent="0.25">
      <c r="A24" s="23"/>
      <c r="B24" s="6"/>
      <c r="C24" s="17">
        <f>SUM(SUMIF('Raw Data'!$C$5:$C$500,$B24, 'Raw Data'!$I$5:$KI$500))</f>
        <v>0</v>
      </c>
      <c r="D24" s="44">
        <f>SUM(COUNTIF('Raw Data'!$C$5:$C$500,$B24))</f>
        <v>0</v>
      </c>
      <c r="E24" s="17" t="str">
        <f>IF(D24,SUM(SUMIF('Raw Data'!$C$5:$C$500,$B24, 'Raw Data'!$I$5:$I$500))/SUM(COUNTIF('Raw Data'!$C$5:$C$500,$B24)),"NA")</f>
        <v>NA</v>
      </c>
      <c r="F24" s="26" t="str">
        <f>IF(D24,SUM(SUMIF('Raw Data'!$C$5:$C$500,$B24, 'Raw Data'!$K$5:$K$500))/SUM(COUNTIF('Raw Data'!$C$5:$C$500,$B24)),"NA")</f>
        <v>NA</v>
      </c>
      <c r="G24" s="17" t="str">
        <f>IF(D24,SUM(SUMIF('Raw Data'!$C$5:$C$500,$B24, 'Raw Data'!$N$5:$N$500))/SUM(COUNTIF('Raw Data'!$C$5:$C$500,$B24)),"NA")</f>
        <v>NA</v>
      </c>
      <c r="H24" s="46"/>
      <c r="I24" s="45"/>
      <c r="J24" s="45"/>
    </row>
    <row r="25" spans="1:23" ht="15.75" customHeight="1" thickBot="1" x14ac:dyDescent="0.3">
      <c r="A25" s="23"/>
      <c r="B25" s="7"/>
      <c r="C25" s="17">
        <f>SUM(SUMIF('Raw Data'!$C$5:$C$500,$B25, 'Raw Data'!$I$5:$KI$500))</f>
        <v>0</v>
      </c>
      <c r="D25" s="44">
        <f>SUM(COUNTIF('Raw Data'!$C$5:$C$500,$B25))</f>
        <v>0</v>
      </c>
      <c r="E25" s="17" t="str">
        <f>IF(D25,SUM(SUMIF('Raw Data'!$C$5:$C$500,$B25, 'Raw Data'!$I$5:$I$500))/SUM(COUNTIF('Raw Data'!$C$5:$C$500,$B25)),"NA")</f>
        <v>NA</v>
      </c>
      <c r="F25" s="26" t="str">
        <f>IF(D25,SUM(SUMIF('Raw Data'!$C$5:$C$500,$B25, 'Raw Data'!$K$5:$K$500))/SUM(COUNTIF('Raw Data'!$C$5:$C$500,$B25)),"NA")</f>
        <v>NA</v>
      </c>
      <c r="G25" s="17" t="str">
        <f>IF(D25,SUM(SUMIF('Raw Data'!$C$5:$C$500,$B25, 'Raw Data'!$N$5:$N$500))/SUM(COUNTIF('Raw Data'!$C$5:$C$500,$B25)),"NA")</f>
        <v>NA</v>
      </c>
      <c r="H25" s="46"/>
      <c r="I25" s="45"/>
      <c r="J25" s="45"/>
    </row>
    <row r="26" spans="1:23" ht="15.75" customHeight="1" x14ac:dyDescent="0.25">
      <c r="B26" s="135"/>
      <c r="C26" s="168">
        <f>SUM(C4:C13)</f>
        <v>0</v>
      </c>
      <c r="D26" s="170">
        <f>SUM(D4:D13)</f>
        <v>0</v>
      </c>
      <c r="E26" s="168" t="e">
        <f>AVERAGE(E4:E13)</f>
        <v>#DIV/0!</v>
      </c>
      <c r="F26" s="166" t="e">
        <f>AVERAGE(F4:F13)</f>
        <v>#DIV/0!</v>
      </c>
      <c r="G26" s="168" t="e">
        <f>AVERAGE(G4:G13)</f>
        <v>#DIV/0!</v>
      </c>
      <c r="H26" s="174"/>
      <c r="I26" s="172"/>
      <c r="J26" s="172"/>
    </row>
    <row r="27" spans="1:23" ht="15.75" customHeight="1" thickBot="1" x14ac:dyDescent="0.3">
      <c r="B27" s="136"/>
      <c r="C27" s="169"/>
      <c r="D27" s="171"/>
      <c r="E27" s="169"/>
      <c r="F27" s="167"/>
      <c r="G27" s="169"/>
      <c r="H27" s="174"/>
      <c r="I27" s="172"/>
      <c r="J27" s="172"/>
    </row>
    <row r="28" spans="1:23" ht="15.75" thickBot="1" x14ac:dyDescent="0.3">
      <c r="B28" s="19"/>
      <c r="C28" s="20"/>
      <c r="D28" s="20"/>
      <c r="E28" s="20"/>
      <c r="F28" s="20"/>
      <c r="G28" s="20"/>
      <c r="H28" s="20"/>
      <c r="I28" s="20"/>
      <c r="J28" s="20"/>
    </row>
    <row r="29" spans="1:23" x14ac:dyDescent="0.25"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</row>
    <row r="30" spans="1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1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1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4"/>
      <c r="C35" s="21"/>
      <c r="D35" s="21"/>
      <c r="E35" s="21"/>
      <c r="F35" s="21"/>
      <c r="G35" s="21"/>
      <c r="H35" s="21"/>
      <c r="I35" s="21"/>
      <c r="J35" s="2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4"/>
      <c r="C36" s="21"/>
      <c r="D36" s="21"/>
      <c r="E36" s="21"/>
      <c r="F36" s="21"/>
      <c r="G36" s="21"/>
      <c r="H36" s="21"/>
      <c r="I36" s="21"/>
      <c r="J36" s="2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4"/>
      <c r="C37" s="21"/>
      <c r="D37" s="21"/>
      <c r="E37" s="21"/>
      <c r="F37" s="21"/>
      <c r="G37" s="21"/>
      <c r="H37" s="21"/>
      <c r="I37" s="21"/>
      <c r="J37" s="2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4"/>
      <c r="C38" s="21"/>
      <c r="D38" s="21"/>
      <c r="E38" s="21"/>
      <c r="F38" s="21"/>
      <c r="G38" s="21"/>
      <c r="H38" s="21"/>
      <c r="I38" s="21"/>
      <c r="J38" s="21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4"/>
      <c r="C39" s="21"/>
      <c r="D39" s="21"/>
      <c r="E39" s="21"/>
      <c r="F39" s="21"/>
      <c r="G39" s="21"/>
      <c r="H39" s="21"/>
      <c r="I39" s="21"/>
      <c r="J39" s="21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4"/>
      <c r="C40" s="21"/>
      <c r="D40" s="21"/>
      <c r="E40" s="21"/>
      <c r="F40" s="21"/>
      <c r="G40" s="21"/>
      <c r="H40" s="21"/>
      <c r="I40" s="21"/>
      <c r="J40" s="21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4"/>
      <c r="C41" s="21"/>
      <c r="D41" s="21"/>
      <c r="E41" s="21"/>
      <c r="F41" s="21"/>
      <c r="G41" s="21"/>
      <c r="H41" s="21"/>
      <c r="I41" s="21"/>
      <c r="J41" s="21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4"/>
      <c r="C42" s="21"/>
      <c r="D42" s="21"/>
      <c r="E42" s="21"/>
      <c r="F42" s="21"/>
      <c r="G42" s="21"/>
      <c r="H42" s="21"/>
      <c r="I42" s="21"/>
      <c r="J42" s="21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4"/>
      <c r="C43" s="21"/>
      <c r="D43" s="21"/>
      <c r="E43" s="21"/>
      <c r="F43" s="21"/>
      <c r="G43" s="21"/>
      <c r="H43" s="21"/>
      <c r="I43" s="21"/>
      <c r="J43" s="21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4"/>
      <c r="C44" s="21"/>
      <c r="D44" s="21"/>
      <c r="E44" s="21"/>
      <c r="F44" s="21"/>
      <c r="G44" s="21"/>
      <c r="H44" s="21"/>
      <c r="I44" s="21"/>
      <c r="J44" s="21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4"/>
      <c r="C45" s="21"/>
      <c r="D45" s="21"/>
      <c r="E45" s="21"/>
      <c r="F45" s="21"/>
      <c r="G45" s="21"/>
      <c r="H45" s="21"/>
      <c r="I45" s="21"/>
      <c r="J45" s="21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x14ac:dyDescent="0.25">
      <c r="B46" s="34"/>
      <c r="C46" s="21"/>
      <c r="D46" s="21"/>
      <c r="E46" s="21"/>
      <c r="F46" s="21"/>
      <c r="G46" s="21"/>
      <c r="H46" s="21"/>
      <c r="I46" s="21"/>
      <c r="J46" s="21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</row>
    <row r="47" spans="2:23" x14ac:dyDescent="0.25">
      <c r="B47" s="34"/>
      <c r="C47" s="21"/>
      <c r="D47" s="21"/>
      <c r="E47" s="21"/>
      <c r="F47" s="21"/>
      <c r="G47" s="21"/>
      <c r="H47" s="21"/>
      <c r="I47" s="21"/>
      <c r="J47" s="21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6"/>
    </row>
    <row r="48" spans="2:23" x14ac:dyDescent="0.25">
      <c r="B48" s="37"/>
      <c r="C48" s="20"/>
      <c r="D48" s="20"/>
      <c r="E48" s="20"/>
      <c r="F48" s="20"/>
      <c r="G48" s="20"/>
      <c r="H48" s="20"/>
      <c r="I48" s="20"/>
      <c r="J48" s="2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6"/>
    </row>
    <row r="49" spans="2:23" x14ac:dyDescent="0.25">
      <c r="B49" s="37"/>
      <c r="C49" s="20"/>
      <c r="D49" s="20"/>
      <c r="E49" s="20"/>
      <c r="F49" s="20"/>
      <c r="G49" s="20"/>
      <c r="H49" s="20"/>
      <c r="I49" s="20"/>
      <c r="J49" s="2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6"/>
    </row>
    <row r="50" spans="2:23" x14ac:dyDescent="0.25">
      <c r="B50" s="37"/>
      <c r="C50" s="20"/>
      <c r="D50" s="20"/>
      <c r="E50" s="20"/>
      <c r="F50" s="20"/>
      <c r="G50" s="20"/>
      <c r="H50" s="20"/>
      <c r="I50" s="20"/>
      <c r="J50" s="2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6"/>
    </row>
    <row r="51" spans="2:23" x14ac:dyDescent="0.25">
      <c r="B51" s="37"/>
      <c r="C51" s="20"/>
      <c r="D51" s="20"/>
      <c r="E51" s="20"/>
      <c r="F51" s="20"/>
      <c r="G51" s="20"/>
      <c r="H51" s="20"/>
      <c r="I51" s="20"/>
      <c r="J51" s="2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6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ht="15.75" thickBot="1" x14ac:dyDescent="0.3">
      <c r="B59" s="38"/>
      <c r="C59" s="39"/>
      <c r="D59" s="39"/>
      <c r="E59" s="39"/>
      <c r="F59" s="39"/>
      <c r="G59" s="39"/>
      <c r="H59" s="39"/>
      <c r="I59" s="39"/>
      <c r="J59" s="39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1"/>
    </row>
    <row r="60" spans="2:23" ht="15.75" thickBot="1" x14ac:dyDescent="0.3"/>
    <row r="61" spans="2:23" x14ac:dyDescent="0.25">
      <c r="B61" s="42"/>
      <c r="C61" s="43"/>
      <c r="D61" s="43"/>
      <c r="E61" s="43"/>
      <c r="F61" s="43"/>
      <c r="G61" s="43"/>
      <c r="H61" s="43"/>
      <c r="I61" s="43"/>
      <c r="J61" s="4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3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x14ac:dyDescent="0.25">
      <c r="B78" s="37"/>
      <c r="C78" s="20"/>
      <c r="D78" s="20"/>
      <c r="E78" s="20"/>
      <c r="F78" s="20"/>
      <c r="G78" s="20"/>
      <c r="H78" s="20"/>
      <c r="I78" s="20"/>
      <c r="J78" s="2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6"/>
    </row>
    <row r="79" spans="2:23" x14ac:dyDescent="0.25">
      <c r="B79" s="37"/>
      <c r="C79" s="20"/>
      <c r="D79" s="20"/>
      <c r="E79" s="20"/>
      <c r="F79" s="20"/>
      <c r="G79" s="20"/>
      <c r="H79" s="20"/>
      <c r="I79" s="20"/>
      <c r="J79" s="20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6"/>
    </row>
    <row r="80" spans="2:23" x14ac:dyDescent="0.25">
      <c r="B80" s="37"/>
      <c r="C80" s="20"/>
      <c r="D80" s="20"/>
      <c r="E80" s="20"/>
      <c r="F80" s="20"/>
      <c r="G80" s="20"/>
      <c r="H80" s="20"/>
      <c r="I80" s="20"/>
      <c r="J80" s="20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6"/>
    </row>
    <row r="81" spans="2:23" x14ac:dyDescent="0.25">
      <c r="B81" s="37"/>
      <c r="C81" s="20"/>
      <c r="D81" s="20"/>
      <c r="E81" s="20"/>
      <c r="F81" s="20"/>
      <c r="G81" s="20"/>
      <c r="H81" s="20"/>
      <c r="I81" s="20"/>
      <c r="J81" s="20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</row>
    <row r="82" spans="2:23" x14ac:dyDescent="0.25">
      <c r="B82" s="37"/>
      <c r="C82" s="20"/>
      <c r="D82" s="20"/>
      <c r="E82" s="20"/>
      <c r="F82" s="20"/>
      <c r="G82" s="20"/>
      <c r="H82" s="20"/>
      <c r="I82" s="20"/>
      <c r="J82" s="20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</row>
    <row r="83" spans="2:23" x14ac:dyDescent="0.25">
      <c r="B83" s="37"/>
      <c r="C83" s="20"/>
      <c r="D83" s="20"/>
      <c r="E83" s="20"/>
      <c r="F83" s="20"/>
      <c r="G83" s="20"/>
      <c r="H83" s="20"/>
      <c r="I83" s="20"/>
      <c r="J83" s="20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ht="15.75" thickBot="1" x14ac:dyDescent="0.3">
      <c r="B91" s="38"/>
      <c r="C91" s="39"/>
      <c r="D91" s="39"/>
      <c r="E91" s="39"/>
      <c r="F91" s="39"/>
      <c r="G91" s="39"/>
      <c r="H91" s="39"/>
      <c r="I91" s="39"/>
      <c r="J91" s="39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1"/>
    </row>
    <row r="92" spans="2:23" ht="15.75" thickBot="1" x14ac:dyDescent="0.3"/>
    <row r="93" spans="2:23" x14ac:dyDescent="0.25">
      <c r="B93" s="42"/>
      <c r="C93" s="43"/>
      <c r="D93" s="43"/>
      <c r="E93" s="43"/>
      <c r="F93" s="43"/>
      <c r="G93" s="43"/>
      <c r="H93" s="43"/>
      <c r="I93" s="43"/>
      <c r="J93" s="43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3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x14ac:dyDescent="0.25">
      <c r="B110" s="37"/>
      <c r="C110" s="20"/>
      <c r="D110" s="20"/>
      <c r="E110" s="20"/>
      <c r="F110" s="20"/>
      <c r="G110" s="20"/>
      <c r="H110" s="20"/>
      <c r="I110" s="20"/>
      <c r="J110" s="20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6"/>
    </row>
    <row r="111" spans="2:23" x14ac:dyDescent="0.25">
      <c r="B111" s="37"/>
      <c r="C111" s="20"/>
      <c r="D111" s="20"/>
      <c r="E111" s="20"/>
      <c r="F111" s="20"/>
      <c r="G111" s="20"/>
      <c r="H111" s="20"/>
      <c r="I111" s="20"/>
      <c r="J111" s="20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6"/>
    </row>
    <row r="112" spans="2:23" x14ac:dyDescent="0.25">
      <c r="B112" s="37"/>
      <c r="C112" s="20"/>
      <c r="D112" s="20"/>
      <c r="E112" s="20"/>
      <c r="F112" s="20"/>
      <c r="G112" s="20"/>
      <c r="H112" s="20"/>
      <c r="I112" s="20"/>
      <c r="J112" s="20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6"/>
    </row>
    <row r="113" spans="2:23" x14ac:dyDescent="0.25">
      <c r="B113" s="37"/>
      <c r="C113" s="20"/>
      <c r="D113" s="20"/>
      <c r="E113" s="20"/>
      <c r="F113" s="20"/>
      <c r="G113" s="20"/>
      <c r="H113" s="20"/>
      <c r="I113" s="20"/>
      <c r="J113" s="20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6"/>
    </row>
    <row r="114" spans="2:23" x14ac:dyDescent="0.25">
      <c r="B114" s="37"/>
      <c r="C114" s="20"/>
      <c r="D114" s="20"/>
      <c r="E114" s="20"/>
      <c r="F114" s="20"/>
      <c r="G114" s="20"/>
      <c r="H114" s="20"/>
      <c r="I114" s="20"/>
      <c r="J114" s="2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6"/>
    </row>
    <row r="115" spans="2:23" x14ac:dyDescent="0.25">
      <c r="B115" s="37"/>
      <c r="C115" s="20"/>
      <c r="D115" s="20"/>
      <c r="E115" s="20"/>
      <c r="F115" s="20"/>
      <c r="G115" s="20"/>
      <c r="H115" s="20"/>
      <c r="I115" s="20"/>
      <c r="J115" s="20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6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ht="15.75" thickBot="1" x14ac:dyDescent="0.3">
      <c r="B123" s="38"/>
      <c r="C123" s="39"/>
      <c r="D123" s="39"/>
      <c r="E123" s="39"/>
      <c r="F123" s="39"/>
      <c r="G123" s="39"/>
      <c r="H123" s="39"/>
      <c r="I123" s="39"/>
      <c r="J123" s="39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1"/>
    </row>
    <row r="124" spans="2:23" ht="15.75" thickBot="1" x14ac:dyDescent="0.3"/>
    <row r="125" spans="2:23" x14ac:dyDescent="0.25">
      <c r="B125" s="42"/>
      <c r="C125" s="43"/>
      <c r="D125" s="43"/>
      <c r="E125" s="43"/>
      <c r="F125" s="43"/>
      <c r="G125" s="43"/>
      <c r="H125" s="43"/>
      <c r="I125" s="43"/>
      <c r="J125" s="43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3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x14ac:dyDescent="0.25">
      <c r="B142" s="37"/>
      <c r="C142" s="20"/>
      <c r="D142" s="20"/>
      <c r="E142" s="20"/>
      <c r="F142" s="20"/>
      <c r="G142" s="20"/>
      <c r="H142" s="20"/>
      <c r="I142" s="20"/>
      <c r="J142" s="2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6"/>
    </row>
    <row r="143" spans="2:23" x14ac:dyDescent="0.25">
      <c r="B143" s="37"/>
      <c r="C143" s="20"/>
      <c r="D143" s="20"/>
      <c r="E143" s="20"/>
      <c r="F143" s="20"/>
      <c r="G143" s="20"/>
      <c r="H143" s="20"/>
      <c r="I143" s="20"/>
      <c r="J143" s="2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6"/>
    </row>
    <row r="144" spans="2:23" x14ac:dyDescent="0.25">
      <c r="B144" s="37"/>
      <c r="C144" s="20"/>
      <c r="D144" s="20"/>
      <c r="E144" s="20"/>
      <c r="F144" s="20"/>
      <c r="G144" s="20"/>
      <c r="H144" s="20"/>
      <c r="I144" s="20"/>
      <c r="J144" s="2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6"/>
    </row>
    <row r="145" spans="2:23" x14ac:dyDescent="0.25">
      <c r="B145" s="37"/>
      <c r="C145" s="20"/>
      <c r="D145" s="20"/>
      <c r="E145" s="20"/>
      <c r="F145" s="20"/>
      <c r="G145" s="20"/>
      <c r="H145" s="20"/>
      <c r="I145" s="20"/>
      <c r="J145" s="2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6"/>
    </row>
    <row r="146" spans="2:23" x14ac:dyDescent="0.25">
      <c r="B146" s="37"/>
      <c r="C146" s="20"/>
      <c r="D146" s="20"/>
      <c r="E146" s="20"/>
      <c r="F146" s="20"/>
      <c r="G146" s="20"/>
      <c r="H146" s="20"/>
      <c r="I146" s="20"/>
      <c r="J146" s="2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6"/>
    </row>
    <row r="147" spans="2:23" x14ac:dyDescent="0.25">
      <c r="B147" s="37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6"/>
    </row>
    <row r="148" spans="2:23" x14ac:dyDescent="0.25">
      <c r="B148" s="37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6"/>
    </row>
    <row r="149" spans="2:23" x14ac:dyDescent="0.25">
      <c r="B149" s="37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6"/>
    </row>
    <row r="150" spans="2:23" x14ac:dyDescent="0.25">
      <c r="B150" s="37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6"/>
    </row>
    <row r="151" spans="2:23" x14ac:dyDescent="0.25">
      <c r="B151" s="37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6"/>
    </row>
    <row r="152" spans="2:23" x14ac:dyDescent="0.25">
      <c r="B152" s="37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6"/>
    </row>
    <row r="153" spans="2:23" x14ac:dyDescent="0.25">
      <c r="B153" s="37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6"/>
    </row>
    <row r="154" spans="2:23" x14ac:dyDescent="0.25">
      <c r="B154" s="37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6"/>
    </row>
    <row r="155" spans="2:23" ht="15.75" thickBot="1" x14ac:dyDescent="0.3">
      <c r="B155" s="38"/>
      <c r="C155" s="39"/>
      <c r="D155" s="39"/>
      <c r="E155" s="39"/>
      <c r="F155" s="39"/>
      <c r="G155" s="39"/>
      <c r="H155" s="39"/>
      <c r="I155" s="39"/>
      <c r="J155" s="39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1"/>
    </row>
    <row r="156" spans="2:23" ht="15.75" thickBot="1" x14ac:dyDescent="0.3"/>
    <row r="157" spans="2:23" x14ac:dyDescent="0.25">
      <c r="B157" s="42"/>
      <c r="C157" s="43"/>
      <c r="D157" s="43"/>
      <c r="E157" s="43"/>
      <c r="F157" s="43"/>
      <c r="G157" s="43"/>
      <c r="H157" s="43"/>
      <c r="I157" s="43"/>
      <c r="J157" s="43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3"/>
    </row>
    <row r="158" spans="2:23" x14ac:dyDescent="0.25">
      <c r="B158" s="37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6"/>
    </row>
    <row r="159" spans="2:23" x14ac:dyDescent="0.25">
      <c r="B159" s="37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6"/>
    </row>
    <row r="160" spans="2:23" x14ac:dyDescent="0.25">
      <c r="B160" s="37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6"/>
    </row>
    <row r="161" spans="2:23" x14ac:dyDescent="0.25">
      <c r="B161" s="37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6"/>
    </row>
    <row r="162" spans="2:23" x14ac:dyDescent="0.25">
      <c r="B162" s="37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6"/>
    </row>
    <row r="163" spans="2:23" x14ac:dyDescent="0.25">
      <c r="B163" s="37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6"/>
    </row>
    <row r="164" spans="2:23" x14ac:dyDescent="0.25">
      <c r="B164" s="37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6"/>
    </row>
    <row r="165" spans="2:23" x14ac:dyDescent="0.25">
      <c r="B165" s="37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6"/>
    </row>
    <row r="166" spans="2:23" x14ac:dyDescent="0.25">
      <c r="B166" s="37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6"/>
    </row>
    <row r="167" spans="2:23" x14ac:dyDescent="0.25">
      <c r="B167" s="37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6"/>
    </row>
    <row r="168" spans="2:23" x14ac:dyDescent="0.25">
      <c r="B168" s="37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6"/>
    </row>
    <row r="169" spans="2:23" x14ac:dyDescent="0.25">
      <c r="B169" s="37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6"/>
    </row>
    <row r="170" spans="2:23" x14ac:dyDescent="0.25">
      <c r="B170" s="37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6"/>
    </row>
    <row r="171" spans="2:23" x14ac:dyDescent="0.25">
      <c r="B171" s="37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6"/>
    </row>
    <row r="172" spans="2:23" x14ac:dyDescent="0.25">
      <c r="B172" s="37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6"/>
    </row>
    <row r="173" spans="2:23" x14ac:dyDescent="0.25">
      <c r="B173" s="37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6"/>
    </row>
    <row r="174" spans="2:23" x14ac:dyDescent="0.25">
      <c r="B174" s="37"/>
      <c r="C174" s="20"/>
      <c r="D174" s="20"/>
      <c r="E174" s="20"/>
      <c r="F174" s="20"/>
      <c r="G174" s="20"/>
      <c r="H174" s="20"/>
      <c r="I174" s="20"/>
      <c r="J174" s="2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6"/>
    </row>
    <row r="175" spans="2:23" x14ac:dyDescent="0.25">
      <c r="B175" s="37"/>
      <c r="C175" s="20"/>
      <c r="D175" s="20"/>
      <c r="E175" s="20"/>
      <c r="F175" s="20"/>
      <c r="G175" s="20"/>
      <c r="H175" s="20"/>
      <c r="I175" s="20"/>
      <c r="J175" s="2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6"/>
    </row>
    <row r="176" spans="2:23" x14ac:dyDescent="0.25">
      <c r="B176" s="37"/>
      <c r="C176" s="20"/>
      <c r="D176" s="20"/>
      <c r="E176" s="20"/>
      <c r="F176" s="20"/>
      <c r="G176" s="20"/>
      <c r="H176" s="20"/>
      <c r="I176" s="20"/>
      <c r="J176" s="2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6"/>
    </row>
    <row r="177" spans="2:23" x14ac:dyDescent="0.25">
      <c r="B177" s="37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6"/>
    </row>
    <row r="178" spans="2:23" x14ac:dyDescent="0.25">
      <c r="B178" s="37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6"/>
    </row>
    <row r="179" spans="2:23" x14ac:dyDescent="0.25">
      <c r="B179" s="37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6"/>
    </row>
    <row r="180" spans="2:23" x14ac:dyDescent="0.25">
      <c r="B180" s="37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6"/>
    </row>
    <row r="181" spans="2:23" x14ac:dyDescent="0.25">
      <c r="B181" s="37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6"/>
    </row>
    <row r="182" spans="2:23" x14ac:dyDescent="0.25">
      <c r="B182" s="37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6"/>
    </row>
    <row r="183" spans="2:23" x14ac:dyDescent="0.25">
      <c r="B183" s="37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6"/>
    </row>
    <row r="184" spans="2:23" x14ac:dyDescent="0.25">
      <c r="B184" s="37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6"/>
    </row>
    <row r="185" spans="2:23" x14ac:dyDescent="0.25">
      <c r="B185" s="37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6"/>
    </row>
    <row r="186" spans="2:23" x14ac:dyDescent="0.25">
      <c r="B186" s="37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6"/>
    </row>
    <row r="187" spans="2:23" ht="15.75" thickBot="1" x14ac:dyDescent="0.3">
      <c r="B187" s="38"/>
      <c r="C187" s="39"/>
      <c r="D187" s="39"/>
      <c r="E187" s="39"/>
      <c r="F187" s="39"/>
      <c r="G187" s="39"/>
      <c r="H187" s="39"/>
      <c r="I187" s="39"/>
      <c r="J187" s="39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1"/>
    </row>
    <row r="189" spans="2:23" x14ac:dyDescent="0.25">
      <c r="B189" s="19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2:23" x14ac:dyDescent="0.25">
      <c r="B190" s="19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2:23" x14ac:dyDescent="0.25">
      <c r="B191" s="19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2:23" x14ac:dyDescent="0.25">
      <c r="B192" s="19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2:24" x14ac:dyDescent="0.25">
      <c r="B193" s="19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2:24" x14ac:dyDescent="0.25">
      <c r="B194" s="19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2:24" x14ac:dyDescent="0.25">
      <c r="B195" s="19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2:24" x14ac:dyDescent="0.25">
      <c r="B196" s="19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2:24" x14ac:dyDescent="0.25">
      <c r="B197" s="19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2:24" x14ac:dyDescent="0.25">
      <c r="B198" s="19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2:24" x14ac:dyDescent="0.25">
      <c r="B199" s="19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2:24" x14ac:dyDescent="0.25">
      <c r="B200" s="19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2:24" x14ac:dyDescent="0.25">
      <c r="B201" s="19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2:24" x14ac:dyDescent="0.25">
      <c r="B202" s="19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2:24" x14ac:dyDescent="0.25">
      <c r="B203" s="19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2:24" x14ac:dyDescent="0.25">
      <c r="B204" s="19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2:24" x14ac:dyDescent="0.25">
      <c r="B205" s="19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2:24" x14ac:dyDescent="0.25">
      <c r="B206" s="19"/>
      <c r="C206" s="20"/>
      <c r="D206" s="20"/>
      <c r="E206" s="20"/>
      <c r="F206" s="20"/>
      <c r="G206" s="20"/>
      <c r="H206" s="20"/>
      <c r="I206" s="20"/>
      <c r="J206" s="2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2:24" x14ac:dyDescent="0.25">
      <c r="B207" s="19"/>
      <c r="C207" s="20"/>
      <c r="D207" s="20"/>
      <c r="E207" s="20"/>
      <c r="F207" s="20"/>
      <c r="G207" s="20"/>
      <c r="H207" s="20"/>
      <c r="I207" s="20"/>
      <c r="J207" s="2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2:24" x14ac:dyDescent="0.25">
      <c r="B208" s="19"/>
      <c r="C208" s="20"/>
      <c r="D208" s="20"/>
      <c r="E208" s="20"/>
      <c r="F208" s="20"/>
      <c r="G208" s="20"/>
      <c r="H208" s="20"/>
      <c r="I208" s="20"/>
      <c r="J208" s="2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2:24" x14ac:dyDescent="0.25">
      <c r="B209" s="19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2:24" x14ac:dyDescent="0.25">
      <c r="B210" s="19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2:24" x14ac:dyDescent="0.25">
      <c r="B211" s="19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2:24" x14ac:dyDescent="0.25">
      <c r="B212" s="19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2:24" x14ac:dyDescent="0.25">
      <c r="B213" s="19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2:24" x14ac:dyDescent="0.25">
      <c r="B214" s="19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2:24" x14ac:dyDescent="0.25">
      <c r="B215" s="19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2:24" x14ac:dyDescent="0.25">
      <c r="B216" s="19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2:24" x14ac:dyDescent="0.25">
      <c r="B217" s="19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2:24" x14ac:dyDescent="0.25">
      <c r="B218" s="19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2:24" x14ac:dyDescent="0.25">
      <c r="B219" s="19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2:24" x14ac:dyDescent="0.25">
      <c r="B220" s="19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2:24" x14ac:dyDescent="0.25">
      <c r="B221" s="19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2:24" x14ac:dyDescent="0.25">
      <c r="B222" s="19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2:24" x14ac:dyDescent="0.25">
      <c r="B223" s="19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2:24" x14ac:dyDescent="0.25">
      <c r="B224" s="19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2:24" x14ac:dyDescent="0.25">
      <c r="B225" s="19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2:24" x14ac:dyDescent="0.25">
      <c r="B226" s="19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2:24" x14ac:dyDescent="0.25">
      <c r="B227" s="19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2:24" x14ac:dyDescent="0.25">
      <c r="B228" s="19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2:24" x14ac:dyDescent="0.25">
      <c r="B229" s="19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2:24" x14ac:dyDescent="0.25">
      <c r="B230" s="19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2:24" x14ac:dyDescent="0.25">
      <c r="B231" s="19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2:24" x14ac:dyDescent="0.25">
      <c r="B232" s="19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2:24" x14ac:dyDescent="0.25">
      <c r="B233" s="19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2:24" x14ac:dyDescent="0.25">
      <c r="B234" s="19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2:24" x14ac:dyDescent="0.25">
      <c r="B235" s="19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2:24" x14ac:dyDescent="0.25">
      <c r="B236" s="19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2:24" x14ac:dyDescent="0.25">
      <c r="B237" s="19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2:24" x14ac:dyDescent="0.25">
      <c r="B238" s="19"/>
      <c r="C238" s="20"/>
      <c r="D238" s="20"/>
      <c r="E238" s="20"/>
      <c r="F238" s="20"/>
      <c r="G238" s="20"/>
      <c r="H238" s="20"/>
      <c r="I238" s="20"/>
      <c r="J238" s="2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2:24" x14ac:dyDescent="0.25">
      <c r="B239" s="19"/>
      <c r="C239" s="20"/>
      <c r="D239" s="20"/>
      <c r="E239" s="20"/>
      <c r="F239" s="20"/>
      <c r="G239" s="20"/>
      <c r="H239" s="20"/>
      <c r="I239" s="20"/>
      <c r="J239" s="2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2:24" x14ac:dyDescent="0.25">
      <c r="B240" s="19"/>
      <c r="C240" s="20"/>
      <c r="D240" s="20"/>
      <c r="E240" s="20"/>
      <c r="F240" s="20"/>
      <c r="G240" s="20"/>
      <c r="H240" s="20"/>
      <c r="I240" s="20"/>
      <c r="J240" s="2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2:24" x14ac:dyDescent="0.25">
      <c r="B241" s="19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2:24" x14ac:dyDescent="0.25">
      <c r="B242" s="19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2:24" x14ac:dyDescent="0.25">
      <c r="B243" s="19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2:24" x14ac:dyDescent="0.25">
      <c r="B244" s="19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2:24" x14ac:dyDescent="0.25">
      <c r="B245" s="19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2:24" x14ac:dyDescent="0.25">
      <c r="B246" s="19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2:24" x14ac:dyDescent="0.25">
      <c r="B247" s="19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2:24" x14ac:dyDescent="0.25">
      <c r="B248" s="19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2:24" x14ac:dyDescent="0.25">
      <c r="B249" s="19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2:24" x14ac:dyDescent="0.25">
      <c r="B250" s="19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2:24" x14ac:dyDescent="0.25">
      <c r="B251" s="19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2:24" x14ac:dyDescent="0.25">
      <c r="B252" s="19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2:24" x14ac:dyDescent="0.25">
      <c r="B253" s="19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2:24" x14ac:dyDescent="0.25">
      <c r="B254" s="19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2:24" x14ac:dyDescent="0.25">
      <c r="B255" s="19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2:24" x14ac:dyDescent="0.25">
      <c r="B256" s="19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2:24" x14ac:dyDescent="0.25">
      <c r="B257" s="19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2:24" x14ac:dyDescent="0.25">
      <c r="B258" s="19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2:24" x14ac:dyDescent="0.25">
      <c r="B259" s="19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2:24" x14ac:dyDescent="0.25">
      <c r="B260" s="19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2:24" x14ac:dyDescent="0.25">
      <c r="B261" s="19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2:24" x14ac:dyDescent="0.25">
      <c r="B262" s="19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2:24" x14ac:dyDescent="0.25">
      <c r="B263" s="19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2:24" x14ac:dyDescent="0.25">
      <c r="B264" s="19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2:24" x14ac:dyDescent="0.25">
      <c r="B265" s="19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2:24" x14ac:dyDescent="0.25">
      <c r="B266" s="19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2:24" x14ac:dyDescent="0.25">
      <c r="B267" s="19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2:24" x14ac:dyDescent="0.25">
      <c r="B268" s="19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2:24" x14ac:dyDescent="0.25">
      <c r="B269" s="19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2:24" x14ac:dyDescent="0.25">
      <c r="B270" s="19"/>
      <c r="C270" s="20"/>
      <c r="D270" s="20"/>
      <c r="E270" s="20"/>
      <c r="F270" s="20"/>
      <c r="G270" s="20"/>
      <c r="H270" s="20"/>
      <c r="I270" s="20"/>
      <c r="J270" s="2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2:24" x14ac:dyDescent="0.25">
      <c r="B271" s="19"/>
      <c r="C271" s="20"/>
      <c r="D271" s="20"/>
      <c r="E271" s="20"/>
      <c r="F271" s="20"/>
      <c r="G271" s="20"/>
      <c r="H271" s="20"/>
      <c r="I271" s="20"/>
      <c r="J271" s="2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2:24" x14ac:dyDescent="0.25">
      <c r="B272" s="19"/>
      <c r="C272" s="20"/>
      <c r="D272" s="20"/>
      <c r="E272" s="20"/>
      <c r="F272" s="20"/>
      <c r="G272" s="20"/>
      <c r="H272" s="20"/>
      <c r="I272" s="20"/>
      <c r="J272" s="2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2:24" x14ac:dyDescent="0.25">
      <c r="B273" s="19"/>
      <c r="C273" s="20"/>
      <c r="D273" s="20"/>
      <c r="E273" s="20"/>
      <c r="F273" s="20"/>
      <c r="G273" s="20"/>
      <c r="H273" s="20"/>
      <c r="I273" s="20"/>
      <c r="J273" s="2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2:24" x14ac:dyDescent="0.25">
      <c r="B274" s="19"/>
      <c r="C274" s="20"/>
      <c r="D274" s="20"/>
      <c r="E274" s="20"/>
      <c r="F274" s="20"/>
      <c r="G274" s="20"/>
      <c r="H274" s="20"/>
      <c r="I274" s="20"/>
      <c r="J274" s="20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2:24" x14ac:dyDescent="0.25">
      <c r="B275" s="19"/>
      <c r="C275" s="20"/>
      <c r="D275" s="20"/>
      <c r="E275" s="20"/>
      <c r="F275" s="20"/>
      <c r="G275" s="20"/>
      <c r="H275" s="20"/>
      <c r="I275" s="20"/>
      <c r="J275" s="20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2:24" x14ac:dyDescent="0.25">
      <c r="B276" s="19"/>
      <c r="C276" s="20"/>
      <c r="D276" s="20"/>
      <c r="E276" s="20"/>
      <c r="F276" s="20"/>
      <c r="G276" s="20"/>
      <c r="H276" s="20"/>
      <c r="I276" s="20"/>
      <c r="J276" s="20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2:24" x14ac:dyDescent="0.25">
      <c r="B277" s="19"/>
      <c r="C277" s="20"/>
      <c r="D277" s="20"/>
      <c r="E277" s="20"/>
      <c r="F277" s="20"/>
      <c r="G277" s="20"/>
      <c r="H277" s="20"/>
      <c r="I277" s="20"/>
      <c r="J277" s="20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2:24" x14ac:dyDescent="0.25">
      <c r="B278" s="19"/>
      <c r="C278" s="20"/>
      <c r="D278" s="20"/>
      <c r="E278" s="20"/>
      <c r="F278" s="20"/>
      <c r="G278" s="20"/>
      <c r="H278" s="20"/>
      <c r="I278" s="20"/>
      <c r="J278" s="20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2:24" x14ac:dyDescent="0.25">
      <c r="B279" s="19"/>
      <c r="C279" s="20"/>
      <c r="D279" s="20"/>
      <c r="E279" s="20"/>
      <c r="F279" s="20"/>
      <c r="G279" s="20"/>
      <c r="H279" s="20"/>
      <c r="I279" s="20"/>
      <c r="J279" s="20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2:24" x14ac:dyDescent="0.25">
      <c r="B280" s="19"/>
      <c r="C280" s="20"/>
      <c r="D280" s="20"/>
      <c r="E280" s="20"/>
      <c r="F280" s="20"/>
      <c r="G280" s="20"/>
      <c r="H280" s="20"/>
      <c r="I280" s="20"/>
      <c r="J280" s="20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2:24" x14ac:dyDescent="0.25">
      <c r="B281" s="19"/>
      <c r="C281" s="20"/>
      <c r="D281" s="20"/>
      <c r="E281" s="20"/>
      <c r="F281" s="20"/>
      <c r="G281" s="20"/>
      <c r="H281" s="20"/>
      <c r="I281" s="20"/>
      <c r="J281" s="20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2:24" x14ac:dyDescent="0.25">
      <c r="B282" s="19"/>
      <c r="C282" s="20"/>
      <c r="D282" s="20"/>
      <c r="E282" s="20"/>
      <c r="F282" s="20"/>
      <c r="G282" s="20"/>
      <c r="H282" s="20"/>
      <c r="I282" s="20"/>
      <c r="J282" s="20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2:24" x14ac:dyDescent="0.25">
      <c r="B283" s="19"/>
      <c r="C283" s="20"/>
      <c r="D283" s="20"/>
      <c r="E283" s="20"/>
      <c r="F283" s="20"/>
      <c r="G283" s="20"/>
      <c r="H283" s="20"/>
      <c r="I283" s="20"/>
      <c r="J283" s="20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2:24" x14ac:dyDescent="0.25">
      <c r="B284" s="19"/>
      <c r="C284" s="20"/>
      <c r="D284" s="20"/>
      <c r="E284" s="20"/>
      <c r="F284" s="20"/>
      <c r="G284" s="20"/>
      <c r="H284" s="20"/>
      <c r="I284" s="20"/>
      <c r="J284" s="20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2:24" x14ac:dyDescent="0.25">
      <c r="B285" s="19"/>
      <c r="C285" s="20"/>
      <c r="D285" s="20"/>
      <c r="E285" s="20"/>
      <c r="F285" s="20"/>
      <c r="G285" s="20"/>
      <c r="H285" s="20"/>
      <c r="I285" s="20"/>
      <c r="J285" s="20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</sheetData>
  <mergeCells count="18">
    <mergeCell ref="I26:I27"/>
    <mergeCell ref="J26:J27"/>
    <mergeCell ref="G2:G3"/>
    <mergeCell ref="I2:I3"/>
    <mergeCell ref="J2:J3"/>
    <mergeCell ref="H26:H27"/>
    <mergeCell ref="G26:G27"/>
    <mergeCell ref="H2:H3"/>
    <mergeCell ref="B26:B27"/>
    <mergeCell ref="C26:C27"/>
    <mergeCell ref="D26:D27"/>
    <mergeCell ref="E26:E27"/>
    <mergeCell ref="F26:F27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73"/>
  <sheetViews>
    <sheetView showGridLines="0" workbookViewId="0">
      <selection activeCell="L8" sqref="L8"/>
    </sheetView>
  </sheetViews>
  <sheetFormatPr defaultRowHeight="15" x14ac:dyDescent="0.25"/>
  <cols>
    <col min="1" max="1" width="2.42578125" customWidth="1"/>
    <col min="2" max="2" width="14.7109375" style="3" customWidth="1"/>
    <col min="3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17" ht="15.75" thickBot="1" x14ac:dyDescent="0.3">
      <c r="I1" s="29"/>
    </row>
    <row r="2" spans="1:17" ht="15" customHeight="1" x14ac:dyDescent="0.25">
      <c r="B2" s="139" t="s">
        <v>20</v>
      </c>
      <c r="C2" s="135" t="s">
        <v>41</v>
      </c>
      <c r="D2" s="135" t="s">
        <v>53</v>
      </c>
      <c r="E2" s="135" t="s">
        <v>39</v>
      </c>
      <c r="F2" s="140" t="s">
        <v>21</v>
      </c>
      <c r="G2" s="173"/>
      <c r="H2" s="173"/>
      <c r="I2" s="173"/>
      <c r="J2" s="173"/>
    </row>
    <row r="3" spans="1:17" ht="15.75" customHeight="1" thickBot="1" x14ac:dyDescent="0.3">
      <c r="B3" s="141"/>
      <c r="C3" s="136"/>
      <c r="D3" s="136"/>
      <c r="E3" s="136"/>
      <c r="F3" s="142"/>
      <c r="G3" s="173"/>
      <c r="H3" s="173"/>
      <c r="I3" s="173"/>
      <c r="J3" s="173"/>
    </row>
    <row r="4" spans="1:17" x14ac:dyDescent="0.25">
      <c r="A4" s="23"/>
      <c r="B4" s="59">
        <v>44927</v>
      </c>
      <c r="C4" s="18">
        <f>SUMIFS('Raw Data'!$I$5:$I$500,'Raw Data'!$F$5:$F$500,"&gt;="&amp;$B4,'Raw Data'!$F$5:$F$500,"&lt;="&amp;EOMONTH($B4,0))</f>
        <v>0</v>
      </c>
      <c r="D4" s="28">
        <f>COUNTIFS('Raw Data'!$F$5:$F$500,"&gt;="&amp;$B4,'Raw Data'!$F$5:$F$500,"&lt;="&amp;EOMONTH($B4,0))</f>
        <v>0</v>
      </c>
      <c r="E4" s="18">
        <f>IF(C4,SUMIFS('Raw Data'!$I$5:$I$500,'Raw Data'!$F$5:$F$500,"&gt;="&amp;$B4,'Raw Data'!$F$5:$F$500,"&lt;="&amp;EOMONTH($B4,0))/COUNTIFS('Raw Data'!$F$5:$F$500,"&gt;="&amp;$B4,'Raw Data'!$F$5:$F$500,"&lt;="&amp;EOMONTH($B4,0)),0)</f>
        <v>0</v>
      </c>
      <c r="F4" s="61" t="str">
        <f>IF(D4,SUMIFS('Raw Data'!$K$5:$K$500,'Raw Data'!$F$5:$F$500,"&gt;="&amp;$B4,'Raw Data'!$F$5:$F$500,"&lt;="&amp;EOMONTH($B4,0))/COUNTIFS('Raw Data'!$F$5:$F$500,"&gt;="&amp;$B4,'Raw Data'!$F$5:$F$500,"&lt;="&amp;EOMONTH($B4,0)),"NA")</f>
        <v>NA</v>
      </c>
      <c r="G4" s="46"/>
      <c r="H4" s="45"/>
      <c r="I4" s="45"/>
      <c r="J4" s="45"/>
    </row>
    <row r="5" spans="1:17" x14ac:dyDescent="0.25">
      <c r="A5" s="23"/>
      <c r="B5" s="58">
        <v>44958</v>
      </c>
      <c r="C5" s="17">
        <f>SUMIFS('Raw Data'!$I$5:$I$500,'Raw Data'!$F$5:$F$500,"&gt;="&amp;$B5,'Raw Data'!$F$5:$F$500,"&lt;="&amp;EOMONTH($B5,0))</f>
        <v>0</v>
      </c>
      <c r="D5" s="28">
        <f>COUNTIFS('Raw Data'!$F$5:$F$500,"&gt;="&amp;$B5,'Raw Data'!$F$5:$F$500,"&lt;="&amp;EOMONTH($B5,0))</f>
        <v>0</v>
      </c>
      <c r="E5" s="18">
        <f>IF(C5,SUMIFS('Raw Data'!$I$5:$I$500,'Raw Data'!$F$5:$F$500,"&gt;="&amp;$B5,'Raw Data'!$F$5:$F$500,"&lt;="&amp;EOMONTH($B5,0))/COUNTIFS('Raw Data'!$F$5:$F$500,"&gt;="&amp;$B5,'Raw Data'!$F$5:$F$500,"&lt;="&amp;EOMONTH($B5,0)),0)</f>
        <v>0</v>
      </c>
      <c r="F5" s="61" t="str">
        <f>IF(D5,SUMIFS('Raw Data'!$K$5:$K$500,'Raw Data'!$F$5:$F$500,"&gt;="&amp;$B5,'Raw Data'!$F$5:$F$500,"&lt;="&amp;EOMONTH($B5,0))/COUNTIFS('Raw Data'!$F$5:$F$500,"&gt;="&amp;$B5,'Raw Data'!$F$5:$F$500,"&lt;="&amp;EOMONTH($B5,0)),"NA")</f>
        <v>NA</v>
      </c>
      <c r="G5" s="46"/>
      <c r="H5" s="45"/>
      <c r="I5" s="45"/>
      <c r="J5" s="45"/>
    </row>
    <row r="6" spans="1:17" x14ac:dyDescent="0.25">
      <c r="A6" s="23"/>
      <c r="B6" s="58">
        <v>44986</v>
      </c>
      <c r="C6" s="17">
        <f>SUMIFS('Raw Data'!$I$5:$I$500,'Raw Data'!$F$5:$F$500,"&gt;="&amp;$B6,'Raw Data'!$F$5:$F$500,"&lt;="&amp;EOMONTH($B6,0))</f>
        <v>0</v>
      </c>
      <c r="D6" s="28">
        <f>COUNTIFS('Raw Data'!$F$5:$F$500,"&gt;="&amp;$B6,'Raw Data'!$F$5:$F$500,"&lt;="&amp;EOMONTH($B6,0))</f>
        <v>0</v>
      </c>
      <c r="E6" s="18">
        <f>IF(C6,SUMIFS('Raw Data'!$I$5:$I$500,'Raw Data'!$F$5:$F$500,"&gt;="&amp;$B6,'Raw Data'!$F$5:$F$500,"&lt;="&amp;EOMONTH($B6,0))/COUNTIFS('Raw Data'!$F$5:$F$500,"&gt;="&amp;$B6,'Raw Data'!$F$5:$F$500,"&lt;="&amp;EOMONTH($B6,0)),0)</f>
        <v>0</v>
      </c>
      <c r="F6" s="61" t="str">
        <f>IF(D6,SUMIFS('Raw Data'!$K$5:$K$500,'Raw Data'!$F$5:$F$500,"&gt;="&amp;$B6,'Raw Data'!$F$5:$F$500,"&lt;="&amp;EOMONTH($B6,0))/COUNTIFS('Raw Data'!$F$5:$F$500,"&gt;="&amp;$B6,'Raw Data'!$F$5:$F$500,"&lt;="&amp;EOMONTH($B6,0)),"NA")</f>
        <v>NA</v>
      </c>
      <c r="G6" s="46"/>
      <c r="H6" s="45"/>
      <c r="I6" s="45"/>
      <c r="J6" s="45"/>
      <c r="M6" s="72"/>
    </row>
    <row r="7" spans="1:17" x14ac:dyDescent="0.25">
      <c r="A7" s="23"/>
      <c r="B7" s="59">
        <v>45017</v>
      </c>
      <c r="C7" s="17">
        <f>SUMIFS('Raw Data'!$I$5:$I$500,'Raw Data'!$F$5:$F$500,"&gt;="&amp;$B7,'Raw Data'!$F$5:$F$500,"&lt;="&amp;EOMONTH($B7,0))</f>
        <v>0</v>
      </c>
      <c r="D7" s="28">
        <f>COUNTIFS('Raw Data'!$F$5:$F$500,"&gt;="&amp;$B7,'Raw Data'!$F$5:$F$500,"&lt;="&amp;EOMONTH($B7,0))</f>
        <v>0</v>
      </c>
      <c r="E7" s="18">
        <f>IF(C7,SUMIFS('Raw Data'!$I$5:$I$500,'Raw Data'!$F$5:$F$500,"&gt;="&amp;$B7,'Raw Data'!$F$5:$F$500,"&lt;="&amp;EOMONTH($B7,0))/COUNTIFS('Raw Data'!$F$5:$F$500,"&gt;="&amp;$B7,'Raw Data'!$F$5:$F$500,"&lt;="&amp;EOMONTH($B7,0)),0)</f>
        <v>0</v>
      </c>
      <c r="F7" s="61" t="str">
        <f>IF(D7,SUMIFS('Raw Data'!$K$5:$K$500,'Raw Data'!$F$5:$F$500,"&gt;="&amp;$B7,'Raw Data'!$F$5:$F$500,"&lt;="&amp;EOMONTH($B7,0))/COUNTIFS('Raw Data'!$F$5:$F$500,"&gt;="&amp;$B7,'Raw Data'!$F$5:$F$500,"&lt;="&amp;EOMONTH($B7,0)),"NA")</f>
        <v>NA</v>
      </c>
      <c r="G7" s="46"/>
      <c r="H7" s="45"/>
      <c r="I7" s="45"/>
      <c r="J7" s="45"/>
    </row>
    <row r="8" spans="1:17" x14ac:dyDescent="0.25">
      <c r="A8" s="23"/>
      <c r="B8" s="58">
        <v>45047</v>
      </c>
      <c r="C8" s="17">
        <f>SUMIFS('Raw Data'!$I$5:$I$500,'Raw Data'!$F$5:$F$500,"&gt;="&amp;$B8,'Raw Data'!$F$5:$F$500,"&lt;="&amp;EOMONTH($B8,0))</f>
        <v>0</v>
      </c>
      <c r="D8" s="28">
        <f>COUNTIFS('Raw Data'!$F$5:$F$500,"&gt;="&amp;$B8,'Raw Data'!$F$5:$F$500,"&lt;="&amp;EOMONTH($B8,0))</f>
        <v>0</v>
      </c>
      <c r="E8" s="18">
        <f>IF(C8,SUMIFS('Raw Data'!$I$5:$I$500,'Raw Data'!$F$5:$F$500,"&gt;="&amp;$B8,'Raw Data'!$F$5:$F$500,"&lt;="&amp;EOMONTH($B8,0))/COUNTIFS('Raw Data'!$F$5:$F$500,"&gt;="&amp;$B8,'Raw Data'!$F$5:$F$500,"&lt;="&amp;EOMONTH($B8,0)),0)</f>
        <v>0</v>
      </c>
      <c r="F8" s="61" t="str">
        <f>IF(D8,SUMIFS('Raw Data'!$K$5:$K$500,'Raw Data'!$F$5:$F$500,"&gt;="&amp;$B8,'Raw Data'!$F$5:$F$500,"&lt;="&amp;EOMONTH($B8,0))/COUNTIFS('Raw Data'!$F$5:$F$500,"&gt;="&amp;$B8,'Raw Data'!$F$5:$F$500,"&lt;="&amp;EOMONTH($B8,0)),"NA")</f>
        <v>NA</v>
      </c>
      <c r="G8" s="46"/>
      <c r="H8" s="45"/>
      <c r="I8" s="45"/>
      <c r="J8" s="45"/>
      <c r="Q8" s="2"/>
    </row>
    <row r="9" spans="1:17" x14ac:dyDescent="0.25">
      <c r="A9" s="23"/>
      <c r="B9" s="59">
        <v>45078</v>
      </c>
      <c r="C9" s="17">
        <f>SUMIFS('Raw Data'!$I$5:$I$500,'Raw Data'!$F$5:$F$500,"&gt;="&amp;$B9,'Raw Data'!$F$5:$F$500,"&lt;="&amp;EOMONTH($B9,0))</f>
        <v>0</v>
      </c>
      <c r="D9" s="28">
        <f>COUNTIFS('Raw Data'!$F$5:$F$500,"&gt;="&amp;$B9,'Raw Data'!$F$5:$F$500,"&lt;="&amp;EOMONTH($B9,0))</f>
        <v>0</v>
      </c>
      <c r="E9" s="18">
        <f>IF(C9,SUMIFS('Raw Data'!$I$5:$I$500,'Raw Data'!$F$5:$F$500,"&gt;="&amp;$B9,'Raw Data'!$F$5:$F$500,"&lt;="&amp;EOMONTH($B9,0))/COUNTIFS('Raw Data'!$F$5:$F$500,"&gt;="&amp;$B9,'Raw Data'!$F$5:$F$500,"&lt;="&amp;EOMONTH($B9,0)),0)</f>
        <v>0</v>
      </c>
      <c r="F9" s="61" t="str">
        <f>IF(D9,SUMIFS('Raw Data'!$K$5:$K$500,'Raw Data'!$F$5:$F$500,"&gt;="&amp;$B9,'Raw Data'!$F$5:$F$500,"&lt;="&amp;EOMONTH($B9,0))/COUNTIFS('Raw Data'!$F$5:$F$500,"&gt;="&amp;$B9,'Raw Data'!$F$5:$F$500,"&lt;="&amp;EOMONTH($B9,0)),"NA")</f>
        <v>NA</v>
      </c>
      <c r="G9" s="46"/>
      <c r="H9" s="45"/>
      <c r="I9" s="45"/>
      <c r="J9" s="45"/>
    </row>
    <row r="10" spans="1:17" x14ac:dyDescent="0.25">
      <c r="A10" s="23"/>
      <c r="B10" s="58">
        <v>45108</v>
      </c>
      <c r="C10" s="17">
        <f>SUMIFS('Raw Data'!$I$5:$I$500,'Raw Data'!$F$5:$F$500,"&gt;="&amp;$B10,'Raw Data'!$F$5:$F$500,"&lt;="&amp;EOMONTH($B10,0))</f>
        <v>0</v>
      </c>
      <c r="D10" s="28">
        <f>COUNTIFS('Raw Data'!$F$5:$F$500,"&gt;="&amp;$B10,'Raw Data'!$F$5:$F$500,"&lt;="&amp;EOMONTH($B10,0))</f>
        <v>0</v>
      </c>
      <c r="E10" s="18">
        <f>IF(C10,SUMIFS('Raw Data'!$I$5:$I$500,'Raw Data'!$F$5:$F$500,"&gt;="&amp;$B10,'Raw Data'!$F$5:$F$500,"&lt;="&amp;EOMONTH($B10,0))/COUNTIFS('Raw Data'!$F$5:$F$500,"&gt;="&amp;$B10,'Raw Data'!$F$5:$F$500,"&lt;="&amp;EOMONTH($B10,0)),0)</f>
        <v>0</v>
      </c>
      <c r="F10" s="61" t="str">
        <f>IF(D10,SUMIFS('Raw Data'!$K$5:$K$500,'Raw Data'!$F$5:$F$500,"&gt;="&amp;$B10,'Raw Data'!$F$5:$F$500,"&lt;="&amp;EOMONTH($B10,0))/COUNTIFS('Raw Data'!$F$5:$F$500,"&gt;="&amp;$B10,'Raw Data'!$F$5:$F$500,"&lt;="&amp;EOMONTH($B10,0)),"NA")</f>
        <v>NA</v>
      </c>
      <c r="G10" s="46"/>
      <c r="H10" s="45"/>
      <c r="I10" s="45"/>
      <c r="J10" s="45"/>
    </row>
    <row r="11" spans="1:17" x14ac:dyDescent="0.25">
      <c r="A11" s="23"/>
      <c r="B11" s="58">
        <v>45139</v>
      </c>
      <c r="C11" s="17">
        <f>SUMIFS('Raw Data'!$I$5:$I$500,'Raw Data'!$F$5:$F$500,"&gt;="&amp;$B11,'Raw Data'!$F$5:$F$500,"&lt;="&amp;EOMONTH($B11,0))</f>
        <v>0</v>
      </c>
      <c r="D11" s="28">
        <f>COUNTIFS('Raw Data'!$F$5:$F$500,"&gt;="&amp;$B11,'Raw Data'!$F$5:$F$500,"&lt;="&amp;EOMONTH($B11,0))</f>
        <v>0</v>
      </c>
      <c r="E11" s="18">
        <f>IF(C11,SUMIFS('Raw Data'!$I$5:$I$500,'Raw Data'!$F$5:$F$500,"&gt;="&amp;$B11,'Raw Data'!$F$5:$F$500,"&lt;="&amp;EOMONTH($B11,0))/COUNTIFS('Raw Data'!$F$5:$F$500,"&gt;="&amp;$B11,'Raw Data'!$F$5:$F$500,"&lt;="&amp;EOMONTH($B11,0)),0)</f>
        <v>0</v>
      </c>
      <c r="F11" s="61" t="str">
        <f>IF(D11,SUMIFS('Raw Data'!$K$5:$K$500,'Raw Data'!$F$5:$F$500,"&gt;="&amp;$B11,'Raw Data'!$F$5:$F$500,"&lt;="&amp;EOMONTH($B11,0))/COUNTIFS('Raw Data'!$F$5:$F$500,"&gt;="&amp;$B11,'Raw Data'!$F$5:$F$500,"&lt;="&amp;EOMONTH($B11,0)),"NA")</f>
        <v>NA</v>
      </c>
      <c r="G11" s="46"/>
      <c r="H11" s="45"/>
      <c r="I11" s="45"/>
      <c r="J11" s="45"/>
    </row>
    <row r="12" spans="1:17" x14ac:dyDescent="0.25">
      <c r="A12" s="23"/>
      <c r="B12" s="59">
        <v>45170</v>
      </c>
      <c r="C12" s="17">
        <f>SUMIFS('Raw Data'!$I$5:$I$500,'Raw Data'!$F$5:$F$500,"&gt;="&amp;$B12,'Raw Data'!$F$5:$F$500,"&lt;="&amp;EOMONTH($B12,0))</f>
        <v>0</v>
      </c>
      <c r="D12" s="28">
        <f>COUNTIFS('Raw Data'!$F$5:$F$500,"&gt;="&amp;$B12,'Raw Data'!$F$5:$F$500,"&lt;="&amp;EOMONTH($B12,0))</f>
        <v>0</v>
      </c>
      <c r="E12" s="18">
        <f>IF(C12,SUMIFS('Raw Data'!$I$5:$I$500,'Raw Data'!$F$5:$F$500,"&gt;="&amp;$B12,'Raw Data'!$F$5:$F$500,"&lt;="&amp;EOMONTH($B12,0))/COUNTIFS('Raw Data'!$F$5:$F$500,"&gt;="&amp;$B12,'Raw Data'!$F$5:$F$500,"&lt;="&amp;EOMONTH($B12,0)),0)</f>
        <v>0</v>
      </c>
      <c r="F12" s="61" t="str">
        <f>IF(D12,SUMIFS('Raw Data'!$K$5:$K$500,'Raw Data'!$F$5:$F$500,"&gt;="&amp;$B12,'Raw Data'!$F$5:$F$500,"&lt;="&amp;EOMONTH($B12,0))/COUNTIFS('Raw Data'!$F$5:$F$500,"&gt;="&amp;$B12,'Raw Data'!$F$5:$F$500,"&lt;="&amp;EOMONTH($B12,0)),"NA")</f>
        <v>NA</v>
      </c>
      <c r="G12" s="46"/>
      <c r="H12" s="45"/>
      <c r="I12" s="45"/>
      <c r="J12" s="45"/>
    </row>
    <row r="13" spans="1:17" x14ac:dyDescent="0.25">
      <c r="A13" s="23"/>
      <c r="B13" s="58">
        <v>45200</v>
      </c>
      <c r="C13" s="17">
        <f>SUMIFS('Raw Data'!$I$5:$I$500,'Raw Data'!$F$5:$F$500,"&gt;="&amp;$B13,'Raw Data'!$F$5:$F$500,"&lt;="&amp;EOMONTH($B13,0))</f>
        <v>0</v>
      </c>
      <c r="D13" s="28">
        <f>COUNTIFS('Raw Data'!$F$5:$F$500,"&gt;="&amp;$B13,'Raw Data'!$F$5:$F$500,"&lt;="&amp;EOMONTH($B13,0))</f>
        <v>0</v>
      </c>
      <c r="E13" s="18">
        <f>IF(C13,SUMIFS('Raw Data'!$I$5:$I$500,'Raw Data'!$F$5:$F$500,"&gt;="&amp;$B13,'Raw Data'!$F$5:$F$500,"&lt;="&amp;EOMONTH($B13,0))/COUNTIFS('Raw Data'!$F$5:$F$500,"&gt;="&amp;$B13,'Raw Data'!$F$5:$F$500,"&lt;="&amp;EOMONTH($B13,0)),0)</f>
        <v>0</v>
      </c>
      <c r="F13" s="61" t="str">
        <f>IF(D13,SUMIFS('Raw Data'!$K$5:$K$500,'Raw Data'!$F$5:$F$500,"&gt;="&amp;$B13,'Raw Data'!$F$5:$F$500,"&lt;="&amp;EOMONTH($B13,0))/COUNTIFS('Raw Data'!$F$5:$F$500,"&gt;="&amp;$B13,'Raw Data'!$F$5:$F$500,"&lt;="&amp;EOMONTH($B13,0)),"NA")</f>
        <v>NA</v>
      </c>
      <c r="G13" s="46"/>
      <c r="H13" s="45"/>
      <c r="I13" s="45"/>
      <c r="J13" s="45"/>
      <c r="Q13" s="2"/>
    </row>
    <row r="14" spans="1:17" x14ac:dyDescent="0.25">
      <c r="A14" s="23"/>
      <c r="B14" s="59">
        <v>45231</v>
      </c>
      <c r="C14" s="17">
        <f>SUMIFS('Raw Data'!$I$5:$I$500,'Raw Data'!$F$5:$F$500,"&gt;="&amp;$B14,'Raw Data'!$F$5:$F$500,"&lt;="&amp;EOMONTH($B14,0))</f>
        <v>0</v>
      </c>
      <c r="D14" s="28">
        <f>COUNTIFS('Raw Data'!$F$5:$F$500,"&gt;="&amp;$B14,'Raw Data'!$F$5:$F$500,"&lt;="&amp;EOMONTH($B14,0))</f>
        <v>0</v>
      </c>
      <c r="E14" s="18">
        <f>IF(C14,SUMIFS('Raw Data'!$I$5:$I$500,'Raw Data'!$F$5:$F$500,"&gt;="&amp;$B14,'Raw Data'!$F$5:$F$500,"&lt;="&amp;EOMONTH($B14,0))/COUNTIFS('Raw Data'!$F$5:$F$500,"&gt;="&amp;$B14,'Raw Data'!$F$5:$F$500,"&lt;="&amp;EOMONTH($B14,0)),0)</f>
        <v>0</v>
      </c>
      <c r="F14" s="61" t="str">
        <f>IF(D14,SUMIFS('Raw Data'!$K$5:$K$500,'Raw Data'!$F$5:$F$500,"&gt;="&amp;$B14,'Raw Data'!$F$5:$F$500,"&lt;="&amp;EOMONTH($B14,0))/COUNTIFS('Raw Data'!$F$5:$F$500,"&gt;="&amp;$B14,'Raw Data'!$F$5:$F$500,"&lt;="&amp;EOMONTH($B14,0)),"NA")</f>
        <v>NA</v>
      </c>
      <c r="G14" s="46"/>
      <c r="H14" s="45"/>
      <c r="I14" s="45"/>
      <c r="J14" s="45"/>
    </row>
    <row r="15" spans="1:17" ht="15.75" thickBot="1" x14ac:dyDescent="0.3">
      <c r="A15" s="23"/>
      <c r="B15" s="60">
        <v>45261</v>
      </c>
      <c r="C15" s="49">
        <f>SUMIFS('Raw Data'!$I$5:$I$500,'Raw Data'!$F$5:$F$500,"&gt;="&amp;$B15,'Raw Data'!$F$5:$F$500,"&lt;="&amp;EOMONTH($B15,0))</f>
        <v>0</v>
      </c>
      <c r="D15" s="28">
        <f>COUNTIFS('Raw Data'!$F$5:$F$500,"&gt;="&amp;$B15,'Raw Data'!$F$5:$F$500,"&lt;="&amp;EOMONTH($B15,0))</f>
        <v>0</v>
      </c>
      <c r="E15" s="18">
        <f>IF(C15,SUMIFS('Raw Data'!$I$5:$I$500,'Raw Data'!$F$5:$F$500,"&gt;="&amp;$B15,'Raw Data'!$F$5:$F$500,"&lt;="&amp;EOMONTH($B15,0))/COUNTIFS('Raw Data'!$F$5:$F$500,"&gt;="&amp;$B15,'Raw Data'!$F$5:$F$500,"&lt;="&amp;EOMONTH($B15,0)),0)</f>
        <v>0</v>
      </c>
      <c r="F15" s="61" t="str">
        <f>IF(D15,SUMIFS('Raw Data'!$K$5:$K$500,'Raw Data'!$F$5:$F$500,"&gt;="&amp;$B15,'Raw Data'!$F$5:$F$500,"&lt;="&amp;EOMONTH($B15,0))/COUNTIFS('Raw Data'!$F$5:$F$500,"&gt;="&amp;$B15,'Raw Data'!$F$5:$F$500,"&lt;="&amp;EOMONTH($B15,0)),"NA")</f>
        <v>NA</v>
      </c>
      <c r="G15" s="46"/>
      <c r="H15" s="45"/>
      <c r="I15" s="45"/>
      <c r="J15" s="45"/>
    </row>
    <row r="16" spans="1:17" ht="15.75" customHeight="1" x14ac:dyDescent="0.25">
      <c r="B16" s="139"/>
      <c r="C16" s="168">
        <f>SUM(C4:C15)</f>
        <v>0</v>
      </c>
      <c r="D16" s="170">
        <f>SUM(D4:D15)</f>
        <v>0</v>
      </c>
      <c r="E16" s="168" t="e">
        <f>C16/D16</f>
        <v>#DIV/0!</v>
      </c>
      <c r="F16" s="175">
        <f>'Raw Data'!K3</f>
        <v>0.5055785035357041</v>
      </c>
      <c r="G16" s="174"/>
      <c r="H16" s="172"/>
      <c r="I16" s="172"/>
      <c r="J16" s="172"/>
    </row>
    <row r="17" spans="2:23" ht="15.75" customHeight="1" thickBot="1" x14ac:dyDescent="0.3">
      <c r="B17" s="141"/>
      <c r="C17" s="169"/>
      <c r="D17" s="171"/>
      <c r="E17" s="169"/>
      <c r="F17" s="176"/>
      <c r="G17" s="174"/>
      <c r="H17" s="172"/>
      <c r="I17" s="172"/>
      <c r="J17" s="172"/>
    </row>
    <row r="18" spans="2:23" ht="15.75" thickBot="1" x14ac:dyDescent="0.3">
      <c r="B18" s="19"/>
      <c r="C18" s="20"/>
      <c r="D18" s="20"/>
      <c r="E18" s="20"/>
      <c r="F18" s="20"/>
      <c r="G18" s="20"/>
      <c r="H18" s="20"/>
      <c r="I18" s="20"/>
      <c r="J18" s="20"/>
    </row>
    <row r="19" spans="2:23" x14ac:dyDescent="0.25">
      <c r="B19" s="30"/>
      <c r="C19" s="31"/>
      <c r="D19" s="31"/>
      <c r="E19" s="31"/>
      <c r="F19" s="31"/>
      <c r="G19" s="31"/>
      <c r="H19" s="31"/>
      <c r="I19" s="31"/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3"/>
    </row>
    <row r="20" spans="2:23" x14ac:dyDescent="0.25">
      <c r="B20" s="34"/>
      <c r="C20" s="21"/>
      <c r="D20" s="21"/>
      <c r="E20" s="21"/>
      <c r="F20" s="21"/>
      <c r="G20" s="21"/>
      <c r="H20" s="21"/>
      <c r="I20" s="21"/>
      <c r="J20" s="21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</row>
    <row r="21" spans="2:23" x14ac:dyDescent="0.25">
      <c r="B21" s="34"/>
      <c r="C21" s="21"/>
      <c r="D21" s="21"/>
      <c r="E21" s="21"/>
      <c r="F21" s="21"/>
      <c r="G21" s="21"/>
      <c r="H21" s="21"/>
      <c r="I21" s="21"/>
      <c r="J21" s="21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2:23" x14ac:dyDescent="0.25">
      <c r="B22" s="34"/>
      <c r="C22" s="21"/>
      <c r="D22" s="21"/>
      <c r="E22" s="21"/>
      <c r="F22" s="21"/>
      <c r="G22" s="21"/>
      <c r="H22" s="21"/>
      <c r="I22" s="21"/>
      <c r="J22" s="21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</row>
    <row r="23" spans="2:23" x14ac:dyDescent="0.25">
      <c r="B23" s="34"/>
      <c r="C23" s="21"/>
      <c r="D23" s="21"/>
      <c r="E23" s="21"/>
      <c r="F23" s="21"/>
      <c r="G23" s="21"/>
      <c r="H23" s="21"/>
      <c r="I23" s="21"/>
      <c r="J23" s="21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</row>
    <row r="24" spans="2:23" x14ac:dyDescent="0.25">
      <c r="B24" s="34"/>
      <c r="C24" s="21"/>
      <c r="D24" s="21"/>
      <c r="E24" s="21"/>
      <c r="F24" s="21"/>
      <c r="G24" s="21"/>
      <c r="H24" s="21"/>
      <c r="I24" s="21"/>
      <c r="J24" s="21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</row>
    <row r="25" spans="2:23" x14ac:dyDescent="0.25">
      <c r="B25" s="34"/>
      <c r="C25" s="21"/>
      <c r="D25" s="21"/>
      <c r="E25" s="21"/>
      <c r="F25" s="21"/>
      <c r="G25" s="21"/>
      <c r="H25" s="21"/>
      <c r="I25" s="21"/>
      <c r="J25" s="21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</row>
    <row r="26" spans="2:23" x14ac:dyDescent="0.25">
      <c r="B26" s="34"/>
      <c r="C26" s="21"/>
      <c r="D26" s="21"/>
      <c r="E26" s="21"/>
      <c r="F26" s="21"/>
      <c r="G26" s="21"/>
      <c r="H26" s="21"/>
      <c r="I26" s="21"/>
      <c r="J26" s="21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</row>
    <row r="27" spans="2:23" x14ac:dyDescent="0.25">
      <c r="B27" s="34"/>
      <c r="C27" s="21"/>
      <c r="D27" s="21"/>
      <c r="E27" s="21"/>
      <c r="F27" s="21"/>
      <c r="G27" s="21"/>
      <c r="H27" s="21"/>
      <c r="I27" s="21"/>
      <c r="J27" s="2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2:23" x14ac:dyDescent="0.25">
      <c r="B28" s="34"/>
      <c r="C28" s="21"/>
      <c r="D28" s="21"/>
      <c r="E28" s="21"/>
      <c r="F28" s="21"/>
      <c r="G28" s="21"/>
      <c r="H28" s="21"/>
      <c r="I28" s="21"/>
      <c r="J28" s="2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2:23" x14ac:dyDescent="0.25">
      <c r="B29" s="34"/>
      <c r="C29" s="21"/>
      <c r="D29" s="21"/>
      <c r="E29" s="21"/>
      <c r="F29" s="21"/>
      <c r="G29" s="21"/>
      <c r="H29" s="21"/>
      <c r="I29" s="21"/>
      <c r="J29" s="2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</row>
    <row r="30" spans="2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2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2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4"/>
      <c r="C35" s="21"/>
      <c r="D35" s="21"/>
      <c r="E35" s="21"/>
      <c r="F35" s="21"/>
      <c r="G35" s="21"/>
      <c r="H35" s="21"/>
      <c r="I35" s="21"/>
      <c r="J35" s="2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4"/>
      <c r="C36" s="21"/>
      <c r="D36" s="21"/>
      <c r="E36" s="21"/>
      <c r="F36" s="21"/>
      <c r="G36" s="21"/>
      <c r="H36" s="21"/>
      <c r="I36" s="21"/>
      <c r="J36" s="2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4"/>
      <c r="C37" s="21"/>
      <c r="D37" s="21"/>
      <c r="E37" s="21"/>
      <c r="F37" s="21"/>
      <c r="G37" s="21"/>
      <c r="H37" s="21"/>
      <c r="I37" s="21"/>
      <c r="J37" s="2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7"/>
      <c r="C38" s="20"/>
      <c r="D38" s="20"/>
      <c r="E38" s="20"/>
      <c r="F38" s="20"/>
      <c r="G38" s="20"/>
      <c r="H38" s="20"/>
      <c r="I38" s="20"/>
      <c r="J38" s="2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7"/>
      <c r="C39" s="20"/>
      <c r="D39" s="20"/>
      <c r="E39" s="20"/>
      <c r="F39" s="20"/>
      <c r="G39" s="20"/>
      <c r="H39" s="20"/>
      <c r="I39" s="20"/>
      <c r="J39" s="2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7"/>
      <c r="C40" s="20"/>
      <c r="D40" s="20"/>
      <c r="E40" s="20"/>
      <c r="F40" s="20"/>
      <c r="G40" s="20"/>
      <c r="H40" s="20"/>
      <c r="I40" s="20"/>
      <c r="J40" s="2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7"/>
      <c r="C41" s="20"/>
      <c r="D41" s="20"/>
      <c r="E41" s="20"/>
      <c r="F41" s="20"/>
      <c r="G41" s="20"/>
      <c r="H41" s="20"/>
      <c r="I41" s="20"/>
      <c r="J41" s="2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7"/>
      <c r="C42" s="20"/>
      <c r="D42" s="20"/>
      <c r="E42" s="20"/>
      <c r="F42" s="20"/>
      <c r="G42" s="20"/>
      <c r="H42" s="20"/>
      <c r="I42" s="20"/>
      <c r="J42" s="2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7"/>
      <c r="C43" s="20"/>
      <c r="D43" s="20"/>
      <c r="E43" s="20"/>
      <c r="F43" s="20"/>
      <c r="G43" s="20"/>
      <c r="H43" s="20"/>
      <c r="I43" s="20"/>
      <c r="J43" s="2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7"/>
      <c r="C44" s="20"/>
      <c r="D44" s="20"/>
      <c r="E44" s="20"/>
      <c r="F44" s="20"/>
      <c r="G44" s="20"/>
      <c r="H44" s="20"/>
      <c r="I44" s="20"/>
      <c r="J44" s="2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7"/>
      <c r="C45" s="20"/>
      <c r="D45" s="20"/>
      <c r="E45" s="20"/>
      <c r="F45" s="20"/>
      <c r="G45" s="20"/>
      <c r="H45" s="20"/>
      <c r="I45" s="20"/>
      <c r="J45" s="2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x14ac:dyDescent="0.25">
      <c r="B46" s="37"/>
      <c r="C46" s="20"/>
      <c r="D46" s="20"/>
      <c r="E46" s="20"/>
      <c r="F46" s="20"/>
      <c r="G46" s="20"/>
      <c r="H46" s="20"/>
      <c r="I46" s="20"/>
      <c r="J46" s="20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</row>
    <row r="47" spans="2:23" x14ac:dyDescent="0.25">
      <c r="B47" s="37"/>
      <c r="C47" s="20"/>
      <c r="D47" s="20"/>
      <c r="E47" s="20"/>
      <c r="F47" s="20"/>
      <c r="G47" s="20"/>
      <c r="H47" s="20"/>
      <c r="I47" s="20"/>
      <c r="J47" s="20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6"/>
    </row>
    <row r="48" spans="2:23" x14ac:dyDescent="0.25">
      <c r="B48" s="37"/>
      <c r="C48" s="20"/>
      <c r="D48" s="20"/>
      <c r="E48" s="20"/>
      <c r="F48" s="20"/>
      <c r="G48" s="20"/>
      <c r="H48" s="20"/>
      <c r="I48" s="20"/>
      <c r="J48" s="2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6"/>
    </row>
    <row r="49" spans="2:23" ht="15.75" thickBot="1" x14ac:dyDescent="0.3">
      <c r="B49" s="38"/>
      <c r="C49" s="39"/>
      <c r="D49" s="39"/>
      <c r="E49" s="39"/>
      <c r="F49" s="39"/>
      <c r="G49" s="39"/>
      <c r="H49" s="39"/>
      <c r="I49" s="39"/>
      <c r="J49" s="39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1"/>
    </row>
    <row r="50" spans="2:23" ht="15.75" thickBot="1" x14ac:dyDescent="0.3"/>
    <row r="51" spans="2:23" x14ac:dyDescent="0.25">
      <c r="B51" s="42"/>
      <c r="C51" s="43"/>
      <c r="D51" s="43"/>
      <c r="E51" s="43"/>
      <c r="F51" s="43"/>
      <c r="G51" s="43"/>
      <c r="H51" s="43"/>
      <c r="I51" s="43"/>
      <c r="J51" s="43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3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x14ac:dyDescent="0.25">
      <c r="B59" s="37"/>
      <c r="C59" s="20"/>
      <c r="D59" s="20"/>
      <c r="E59" s="20"/>
      <c r="F59" s="20"/>
      <c r="G59" s="20"/>
      <c r="H59" s="20"/>
      <c r="I59" s="20"/>
      <c r="J59" s="20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6"/>
    </row>
    <row r="60" spans="2:23" x14ac:dyDescent="0.25">
      <c r="B60" s="37"/>
      <c r="C60" s="20"/>
      <c r="D60" s="20"/>
      <c r="E60" s="20"/>
      <c r="F60" s="20"/>
      <c r="G60" s="20"/>
      <c r="H60" s="20"/>
      <c r="I60" s="20"/>
      <c r="J60" s="2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</row>
    <row r="61" spans="2:23" x14ac:dyDescent="0.25">
      <c r="B61" s="37"/>
      <c r="C61" s="20"/>
      <c r="D61" s="20"/>
      <c r="E61" s="20"/>
      <c r="F61" s="20"/>
      <c r="G61" s="20"/>
      <c r="H61" s="20"/>
      <c r="I61" s="20"/>
      <c r="J61" s="20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6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x14ac:dyDescent="0.25">
      <c r="B78" s="37"/>
      <c r="C78" s="20"/>
      <c r="D78" s="20"/>
      <c r="E78" s="20"/>
      <c r="F78" s="20"/>
      <c r="G78" s="20"/>
      <c r="H78" s="20"/>
      <c r="I78" s="20"/>
      <c r="J78" s="2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6"/>
    </row>
    <row r="79" spans="2:23" x14ac:dyDescent="0.25">
      <c r="B79" s="37"/>
      <c r="C79" s="20"/>
      <c r="D79" s="20"/>
      <c r="E79" s="20"/>
      <c r="F79" s="20"/>
      <c r="G79" s="20"/>
      <c r="H79" s="20"/>
      <c r="I79" s="20"/>
      <c r="J79" s="20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6"/>
    </row>
    <row r="80" spans="2:23" x14ac:dyDescent="0.25">
      <c r="B80" s="37"/>
      <c r="C80" s="20"/>
      <c r="D80" s="20"/>
      <c r="E80" s="20"/>
      <c r="F80" s="20"/>
      <c r="G80" s="20"/>
      <c r="H80" s="20"/>
      <c r="I80" s="20"/>
      <c r="J80" s="20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6"/>
    </row>
    <row r="81" spans="2:23" ht="15.75" thickBot="1" x14ac:dyDescent="0.3">
      <c r="B81" s="38"/>
      <c r="C81" s="39"/>
      <c r="D81" s="39"/>
      <c r="E81" s="39"/>
      <c r="F81" s="39"/>
      <c r="G81" s="39"/>
      <c r="H81" s="39"/>
      <c r="I81" s="39"/>
      <c r="J81" s="39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1"/>
    </row>
    <row r="82" spans="2:23" ht="15.75" thickBot="1" x14ac:dyDescent="0.3"/>
    <row r="83" spans="2:23" x14ac:dyDescent="0.25">
      <c r="B83" s="42"/>
      <c r="C83" s="43"/>
      <c r="D83" s="43"/>
      <c r="E83" s="43"/>
      <c r="F83" s="43"/>
      <c r="G83" s="43"/>
      <c r="H83" s="43"/>
      <c r="I83" s="43"/>
      <c r="J83" s="43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3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x14ac:dyDescent="0.25">
      <c r="B91" s="37"/>
      <c r="C91" s="20"/>
      <c r="D91" s="20"/>
      <c r="E91" s="20"/>
      <c r="F91" s="20"/>
      <c r="G91" s="20"/>
      <c r="H91" s="20"/>
      <c r="I91" s="20"/>
      <c r="J91" s="20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6"/>
    </row>
    <row r="92" spans="2:23" x14ac:dyDescent="0.25">
      <c r="B92" s="37"/>
      <c r="C92" s="20"/>
      <c r="D92" s="20"/>
      <c r="E92" s="20"/>
      <c r="F92" s="20"/>
      <c r="G92" s="20"/>
      <c r="H92" s="20"/>
      <c r="I92" s="20"/>
      <c r="J92" s="20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</row>
    <row r="93" spans="2:23" x14ac:dyDescent="0.25">
      <c r="B93" s="37"/>
      <c r="C93" s="20"/>
      <c r="D93" s="20"/>
      <c r="E93" s="20"/>
      <c r="F93" s="20"/>
      <c r="G93" s="20"/>
      <c r="H93" s="20"/>
      <c r="I93" s="20"/>
      <c r="J93" s="20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6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x14ac:dyDescent="0.25">
      <c r="B110" s="37"/>
      <c r="C110" s="20"/>
      <c r="D110" s="20"/>
      <c r="E110" s="20"/>
      <c r="F110" s="20"/>
      <c r="G110" s="20"/>
      <c r="H110" s="20"/>
      <c r="I110" s="20"/>
      <c r="J110" s="20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6"/>
    </row>
    <row r="111" spans="2:23" x14ac:dyDescent="0.25">
      <c r="B111" s="37"/>
      <c r="C111" s="20"/>
      <c r="D111" s="20"/>
      <c r="E111" s="20"/>
      <c r="F111" s="20"/>
      <c r="G111" s="20"/>
      <c r="H111" s="20"/>
      <c r="I111" s="20"/>
      <c r="J111" s="20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6"/>
    </row>
    <row r="112" spans="2:23" x14ac:dyDescent="0.25">
      <c r="B112" s="37"/>
      <c r="C112" s="20"/>
      <c r="D112" s="20"/>
      <c r="E112" s="20"/>
      <c r="F112" s="20"/>
      <c r="G112" s="20"/>
      <c r="H112" s="20"/>
      <c r="I112" s="20"/>
      <c r="J112" s="20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6"/>
    </row>
    <row r="113" spans="2:23" ht="15.75" thickBot="1" x14ac:dyDescent="0.3">
      <c r="B113" s="38"/>
      <c r="C113" s="39"/>
      <c r="D113" s="39"/>
      <c r="E113" s="39"/>
      <c r="F113" s="39"/>
      <c r="G113" s="39"/>
      <c r="H113" s="39"/>
      <c r="I113" s="39"/>
      <c r="J113" s="39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1"/>
    </row>
    <row r="114" spans="2:23" ht="15.75" thickBot="1" x14ac:dyDescent="0.3"/>
    <row r="115" spans="2:23" x14ac:dyDescent="0.25">
      <c r="B115" s="42"/>
      <c r="C115" s="43"/>
      <c r="D115" s="43"/>
      <c r="E115" s="43"/>
      <c r="F115" s="43"/>
      <c r="G115" s="43"/>
      <c r="H115" s="43"/>
      <c r="I115" s="43"/>
      <c r="J115" s="43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3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x14ac:dyDescent="0.25">
      <c r="B123" s="37"/>
      <c r="C123" s="20"/>
      <c r="D123" s="20"/>
      <c r="E123" s="20"/>
      <c r="F123" s="20"/>
      <c r="G123" s="20"/>
      <c r="H123" s="20"/>
      <c r="I123" s="20"/>
      <c r="J123" s="2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6"/>
    </row>
    <row r="124" spans="2:23" x14ac:dyDescent="0.25">
      <c r="B124" s="37"/>
      <c r="C124" s="20"/>
      <c r="D124" s="20"/>
      <c r="E124" s="20"/>
      <c r="F124" s="20"/>
      <c r="G124" s="20"/>
      <c r="H124" s="20"/>
      <c r="I124" s="20"/>
      <c r="J124" s="2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6"/>
    </row>
    <row r="125" spans="2:23" x14ac:dyDescent="0.25">
      <c r="B125" s="37"/>
      <c r="C125" s="20"/>
      <c r="D125" s="20"/>
      <c r="E125" s="20"/>
      <c r="F125" s="20"/>
      <c r="G125" s="20"/>
      <c r="H125" s="20"/>
      <c r="I125" s="20"/>
      <c r="J125" s="2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6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x14ac:dyDescent="0.25">
      <c r="B142" s="37"/>
      <c r="C142" s="20"/>
      <c r="D142" s="20"/>
      <c r="E142" s="20"/>
      <c r="F142" s="20"/>
      <c r="G142" s="20"/>
      <c r="H142" s="20"/>
      <c r="I142" s="20"/>
      <c r="J142" s="2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6"/>
    </row>
    <row r="143" spans="2:23" x14ac:dyDescent="0.25">
      <c r="B143" s="37"/>
      <c r="C143" s="20"/>
      <c r="D143" s="20"/>
      <c r="E143" s="20"/>
      <c r="F143" s="20"/>
      <c r="G143" s="20"/>
      <c r="H143" s="20"/>
      <c r="I143" s="20"/>
      <c r="J143" s="2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6"/>
    </row>
    <row r="144" spans="2:23" x14ac:dyDescent="0.25">
      <c r="B144" s="37"/>
      <c r="C144" s="20"/>
      <c r="D144" s="20"/>
      <c r="E144" s="20"/>
      <c r="F144" s="20"/>
      <c r="G144" s="20"/>
      <c r="H144" s="20"/>
      <c r="I144" s="20"/>
      <c r="J144" s="2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6"/>
    </row>
    <row r="145" spans="2:24" ht="15.75" thickBot="1" x14ac:dyDescent="0.3">
      <c r="B145" s="38"/>
      <c r="C145" s="39"/>
      <c r="D145" s="39"/>
      <c r="E145" s="39"/>
      <c r="F145" s="39"/>
      <c r="G145" s="39"/>
      <c r="H145" s="39"/>
      <c r="I145" s="39"/>
      <c r="J145" s="39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1"/>
    </row>
    <row r="147" spans="2:24" x14ac:dyDescent="0.25">
      <c r="B147" s="19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2:24" x14ac:dyDescent="0.25">
      <c r="B148" s="19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2:24" x14ac:dyDescent="0.25">
      <c r="B149" s="19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2:24" x14ac:dyDescent="0.25">
      <c r="B150" s="19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2:24" x14ac:dyDescent="0.25">
      <c r="B151" s="19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2:24" x14ac:dyDescent="0.25">
      <c r="B152" s="19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2:24" x14ac:dyDescent="0.25">
      <c r="B153" s="19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2:24" x14ac:dyDescent="0.25">
      <c r="B154" s="19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2:24" x14ac:dyDescent="0.25">
      <c r="B155" s="19"/>
      <c r="C155" s="20"/>
      <c r="D155" s="20"/>
      <c r="E155" s="20"/>
      <c r="F155" s="20"/>
      <c r="G155" s="20"/>
      <c r="H155" s="20"/>
      <c r="I155" s="20"/>
      <c r="J155" s="2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2:24" x14ac:dyDescent="0.25">
      <c r="B156" s="19"/>
      <c r="C156" s="20"/>
      <c r="D156" s="20"/>
      <c r="E156" s="20"/>
      <c r="F156" s="20"/>
      <c r="G156" s="20"/>
      <c r="H156" s="20"/>
      <c r="I156" s="20"/>
      <c r="J156" s="2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2:24" x14ac:dyDescent="0.25">
      <c r="B157" s="19"/>
      <c r="C157" s="20"/>
      <c r="D157" s="20"/>
      <c r="E157" s="20"/>
      <c r="F157" s="20"/>
      <c r="G157" s="20"/>
      <c r="H157" s="20"/>
      <c r="I157" s="20"/>
      <c r="J157" s="2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2:24" x14ac:dyDescent="0.25">
      <c r="B158" s="19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2:24" x14ac:dyDescent="0.25">
      <c r="B159" s="19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2:24" x14ac:dyDescent="0.25">
      <c r="B160" s="19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2:24" x14ac:dyDescent="0.25">
      <c r="B161" s="19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2:24" x14ac:dyDescent="0.25">
      <c r="B162" s="19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2:24" x14ac:dyDescent="0.25">
      <c r="B163" s="19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2:24" x14ac:dyDescent="0.25">
      <c r="B164" s="19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2:24" x14ac:dyDescent="0.25">
      <c r="B165" s="19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2:24" x14ac:dyDescent="0.25">
      <c r="B166" s="19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2:24" x14ac:dyDescent="0.25">
      <c r="B167" s="19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2:24" x14ac:dyDescent="0.25">
      <c r="B168" s="19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2:24" x14ac:dyDescent="0.25">
      <c r="B169" s="19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2:24" x14ac:dyDescent="0.25">
      <c r="B170" s="19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2:24" x14ac:dyDescent="0.25">
      <c r="B171" s="19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2:24" x14ac:dyDescent="0.25">
      <c r="B172" s="19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2:24" x14ac:dyDescent="0.25">
      <c r="B173" s="19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2:24" x14ac:dyDescent="0.25">
      <c r="B174" s="19"/>
      <c r="C174" s="20"/>
      <c r="D174" s="20"/>
      <c r="E174" s="20"/>
      <c r="F174" s="20"/>
      <c r="G174" s="20"/>
      <c r="H174" s="20"/>
      <c r="I174" s="20"/>
      <c r="J174" s="2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2:24" x14ac:dyDescent="0.25">
      <c r="B175" s="19"/>
      <c r="C175" s="20"/>
      <c r="D175" s="20"/>
      <c r="E175" s="20"/>
      <c r="F175" s="20"/>
      <c r="G175" s="20"/>
      <c r="H175" s="20"/>
      <c r="I175" s="20"/>
      <c r="J175" s="2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2:24" x14ac:dyDescent="0.25">
      <c r="B176" s="19"/>
      <c r="C176" s="20"/>
      <c r="D176" s="20"/>
      <c r="E176" s="20"/>
      <c r="F176" s="20"/>
      <c r="G176" s="20"/>
      <c r="H176" s="20"/>
      <c r="I176" s="20"/>
      <c r="J176" s="2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2:24" x14ac:dyDescent="0.25">
      <c r="B177" s="19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2:24" x14ac:dyDescent="0.25">
      <c r="B178" s="19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2:24" x14ac:dyDescent="0.25">
      <c r="B179" s="19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2:24" x14ac:dyDescent="0.25">
      <c r="B180" s="19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2:24" x14ac:dyDescent="0.25">
      <c r="B181" s="19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2:24" x14ac:dyDescent="0.25">
      <c r="B182" s="19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2:24" x14ac:dyDescent="0.25">
      <c r="B183" s="19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2:24" x14ac:dyDescent="0.25">
      <c r="B184" s="19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2:24" x14ac:dyDescent="0.25">
      <c r="B185" s="19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2:24" x14ac:dyDescent="0.25">
      <c r="B186" s="19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2:24" x14ac:dyDescent="0.25">
      <c r="B187" s="19"/>
      <c r="C187" s="20"/>
      <c r="D187" s="20"/>
      <c r="E187" s="20"/>
      <c r="F187" s="20"/>
      <c r="G187" s="20"/>
      <c r="H187" s="20"/>
      <c r="I187" s="20"/>
      <c r="J187" s="2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2:24" x14ac:dyDescent="0.25">
      <c r="B188" s="19"/>
      <c r="C188" s="20"/>
      <c r="D188" s="20"/>
      <c r="E188" s="20"/>
      <c r="F188" s="20"/>
      <c r="G188" s="20"/>
      <c r="H188" s="20"/>
      <c r="I188" s="20"/>
      <c r="J188" s="2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2:24" x14ac:dyDescent="0.25">
      <c r="B189" s="19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2:24" x14ac:dyDescent="0.25">
      <c r="B190" s="19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2:24" x14ac:dyDescent="0.25">
      <c r="B191" s="19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2:24" x14ac:dyDescent="0.25">
      <c r="B192" s="19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2:24" x14ac:dyDescent="0.25">
      <c r="B193" s="19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2:24" x14ac:dyDescent="0.25">
      <c r="B194" s="19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2:24" x14ac:dyDescent="0.25">
      <c r="B195" s="19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2:24" x14ac:dyDescent="0.25">
      <c r="B196" s="19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2:24" x14ac:dyDescent="0.25">
      <c r="B197" s="19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2:24" x14ac:dyDescent="0.25">
      <c r="B198" s="19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2:24" x14ac:dyDescent="0.25">
      <c r="B199" s="19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2:24" x14ac:dyDescent="0.25">
      <c r="B200" s="19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2:24" x14ac:dyDescent="0.25">
      <c r="B201" s="19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2:24" x14ac:dyDescent="0.25">
      <c r="B202" s="19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2:24" x14ac:dyDescent="0.25">
      <c r="B203" s="19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2:24" x14ac:dyDescent="0.25">
      <c r="B204" s="19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2:24" x14ac:dyDescent="0.25">
      <c r="B205" s="19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2:24" x14ac:dyDescent="0.25">
      <c r="B206" s="19"/>
      <c r="C206" s="20"/>
      <c r="D206" s="20"/>
      <c r="E206" s="20"/>
      <c r="F206" s="20"/>
      <c r="G206" s="20"/>
      <c r="H206" s="20"/>
      <c r="I206" s="20"/>
      <c r="J206" s="2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2:24" x14ac:dyDescent="0.25">
      <c r="B207" s="19"/>
      <c r="C207" s="20"/>
      <c r="D207" s="20"/>
      <c r="E207" s="20"/>
      <c r="F207" s="20"/>
      <c r="G207" s="20"/>
      <c r="H207" s="20"/>
      <c r="I207" s="20"/>
      <c r="J207" s="2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2:24" x14ac:dyDescent="0.25">
      <c r="B208" s="19"/>
      <c r="C208" s="20"/>
      <c r="D208" s="20"/>
      <c r="E208" s="20"/>
      <c r="F208" s="20"/>
      <c r="G208" s="20"/>
      <c r="H208" s="20"/>
      <c r="I208" s="20"/>
      <c r="J208" s="2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2:24" x14ac:dyDescent="0.25">
      <c r="B209" s="19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2:24" x14ac:dyDescent="0.25">
      <c r="B210" s="19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2:24" x14ac:dyDescent="0.25">
      <c r="B211" s="19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2:24" x14ac:dyDescent="0.25">
      <c r="B212" s="19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2:24" x14ac:dyDescent="0.25">
      <c r="B213" s="19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2:24" x14ac:dyDescent="0.25">
      <c r="B214" s="19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2:24" x14ac:dyDescent="0.25">
      <c r="B215" s="19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2:24" x14ac:dyDescent="0.25">
      <c r="B216" s="19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2:24" x14ac:dyDescent="0.25">
      <c r="B217" s="19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2:24" x14ac:dyDescent="0.25">
      <c r="B218" s="19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2:24" x14ac:dyDescent="0.25">
      <c r="B219" s="19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2:24" x14ac:dyDescent="0.25">
      <c r="B220" s="19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2:24" x14ac:dyDescent="0.25">
      <c r="B221" s="19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2:24" x14ac:dyDescent="0.25">
      <c r="B222" s="19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2:24" x14ac:dyDescent="0.25">
      <c r="B223" s="19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2:24" x14ac:dyDescent="0.25">
      <c r="B224" s="19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2:24" x14ac:dyDescent="0.25">
      <c r="B225" s="19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2:24" x14ac:dyDescent="0.25">
      <c r="B226" s="19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2:24" x14ac:dyDescent="0.25">
      <c r="B227" s="19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2:24" x14ac:dyDescent="0.25">
      <c r="B228" s="19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2:24" x14ac:dyDescent="0.25">
      <c r="B229" s="19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2:24" x14ac:dyDescent="0.25">
      <c r="B230" s="19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2:24" x14ac:dyDescent="0.25">
      <c r="B231" s="19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2:24" x14ac:dyDescent="0.25">
      <c r="B232" s="19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2:24" x14ac:dyDescent="0.25">
      <c r="B233" s="19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2:24" x14ac:dyDescent="0.25">
      <c r="B234" s="19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2:24" x14ac:dyDescent="0.25">
      <c r="B235" s="19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2:24" x14ac:dyDescent="0.25">
      <c r="B236" s="19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2:24" x14ac:dyDescent="0.25">
      <c r="B237" s="19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2:24" x14ac:dyDescent="0.25">
      <c r="B238" s="19"/>
      <c r="C238" s="20"/>
      <c r="D238" s="20"/>
      <c r="E238" s="20"/>
      <c r="F238" s="20"/>
      <c r="G238" s="20"/>
      <c r="H238" s="20"/>
      <c r="I238" s="20"/>
      <c r="J238" s="2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2:24" x14ac:dyDescent="0.25">
      <c r="B239" s="19"/>
      <c r="C239" s="20"/>
      <c r="D239" s="20"/>
      <c r="E239" s="20"/>
      <c r="F239" s="20"/>
      <c r="G239" s="20"/>
      <c r="H239" s="20"/>
      <c r="I239" s="20"/>
      <c r="J239" s="2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2:24" x14ac:dyDescent="0.25">
      <c r="B240" s="19"/>
      <c r="C240" s="20"/>
      <c r="D240" s="20"/>
      <c r="E240" s="20"/>
      <c r="F240" s="20"/>
      <c r="G240" s="20"/>
      <c r="H240" s="20"/>
      <c r="I240" s="20"/>
      <c r="J240" s="2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2:24" x14ac:dyDescent="0.25">
      <c r="B241" s="19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2:24" x14ac:dyDescent="0.25">
      <c r="B242" s="19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2:24" x14ac:dyDescent="0.25">
      <c r="B243" s="19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2:24" x14ac:dyDescent="0.25">
      <c r="B244" s="19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2:24" x14ac:dyDescent="0.25">
      <c r="B245" s="19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2:24" x14ac:dyDescent="0.25">
      <c r="B246" s="19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2:24" x14ac:dyDescent="0.25">
      <c r="B247" s="19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2:24" x14ac:dyDescent="0.25">
      <c r="B248" s="19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2:24" x14ac:dyDescent="0.25">
      <c r="B249" s="19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2:24" x14ac:dyDescent="0.25">
      <c r="B250" s="19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2:24" x14ac:dyDescent="0.25">
      <c r="B251" s="19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2:24" x14ac:dyDescent="0.25">
      <c r="B252" s="19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2:24" x14ac:dyDescent="0.25">
      <c r="B253" s="19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2:24" x14ac:dyDescent="0.25">
      <c r="B254" s="19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2:24" x14ac:dyDescent="0.25">
      <c r="B255" s="19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2:24" x14ac:dyDescent="0.25">
      <c r="B256" s="19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2:24" x14ac:dyDescent="0.25">
      <c r="B257" s="19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2:24" x14ac:dyDescent="0.25">
      <c r="B258" s="19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2:24" x14ac:dyDescent="0.25">
      <c r="B259" s="19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2:24" x14ac:dyDescent="0.25">
      <c r="B260" s="19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2:24" x14ac:dyDescent="0.25">
      <c r="B261" s="19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2:24" x14ac:dyDescent="0.25">
      <c r="B262" s="19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2:24" x14ac:dyDescent="0.25">
      <c r="B263" s="19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2:24" x14ac:dyDescent="0.25">
      <c r="B264" s="19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2:24" x14ac:dyDescent="0.25">
      <c r="B265" s="19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2:24" x14ac:dyDescent="0.25">
      <c r="B266" s="19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2:24" x14ac:dyDescent="0.25">
      <c r="B267" s="19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2:24" x14ac:dyDescent="0.25">
      <c r="B268" s="19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2:24" x14ac:dyDescent="0.25">
      <c r="B269" s="19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2:24" x14ac:dyDescent="0.25">
      <c r="B270" s="19"/>
      <c r="C270" s="20"/>
      <c r="D270" s="20"/>
      <c r="E270" s="20"/>
      <c r="F270" s="20"/>
      <c r="G270" s="20"/>
      <c r="H270" s="20"/>
      <c r="I270" s="20"/>
      <c r="J270" s="2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2:24" x14ac:dyDescent="0.25">
      <c r="B271" s="19"/>
      <c r="C271" s="20"/>
      <c r="D271" s="20"/>
      <c r="E271" s="20"/>
      <c r="F271" s="20"/>
      <c r="G271" s="20"/>
      <c r="H271" s="20"/>
      <c r="I271" s="20"/>
      <c r="J271" s="2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2:24" x14ac:dyDescent="0.25">
      <c r="B272" s="19"/>
      <c r="C272" s="20"/>
      <c r="D272" s="20"/>
      <c r="E272" s="20"/>
      <c r="F272" s="20"/>
      <c r="G272" s="20"/>
      <c r="H272" s="20"/>
      <c r="I272" s="20"/>
      <c r="J272" s="2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2:24" x14ac:dyDescent="0.25">
      <c r="B273" s="19"/>
      <c r="C273" s="20"/>
      <c r="D273" s="20"/>
      <c r="E273" s="20"/>
      <c r="F273" s="20"/>
      <c r="G273" s="20"/>
      <c r="H273" s="20"/>
      <c r="I273" s="20"/>
      <c r="J273" s="2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</sheetData>
  <mergeCells count="18">
    <mergeCell ref="B2:B3"/>
    <mergeCell ref="C2:C3"/>
    <mergeCell ref="D2:D3"/>
    <mergeCell ref="E2:E3"/>
    <mergeCell ref="F2:F3"/>
    <mergeCell ref="B16:B17"/>
    <mergeCell ref="C16:C17"/>
    <mergeCell ref="D16:D17"/>
    <mergeCell ref="E16:E17"/>
    <mergeCell ref="F16:F17"/>
    <mergeCell ref="I16:I17"/>
    <mergeCell ref="J16:J17"/>
    <mergeCell ref="G2:G3"/>
    <mergeCell ref="H2:H3"/>
    <mergeCell ref="I2:I3"/>
    <mergeCell ref="J2:J3"/>
    <mergeCell ref="G16:G17"/>
    <mergeCell ref="H16:H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Product Margin Analysis</vt:lpstr>
      <vt:lpstr>Product Revenue Analysis</vt:lpstr>
      <vt:lpstr>Installer Analysis</vt:lpstr>
      <vt:lpstr>Designer Analysis</vt:lpstr>
      <vt:lpstr>Sales Location Analysis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user</cp:lastModifiedBy>
  <cp:lastPrinted>2022-10-24T22:11:24Z</cp:lastPrinted>
  <dcterms:created xsi:type="dcterms:W3CDTF">2015-06-16T16:58:48Z</dcterms:created>
  <dcterms:modified xsi:type="dcterms:W3CDTF">2024-02-22T00:04:48Z</dcterms:modified>
</cp:coreProperties>
</file>