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17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Data'!$B$4:$Q$291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1" i="1" l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L277" i="1"/>
  <c r="M277" i="1" s="1"/>
  <c r="K277" i="1"/>
  <c r="M276" i="1"/>
  <c r="K276" i="1"/>
  <c r="M275" i="1"/>
  <c r="K275" i="1"/>
  <c r="M274" i="1"/>
  <c r="K274" i="1"/>
  <c r="M273" i="1"/>
  <c r="K273" i="1"/>
  <c r="M272" i="1"/>
  <c r="K272" i="1"/>
  <c r="M271" i="1"/>
  <c r="J271" i="1"/>
  <c r="K271" i="1" s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J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J5" i="1"/>
  <c r="D4" i="8" l="1"/>
  <c r="E4" i="8"/>
  <c r="C5" i="10"/>
  <c r="D5" i="10"/>
  <c r="E5" i="10"/>
  <c r="H5" i="10"/>
  <c r="I5" i="10"/>
  <c r="J5" i="10"/>
  <c r="C6" i="10"/>
  <c r="D6" i="10"/>
  <c r="E6" i="10"/>
  <c r="H6" i="10"/>
  <c r="I6" i="10"/>
  <c r="J6" i="10"/>
  <c r="C7" i="10"/>
  <c r="D7" i="10"/>
  <c r="E7" i="10"/>
  <c r="H7" i="10"/>
  <c r="I7" i="10"/>
  <c r="J7" i="10"/>
  <c r="C8" i="10"/>
  <c r="D8" i="10"/>
  <c r="E8" i="10"/>
  <c r="H8" i="10"/>
  <c r="I8" i="10"/>
  <c r="J8" i="10"/>
  <c r="C9" i="10"/>
  <c r="D9" i="10"/>
  <c r="E9" i="10"/>
  <c r="H9" i="10"/>
  <c r="I9" i="10"/>
  <c r="J9" i="10"/>
  <c r="C10" i="10"/>
  <c r="D10" i="10"/>
  <c r="E10" i="10"/>
  <c r="H10" i="10"/>
  <c r="I10" i="10"/>
  <c r="J10" i="10"/>
  <c r="C11" i="10"/>
  <c r="D11" i="10"/>
  <c r="E11" i="10"/>
  <c r="H11" i="10"/>
  <c r="I11" i="10"/>
  <c r="J11" i="10"/>
  <c r="C12" i="10"/>
  <c r="D12" i="10"/>
  <c r="E12" i="10"/>
  <c r="H12" i="10"/>
  <c r="I12" i="10"/>
  <c r="J12" i="10"/>
  <c r="J4" i="10"/>
  <c r="I4" i="10"/>
  <c r="H4" i="10"/>
  <c r="E4" i="10"/>
  <c r="D4" i="10"/>
  <c r="C4" i="10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4" i="11"/>
  <c r="C4" i="11"/>
  <c r="D4" i="11"/>
  <c r="G4" i="11"/>
  <c r="C14" i="11"/>
  <c r="D14" i="11"/>
  <c r="G14" i="11"/>
  <c r="C15" i="11"/>
  <c r="D15" i="11"/>
  <c r="G15" i="11"/>
  <c r="C16" i="11"/>
  <c r="D16" i="11"/>
  <c r="G16" i="11"/>
  <c r="C17" i="11"/>
  <c r="D17" i="11"/>
  <c r="G17" i="11"/>
  <c r="C18" i="11"/>
  <c r="D18" i="11"/>
  <c r="G18" i="11"/>
  <c r="C19" i="11"/>
  <c r="D19" i="11"/>
  <c r="G19" i="11"/>
  <c r="C20" i="11"/>
  <c r="D20" i="11"/>
  <c r="G20" i="11"/>
  <c r="C21" i="11"/>
  <c r="D21" i="11"/>
  <c r="G21" i="11"/>
  <c r="C22" i="11"/>
  <c r="D22" i="11"/>
  <c r="G22" i="11"/>
  <c r="C23" i="11"/>
  <c r="D23" i="11"/>
  <c r="G23" i="11"/>
  <c r="C24" i="11"/>
  <c r="D24" i="11"/>
  <c r="G24" i="11"/>
  <c r="G25" i="11"/>
  <c r="D25" i="11"/>
  <c r="C25" i="11"/>
  <c r="G6" i="11"/>
  <c r="G7" i="11"/>
  <c r="G8" i="11"/>
  <c r="G9" i="11"/>
  <c r="G10" i="11"/>
  <c r="G11" i="11"/>
  <c r="G12" i="11"/>
  <c r="G13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G5" i="11"/>
  <c r="C5" i="11"/>
  <c r="D5" i="11"/>
  <c r="E15" i="8"/>
  <c r="E16" i="8"/>
  <c r="D16" i="8"/>
  <c r="E5" i="13"/>
  <c r="E6" i="13"/>
  <c r="E7" i="13"/>
  <c r="E8" i="13"/>
  <c r="E9" i="13"/>
  <c r="E10" i="13"/>
  <c r="E11" i="13"/>
  <c r="E12" i="13"/>
  <c r="E13" i="13"/>
  <c r="E14" i="13"/>
  <c r="E15" i="13"/>
  <c r="E4" i="13"/>
  <c r="D5" i="13"/>
  <c r="D6" i="13"/>
  <c r="D7" i="13"/>
  <c r="D8" i="13"/>
  <c r="D9" i="13"/>
  <c r="D10" i="13"/>
  <c r="D11" i="13"/>
  <c r="D12" i="13"/>
  <c r="D13" i="13"/>
  <c r="D14" i="13"/>
  <c r="D15" i="13"/>
  <c r="D4" i="13"/>
  <c r="D15" i="7" l="1"/>
  <c r="G12" i="10"/>
  <c r="F12" i="10"/>
  <c r="D10" i="9"/>
  <c r="G6" i="10"/>
  <c r="F6" i="10"/>
  <c r="F11" i="11"/>
  <c r="F13" i="11"/>
  <c r="D19" i="9"/>
  <c r="D9" i="9"/>
  <c r="F9" i="11"/>
  <c r="F7" i="11"/>
  <c r="D15" i="9"/>
  <c r="D16" i="7"/>
  <c r="F14" i="11"/>
  <c r="F12" i="11"/>
  <c r="F21" i="11"/>
  <c r="D16" i="9"/>
  <c r="F9" i="10"/>
  <c r="D21" i="9"/>
  <c r="F17" i="11"/>
  <c r="D13" i="9"/>
  <c r="F19" i="11"/>
  <c r="F15" i="11"/>
  <c r="F23" i="11"/>
  <c r="D7" i="9"/>
  <c r="F16" i="11"/>
  <c r="D14" i="9"/>
  <c r="F8" i="11"/>
  <c r="D6" i="9"/>
  <c r="F22" i="11"/>
  <c r="D8" i="9"/>
  <c r="F24" i="11"/>
  <c r="D12" i="9"/>
  <c r="F10" i="11"/>
  <c r="F18" i="11"/>
  <c r="F10" i="10"/>
  <c r="F8" i="10"/>
  <c r="F20" i="11"/>
  <c r="D22" i="9"/>
  <c r="F5" i="10" l="1"/>
  <c r="D18" i="9"/>
  <c r="F4" i="11"/>
  <c r="D11" i="9"/>
  <c r="F11" i="10"/>
  <c r="D5" i="9"/>
  <c r="F4" i="10"/>
  <c r="D4" i="9"/>
  <c r="F7" i="10"/>
  <c r="F25" i="11"/>
  <c r="D20" i="9"/>
  <c r="G5" i="10"/>
  <c r="G11" i="10"/>
  <c r="G4" i="10"/>
  <c r="G7" i="10"/>
  <c r="G8" i="10"/>
  <c r="G10" i="10"/>
  <c r="F5" i="11"/>
  <c r="F6" i="11"/>
  <c r="G9" i="10"/>
  <c r="D17" i="9"/>
  <c r="F7" i="13"/>
  <c r="F10" i="13"/>
  <c r="F12" i="13"/>
  <c r="F13" i="13"/>
  <c r="F15" i="13"/>
  <c r="F4" i="13"/>
  <c r="F5" i="13"/>
  <c r="F6" i="13"/>
  <c r="F8" i="13"/>
  <c r="F9" i="13"/>
  <c r="F11" i="13"/>
  <c r="F14" i="13"/>
  <c r="C6" i="13" l="1"/>
  <c r="C7" i="13"/>
  <c r="C8" i="13"/>
  <c r="C9" i="13"/>
  <c r="C10" i="13"/>
  <c r="C11" i="13"/>
  <c r="C12" i="13"/>
  <c r="C13" i="13"/>
  <c r="C14" i="13"/>
  <c r="C15" i="13"/>
  <c r="C4" i="13"/>
  <c r="C5" i="13"/>
  <c r="C16" i="13" l="1"/>
  <c r="D16" i="13"/>
  <c r="E16" i="13" l="1"/>
  <c r="D26" i="11" l="1"/>
  <c r="G26" i="11"/>
  <c r="E26" i="11"/>
  <c r="C26" i="11"/>
  <c r="I13" i="10"/>
  <c r="E18" i="8"/>
  <c r="D18" i="8"/>
  <c r="E17" i="8"/>
  <c r="E26" i="8" s="1"/>
  <c r="D17" i="8"/>
  <c r="D15" i="8"/>
  <c r="E14" i="8"/>
  <c r="D14" i="8"/>
  <c r="E13" i="8"/>
  <c r="D13" i="8"/>
  <c r="E12" i="8"/>
  <c r="D12" i="8"/>
  <c r="E11" i="8"/>
  <c r="E25" i="8" s="1"/>
  <c r="D11" i="8"/>
  <c r="D25" i="8" s="1"/>
  <c r="E10" i="8"/>
  <c r="D10" i="8"/>
  <c r="E9" i="8"/>
  <c r="D9" i="8"/>
  <c r="E8" i="8"/>
  <c r="D8" i="8"/>
  <c r="E7" i="8"/>
  <c r="D7" i="8"/>
  <c r="E6" i="8"/>
  <c r="D6" i="8"/>
  <c r="E5" i="8"/>
  <c r="D5" i="8"/>
  <c r="S325" i="1"/>
  <c r="D9" i="7"/>
  <c r="D13" i="7"/>
  <c r="D11" i="7"/>
  <c r="D5" i="7"/>
  <c r="D18" i="7"/>
  <c r="D17" i="7"/>
  <c r="P3" i="1"/>
  <c r="O3" i="1"/>
  <c r="N3" i="1"/>
  <c r="L3" i="1"/>
  <c r="J3" i="1"/>
  <c r="I3" i="1"/>
  <c r="D24" i="8" l="1"/>
  <c r="D26" i="8"/>
  <c r="E24" i="8"/>
  <c r="L4" i="8"/>
  <c r="D23" i="8"/>
  <c r="E19" i="8"/>
  <c r="E23" i="8"/>
  <c r="D26" i="7"/>
  <c r="D12" i="7"/>
  <c r="D13" i="10"/>
  <c r="C13" i="10"/>
  <c r="K3" i="1"/>
  <c r="D4" i="7"/>
  <c r="D6" i="7"/>
  <c r="D7" i="7"/>
  <c r="D19" i="8"/>
  <c r="E13" i="10"/>
  <c r="H13" i="10"/>
  <c r="J13" i="10"/>
  <c r="K20" i="9"/>
  <c r="M3" i="1"/>
  <c r="D8" i="7"/>
  <c r="D14" i="7"/>
  <c r="D10" i="7"/>
  <c r="D23" i="9" l="1"/>
  <c r="F16" i="13"/>
  <c r="D25" i="7"/>
  <c r="D24" i="7"/>
  <c r="D27" i="7"/>
  <c r="D19" i="7"/>
  <c r="K4" i="7"/>
  <c r="D23" i="7"/>
  <c r="F26" i="11"/>
  <c r="G13" i="10"/>
  <c r="F13" i="10"/>
</calcChain>
</file>

<file path=xl/sharedStrings.xml><?xml version="1.0" encoding="utf-8"?>
<sst xmlns="http://schemas.openxmlformats.org/spreadsheetml/2006/main" count="1650" uniqueCount="484">
  <si>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</si>
  <si>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</si>
  <si>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</si>
  <si>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</si>
  <si>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</si>
  <si>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</si>
  <si>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</si>
  <si>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</si>
  <si>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</si>
  <si>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</si>
  <si>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</si>
  <si>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</si>
  <si>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</si>
  <si>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</si>
  <si>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</si>
  <si>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</si>
  <si>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</si>
  <si>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</si>
  <si>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</si>
  <si>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</si>
  <si>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</si>
  <si>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</si>
  <si>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</si>
  <si>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</si>
  <si>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</si>
  <si>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Credit Card Fees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</si>
  <si>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</si>
  <si>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</si>
  <si>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</si>
  <si>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</si>
  <si>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</si>
  <si>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</si>
  <si>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</si>
  <si>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</si>
  <si>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</si>
  <si>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</si>
  <si>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</si>
  <si>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</si>
  <si>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</si>
  <si>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</si>
  <si>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</si>
  <si>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</si>
  <si>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</si>
  <si>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</si>
  <si>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</si>
  <si>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</si>
  <si>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</si>
  <si>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</si>
  <si>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</si>
  <si>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</si>
  <si>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</si>
  <si>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</si>
  <si>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</si>
  <si>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</si>
  <si>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</si>
  <si>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</si>
  <si>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Total Margin</t>
  </si>
  <si>
    <t>ABQ</t>
  </si>
  <si>
    <t>MC</t>
  </si>
  <si>
    <t>Sean</t>
  </si>
  <si>
    <t>Sandry</t>
  </si>
  <si>
    <t>under priced (by production) and under sized (by sales)</t>
  </si>
  <si>
    <t>RR</t>
  </si>
  <si>
    <t>PB</t>
  </si>
  <si>
    <t>Dennis</t>
  </si>
  <si>
    <t>Starkey</t>
  </si>
  <si>
    <t>Don</t>
  </si>
  <si>
    <t>Albrecht</t>
  </si>
  <si>
    <t>JG</t>
  </si>
  <si>
    <t>Isaac</t>
  </si>
  <si>
    <t>Cordova</t>
  </si>
  <si>
    <t>Maese</t>
  </si>
  <si>
    <t>Clay</t>
  </si>
  <si>
    <t>Hance</t>
  </si>
  <si>
    <t>MW</t>
  </si>
  <si>
    <t>Kappus</t>
  </si>
  <si>
    <t>lattice tubes only</t>
  </si>
  <si>
    <t>Placitas</t>
  </si>
  <si>
    <t>ACSD</t>
  </si>
  <si>
    <t>Fox</t>
  </si>
  <si>
    <t>cost $140 more than expected.</t>
  </si>
  <si>
    <t>Stitzel</t>
  </si>
  <si>
    <t>misguided pricing</t>
  </si>
  <si>
    <t>Telles</t>
  </si>
  <si>
    <t>Baca</t>
  </si>
  <si>
    <t>Riley</t>
  </si>
  <si>
    <t>Tewanema</t>
  </si>
  <si>
    <t>Rizzieri</t>
  </si>
  <si>
    <t>Poly</t>
  </si>
  <si>
    <t>Floyd</t>
  </si>
  <si>
    <t>Owen</t>
  </si>
  <si>
    <t>Sousa</t>
  </si>
  <si>
    <t>Collins</t>
  </si>
  <si>
    <t>Cartales</t>
  </si>
  <si>
    <t>Bosque Farms</t>
  </si>
  <si>
    <t>Garcia</t>
  </si>
  <si>
    <t>Nulton</t>
  </si>
  <si>
    <t>Dodson</t>
  </si>
  <si>
    <t>Marco</t>
  </si>
  <si>
    <t>Williams</t>
  </si>
  <si>
    <t>Stamm</t>
  </si>
  <si>
    <t>BO</t>
  </si>
  <si>
    <t>Odell</t>
  </si>
  <si>
    <t>Cameron</t>
  </si>
  <si>
    <t>Wilde</t>
  </si>
  <si>
    <t>Howard</t>
  </si>
  <si>
    <t>R&amp;R gutter drip edge $70 cost, flashing factored into pricing?</t>
  </si>
  <si>
    <t>Krause</t>
  </si>
  <si>
    <t>cut pavers to fit around post, not dinged</t>
  </si>
  <si>
    <t>GL</t>
  </si>
  <si>
    <t>Roswell</t>
  </si>
  <si>
    <t>Forgot 2nd story and footers</t>
  </si>
  <si>
    <t>Altman</t>
  </si>
  <si>
    <t>Los Lunas</t>
  </si>
  <si>
    <t>Aragon</t>
  </si>
  <si>
    <t>Lodal</t>
  </si>
  <si>
    <t>Harwood</t>
  </si>
  <si>
    <t>swapping Clay for Isaac increased labor.</t>
  </si>
  <si>
    <t>Kavanaugh</t>
  </si>
  <si>
    <t>Wolfe</t>
  </si>
  <si>
    <t>Bernalillo</t>
  </si>
  <si>
    <t>SA</t>
  </si>
  <si>
    <t>Chavez</t>
  </si>
  <si>
    <t>Handy</t>
  </si>
  <si>
    <t>Mauzy</t>
  </si>
  <si>
    <t>McDaniel</t>
  </si>
  <si>
    <t>MS</t>
  </si>
  <si>
    <t>Allen</t>
  </si>
  <si>
    <t>Braddick</t>
  </si>
  <si>
    <t>Costs higher than anticipated</t>
  </si>
  <si>
    <t>Aguilar</t>
  </si>
  <si>
    <t>Pickrell</t>
  </si>
  <si>
    <t>Zelasko</t>
  </si>
  <si>
    <t>Zrakovi</t>
  </si>
  <si>
    <t>Pfau/Nulton</t>
  </si>
  <si>
    <t>Leonard</t>
  </si>
  <si>
    <t>Scalise</t>
  </si>
  <si>
    <t>Alarid</t>
  </si>
  <si>
    <t>Front half payed at 10% in error</t>
  </si>
  <si>
    <t>Gardopee</t>
  </si>
  <si>
    <t>Miramontes</t>
  </si>
  <si>
    <t>Bergsten</t>
  </si>
  <si>
    <t>Rogers</t>
  </si>
  <si>
    <t>Clements</t>
  </si>
  <si>
    <t>Macdonnell</t>
  </si>
  <si>
    <t>Cormier</t>
  </si>
  <si>
    <t>Cost was $2170 higher than expected</t>
  </si>
  <si>
    <t>Ward</t>
  </si>
  <si>
    <t>McCart</t>
  </si>
  <si>
    <t>PC</t>
  </si>
  <si>
    <t>Broussard</t>
  </si>
  <si>
    <t>Guillen</t>
  </si>
  <si>
    <t>Cost was $2000 higher than expected</t>
  </si>
  <si>
    <t>Belen</t>
  </si>
  <si>
    <t>Cabral</t>
  </si>
  <si>
    <t>Cost of concrete was $190 more than par</t>
  </si>
  <si>
    <t>Jessa</t>
  </si>
  <si>
    <t>Hattar</t>
  </si>
  <si>
    <t>Cost was $2534 higher than expected</t>
  </si>
  <si>
    <t>Zimmerman</t>
  </si>
  <si>
    <t>LaPlantz</t>
  </si>
  <si>
    <t>CO for $2,046.73 added as non-comm</t>
  </si>
  <si>
    <t>Torrez</t>
  </si>
  <si>
    <t>Ring</t>
  </si>
  <si>
    <t>Adjustments added for unexpected costs</t>
  </si>
  <si>
    <t>Tirone</t>
  </si>
  <si>
    <t>Costs were $600 higher than expected (Concrete cost $1920)</t>
  </si>
  <si>
    <t>Flores</t>
  </si>
  <si>
    <t>Costs were $282 higher than expected ($110 @ THD)</t>
  </si>
  <si>
    <t>Bowen</t>
  </si>
  <si>
    <t>Costs were $639 less than expected</t>
  </si>
  <si>
    <t>Florence</t>
  </si>
  <si>
    <t>Costs were $486 less than expected</t>
  </si>
  <si>
    <t>Kitchen</t>
  </si>
  <si>
    <t>Abby/McEneany</t>
  </si>
  <si>
    <t>(Job Cost(s) added: 01/04/2018)</t>
  </si>
  <si>
    <t>Polster</t>
  </si>
  <si>
    <t>Clovis</t>
  </si>
  <si>
    <t>Curtis</t>
  </si>
  <si>
    <t>Costs were $1457 higher than expected (Hotel/Mileage - SGD)</t>
  </si>
  <si>
    <t>Schultz</t>
  </si>
  <si>
    <t>Sidhu</t>
  </si>
  <si>
    <t>Porter</t>
  </si>
  <si>
    <t>Rice</t>
  </si>
  <si>
    <t>Fetzer</t>
  </si>
  <si>
    <t>Nicko</t>
  </si>
  <si>
    <t>Irizarri</t>
  </si>
  <si>
    <t>Costs were $823 higher than expected (our 1st op perg)</t>
  </si>
  <si>
    <t>LE</t>
  </si>
  <si>
    <t>Facteau</t>
  </si>
  <si>
    <t>Costs were $172 higher than expected. LE didn't charge for Onyx appropirately</t>
  </si>
  <si>
    <t>Charlee</t>
  </si>
  <si>
    <t>Costs were $680 higher than expected. Concrete cost = PAR</t>
  </si>
  <si>
    <t>Longstreet</t>
  </si>
  <si>
    <t>Hussey</t>
  </si>
  <si>
    <t>Winkenweder</t>
  </si>
  <si>
    <t>Ferrance</t>
  </si>
  <si>
    <t>Error at CABQ charged us $945.67 for permitting. Refund will be issued, amount unknown</t>
  </si>
  <si>
    <t>Shelton</t>
  </si>
  <si>
    <t>Kitele</t>
  </si>
  <si>
    <t>Buchanan</t>
  </si>
  <si>
    <t>Costs were $1402 higher than expected (Was labor factored into product pricing?)</t>
  </si>
  <si>
    <t>Miera</t>
  </si>
  <si>
    <t>Costs were $1057 higher than expected ($606 in service fees to change out tile + tile factored @ $40, not $50)</t>
  </si>
  <si>
    <t>Narvais</t>
  </si>
  <si>
    <t>Had to re-do PC to avoid major customer repercussions</t>
  </si>
  <si>
    <t>Piper</t>
  </si>
  <si>
    <t>Costs were $1131 higher than expected ($561 in CC fees - $441 to re-order shower door glass - $982 spent @ TH - Toilet Replaced? )</t>
  </si>
  <si>
    <t>Lopez</t>
  </si>
  <si>
    <t>Romero</t>
  </si>
  <si>
    <t>House</t>
  </si>
  <si>
    <t>Lundy</t>
  </si>
  <si>
    <t>Service, No Comm</t>
  </si>
  <si>
    <t>Holbrook</t>
  </si>
  <si>
    <t>Costs were $18 higher than expected ($19.68 in CC fees)</t>
  </si>
  <si>
    <t>Carey</t>
  </si>
  <si>
    <t>Install done by Anthony &amp; Richard</t>
  </si>
  <si>
    <t>Otahal</t>
  </si>
  <si>
    <t>Elmquist</t>
  </si>
  <si>
    <t>O'Neal</t>
  </si>
  <si>
    <t>Potutschnig</t>
  </si>
  <si>
    <t>Costs were $967 higher than expected (Concrete more than expected, Permit more than accounted for)</t>
  </si>
  <si>
    <t>Johns</t>
  </si>
  <si>
    <t>Ezzell</t>
  </si>
  <si>
    <t>Costs were $359 higher than expected ($208.5 in CC fees, Stucco patch not accounted for)</t>
  </si>
  <si>
    <t>ME</t>
  </si>
  <si>
    <t>Bella</t>
  </si>
  <si>
    <t>Griego</t>
  </si>
  <si>
    <t>Tijeras</t>
  </si>
  <si>
    <t>Franowski</t>
  </si>
  <si>
    <t>Cost of materials much higher than calculated</t>
  </si>
  <si>
    <t>Custom Fit</t>
  </si>
  <si>
    <t>Fetzer, T</t>
  </si>
  <si>
    <t>Siding</t>
  </si>
  <si>
    <t>Gerlach</t>
  </si>
  <si>
    <t>Ruidoso</t>
  </si>
  <si>
    <t>Wright</t>
  </si>
  <si>
    <t>Siegel</t>
  </si>
  <si>
    <t>Stucco patch/trim out not accounted for on comm sheet</t>
  </si>
  <si>
    <t>Trombino</t>
  </si>
  <si>
    <t>Granone</t>
  </si>
  <si>
    <t>Stucco patch/shutters not accounted for on comm sheet</t>
  </si>
  <si>
    <t>Doft</t>
  </si>
  <si>
    <t>$166 in CC fees, $441 @ THD</t>
  </si>
  <si>
    <t>Eckstein</t>
  </si>
  <si>
    <t>Wills</t>
  </si>
  <si>
    <t>Comm sheet adjusted to include additional work</t>
  </si>
  <si>
    <t>Thompson</t>
  </si>
  <si>
    <t>Marsico</t>
  </si>
  <si>
    <t>Hewitt</t>
  </si>
  <si>
    <t>Espanola</t>
  </si>
  <si>
    <t>Marquez</t>
  </si>
  <si>
    <t>DiLorenzo</t>
  </si>
  <si>
    <t>$1000 discount given, Per Jack. Plus ,$181 for Handi-Ramp</t>
  </si>
  <si>
    <t>Losee</t>
  </si>
  <si>
    <t>Welch</t>
  </si>
  <si>
    <t>Young</t>
  </si>
  <si>
    <t>Roof</t>
  </si>
  <si>
    <t>Keeler</t>
  </si>
  <si>
    <t>$500 discount</t>
  </si>
  <si>
    <t>Sellers</t>
  </si>
  <si>
    <t>Costs were $309 higher than expected ($264 in CC fees)</t>
  </si>
  <si>
    <t>Addy</t>
  </si>
  <si>
    <t>Webb</t>
  </si>
  <si>
    <t>Costs were $2616 higher than expected. Contract credited $923 for blind pull-outs ($534 in CC fees, $863 for plumbing)</t>
  </si>
  <si>
    <t>Scott</t>
  </si>
  <si>
    <t>Split up commission on Back half (was FP/B sold together)</t>
  </si>
  <si>
    <t>Masten</t>
  </si>
  <si>
    <t>Clack</t>
  </si>
  <si>
    <t>Masters</t>
  </si>
  <si>
    <t>Hunt (B)</t>
  </si>
  <si>
    <t>Split contract 50/50 for closing: Bath/Lattice Cover</t>
  </si>
  <si>
    <t>Mike R</t>
  </si>
  <si>
    <t>Sierra</t>
  </si>
  <si>
    <t>Costs were $564 higher than expected. ($1397 spent @ Home Depot)</t>
  </si>
  <si>
    <t>Rossi</t>
  </si>
  <si>
    <t>The labor of installing a shower door ($250) is 20% of net</t>
  </si>
  <si>
    <t>$200 discount given at time of final payment for "Not meeting timeline"</t>
  </si>
  <si>
    <t>Howser</t>
  </si>
  <si>
    <t>Bright</t>
  </si>
  <si>
    <t>Saiz</t>
  </si>
  <si>
    <t>Costs were $480 more than expected: $196 in CC charges, and under par.</t>
  </si>
  <si>
    <t>McCament-Mann</t>
  </si>
  <si>
    <t>NM</t>
  </si>
  <si>
    <t>Klinetobe</t>
  </si>
  <si>
    <t>Job Cost(s) added: 01/04/2018)</t>
  </si>
  <si>
    <t>Edgewood</t>
  </si>
  <si>
    <t>Haslam</t>
  </si>
  <si>
    <t>Makowski</t>
  </si>
  <si>
    <t>Customer canceled financing and paid in cash</t>
  </si>
  <si>
    <t>ARCA 1</t>
  </si>
  <si>
    <t>Lacy</t>
  </si>
  <si>
    <t>Los Alamos</t>
  </si>
  <si>
    <t>Montoya</t>
  </si>
  <si>
    <t>Oppenheimer</t>
  </si>
  <si>
    <t>Concrete work cost was $6300 (Par calc at $3561)</t>
  </si>
  <si>
    <t>Yamashita</t>
  </si>
  <si>
    <t>Robinson</t>
  </si>
  <si>
    <t>Costs were $1418 higher than expected ($714 in CC fees, $362 in storage fees, $390 in unforseen cost) Job Cost(s) added: 01/04/2018)</t>
  </si>
  <si>
    <t>Welles</t>
  </si>
  <si>
    <t>Costs were $1967 higher than expected ($1364 in CC fees, $420 in storage fees, Electrical and Dumpster) Job Cost(s) added: 01/04/2018)</t>
  </si>
  <si>
    <t>Sigal</t>
  </si>
  <si>
    <t>Burton</t>
  </si>
  <si>
    <t>Goff</t>
  </si>
  <si>
    <t>Mullins</t>
  </si>
  <si>
    <t>Arnold</t>
  </si>
  <si>
    <t>Adair</t>
  </si>
  <si>
    <t>C/O Priced short  Adjusted commission. Cost was $369 high.</t>
  </si>
  <si>
    <t>Bartell/Lujan</t>
  </si>
  <si>
    <t>Bay window/PD Needed structural framing, stucco work add'l travel</t>
  </si>
  <si>
    <t>Hancock</t>
  </si>
  <si>
    <t>Brown</t>
  </si>
  <si>
    <t>Bailey</t>
  </si>
  <si>
    <t>ARCA 2</t>
  </si>
  <si>
    <t>Ruthardt/Cosme</t>
  </si>
  <si>
    <t>Costs were $277 higher than expected ($64 in CC fees and over $200 more on install))</t>
  </si>
  <si>
    <t>Koski</t>
  </si>
  <si>
    <t>Customer did not pay in full (-$500) Over/under includes deficiency</t>
  </si>
  <si>
    <t>Hunt(LC)</t>
  </si>
  <si>
    <t>Chace</t>
  </si>
  <si>
    <t>C/O to remove 2 footers, customer poured own, they were incorrect: C/O added to remove cust footers and pour our own</t>
  </si>
  <si>
    <t>Wilson</t>
  </si>
  <si>
    <t>Wolters</t>
  </si>
  <si>
    <t>(Replacing roof on SR) Electric cost over double expected - wiring had to be re-done</t>
  </si>
  <si>
    <t>Kishbaugh</t>
  </si>
  <si>
    <t>Costs were 725 higher than expected: Demo/remove spa Cost $260 more, Add'l work needed to be done by Marco, 2nd story fee)</t>
  </si>
  <si>
    <t>Ruz</t>
  </si>
  <si>
    <t>Incorrectly sold + $200 discount to customer</t>
  </si>
  <si>
    <t>Sorensen</t>
  </si>
  <si>
    <t>Payne</t>
  </si>
  <si>
    <t>Costs were $5157 higher than expected (Electrical: $3399 add'l, Plumbing: $2239 add'l, Tile: $684 add'l. (Job Cost(s) added: 01/04/2018)</t>
  </si>
  <si>
    <t>Farmington</t>
  </si>
  <si>
    <t>Harrison</t>
  </si>
  <si>
    <t>Domenick/English</t>
  </si>
  <si>
    <t>Lowe</t>
  </si>
  <si>
    <t>Thorne</t>
  </si>
  <si>
    <t>Giron</t>
  </si>
  <si>
    <t>Travel/mileage omitted from front end calc - Work took 1 extra day</t>
  </si>
  <si>
    <t>Silva</t>
  </si>
  <si>
    <t>Adding to existing car port - new cover needed to be free-standing. Footers needed to be very large per code</t>
  </si>
  <si>
    <t>Rose</t>
  </si>
  <si>
    <t>Costs were $734 higher than expected. (Permitted concrete, needed 10" turndown)</t>
  </si>
  <si>
    <t>Akins</t>
  </si>
  <si>
    <t>Maez Constr.</t>
  </si>
  <si>
    <t>Vaughn</t>
  </si>
  <si>
    <t>Linderman/Timms</t>
  </si>
  <si>
    <t>Abeyta</t>
  </si>
  <si>
    <t>Costs were 1882 higher than expected (Concrete)</t>
  </si>
  <si>
    <t>Brewer</t>
  </si>
  <si>
    <t>Costs were $285 higher than expected</t>
  </si>
  <si>
    <t>Carriaga</t>
  </si>
  <si>
    <t>Dranberg</t>
  </si>
  <si>
    <t>Vogel</t>
  </si>
  <si>
    <t>Busboom</t>
  </si>
  <si>
    <t>Dunn</t>
  </si>
  <si>
    <t>Estancia</t>
  </si>
  <si>
    <t>Krob</t>
  </si>
  <si>
    <t>$700 discount given @ completion - Originally sold @ $386 under par</t>
  </si>
  <si>
    <t>Chando</t>
  </si>
  <si>
    <t>Goodrich</t>
  </si>
  <si>
    <t>$100 discount given at closing for not capping gutter (discount should not have been given as customer wasn't charged for capping gutter on the contract) $200 spent at THD</t>
  </si>
  <si>
    <t>Kindred</t>
  </si>
  <si>
    <t>Herrington</t>
  </si>
  <si>
    <t>Wade</t>
  </si>
  <si>
    <t>Everett</t>
  </si>
  <si>
    <t>Broken window service call: $470.20 Margin. Change added: 01/04/2018)</t>
  </si>
  <si>
    <t>Gagon-Olson</t>
  </si>
  <si>
    <t>Over 5,000 comm should have been non-comm or was underpriced.</t>
  </si>
  <si>
    <t>Santo Domingo</t>
  </si>
  <si>
    <t>Bailon</t>
  </si>
  <si>
    <t>Piegzik</t>
  </si>
  <si>
    <t>Plumbing and tile was $4500 more than expected (retail) Job Cost(s) added: 01/04/2018)</t>
  </si>
  <si>
    <t>Byers-Smith</t>
  </si>
  <si>
    <t>Schulte</t>
  </si>
  <si>
    <t>Herring/Claypool</t>
  </si>
  <si>
    <t>Moore</t>
  </si>
  <si>
    <t>Costs of siding material/labor were $780 higher than priced</t>
  </si>
  <si>
    <t>Smith</t>
  </si>
  <si>
    <t>Heffenger</t>
  </si>
  <si>
    <t>Jimenez/Rhine</t>
  </si>
  <si>
    <t>Fugard</t>
  </si>
  <si>
    <t>McNeal</t>
  </si>
  <si>
    <t>Eric</t>
  </si>
  <si>
    <t>Busboom/Fullam</t>
  </si>
  <si>
    <t>Costs of siding material/labor were $1105 higher than priced</t>
  </si>
  <si>
    <t>Doyle</t>
  </si>
  <si>
    <t>Santa Fe</t>
  </si>
  <si>
    <t>Decker</t>
  </si>
  <si>
    <t>Benedict</t>
  </si>
  <si>
    <t>Beenau</t>
  </si>
  <si>
    <t>Slone</t>
  </si>
  <si>
    <t>Sanchez</t>
  </si>
  <si>
    <t>Isaac to be charged back an add'l $386.72 + Customer paid for paint: $72.63= $459.35 (Isaac paid 10% of job)</t>
  </si>
  <si>
    <t>Fernandez</t>
  </si>
  <si>
    <t>Hagel/Casaus</t>
  </si>
  <si>
    <t>Costs were $2972 higher than expected: C-tops 13 sq ft off = $1147. Feb brace not accounted for: $505 cost. THD: $463. CC fees: $490</t>
  </si>
  <si>
    <t>Arroya Seco</t>
  </si>
  <si>
    <t>Dalles</t>
  </si>
  <si>
    <t>Walton (GB)</t>
  </si>
  <si>
    <t>All 3 contracts are lumped together in LP</t>
  </si>
  <si>
    <t>Walton (MB)</t>
  </si>
  <si>
    <t>Eberhardt</t>
  </si>
  <si>
    <t>David G</t>
  </si>
  <si>
    <t>Koeppe</t>
  </si>
  <si>
    <t>Stucco</t>
  </si>
  <si>
    <t>Stucco invoice was verbal ONLY - could not get definitive reason for significant discrepancy</t>
  </si>
  <si>
    <t>Discounts given: $6250</t>
  </si>
  <si>
    <t>Alamogordo</t>
  </si>
  <si>
    <t>Inman</t>
  </si>
  <si>
    <t>Myaskorsky</t>
  </si>
  <si>
    <t>Las Vegas</t>
  </si>
  <si>
    <t>Price</t>
  </si>
  <si>
    <t>Meister</t>
  </si>
  <si>
    <t>Paden</t>
  </si>
  <si>
    <t>Costs were $220 higher than expected: Flashing needed to be cut back (AC- $130) Plus $121 in CC fees</t>
  </si>
  <si>
    <t>JJ</t>
  </si>
  <si>
    <t>Walton</t>
  </si>
  <si>
    <t>Bartels</t>
  </si>
  <si>
    <t>Vadito</t>
  </si>
  <si>
    <t>Leslie</t>
  </si>
  <si>
    <t>BS</t>
  </si>
  <si>
    <t>Garcia / Smart</t>
  </si>
  <si>
    <t>Piersol</t>
  </si>
  <si>
    <t>Silsbee</t>
  </si>
  <si>
    <t>Silvino Campa</t>
  </si>
  <si>
    <t>Bonura/Sammons</t>
  </si>
  <si>
    <t>Cory</t>
  </si>
  <si>
    <t>DL</t>
  </si>
  <si>
    <t>OTC</t>
  </si>
  <si>
    <t>Shaver</t>
  </si>
  <si>
    <t>Costs were $850 higher than expected. (Tile install costs $800 more than priced)</t>
  </si>
  <si>
    <t>TR</t>
  </si>
  <si>
    <t>Casaus</t>
  </si>
  <si>
    <t>Barela</t>
  </si>
  <si>
    <t>Costello</t>
  </si>
  <si>
    <t>Costs were $5686 higher than expected: $2428 spent at THD, not incl door on comm sheet.</t>
  </si>
  <si>
    <t>Artesia</t>
  </si>
  <si>
    <t>Gabaldon</t>
  </si>
  <si>
    <t>Costs were $1343 higher than expected (Hotel 6 nights, not 3, Site check cost: $774.40)</t>
  </si>
  <si>
    <t>Bonano/Jackson</t>
  </si>
  <si>
    <t>Bulawa</t>
  </si>
  <si>
    <t>Tolson</t>
  </si>
  <si>
    <t>Eras</t>
  </si>
  <si>
    <t>Yonkers</t>
  </si>
  <si>
    <t>Kraft</t>
  </si>
  <si>
    <t>Stain wasn't to the customer's liking - needed to be restained. (May be an issue w/ Infinity door pricing as well)</t>
  </si>
  <si>
    <t>Bayse</t>
  </si>
  <si>
    <t>Stucco patch/repair not priced out. ($800 cost)</t>
  </si>
  <si>
    <t>Stock</t>
  </si>
  <si>
    <t xml:space="preserve">Job under sold. Too few trip charges, flooring miscalculation, C-top miscalculation, didn't consider tape/texture in pricing., </t>
  </si>
  <si>
    <t>Jiron</t>
  </si>
  <si>
    <t>2nd half not paid out.</t>
  </si>
  <si>
    <t>Drown</t>
  </si>
  <si>
    <t>2rd half not paid out.</t>
  </si>
  <si>
    <t>Delgado</t>
  </si>
  <si>
    <t>Gordo</t>
  </si>
  <si>
    <t>Costs were $1114 higher than expected: Add'l hotel and travel charges</t>
  </si>
  <si>
    <t>Schriner</t>
  </si>
  <si>
    <t>CJT elec did extra work, invoiced us, Plus raised prices that we have not accounted for.</t>
  </si>
  <si>
    <t>Limon</t>
  </si>
  <si>
    <t>Gagon/Olson</t>
  </si>
  <si>
    <t>Add'l invoices after costing</t>
  </si>
  <si>
    <t>Tollestrup (MB)</t>
  </si>
  <si>
    <t>Margin did much better than front half suggested (Old ONYX pricing)</t>
  </si>
  <si>
    <t>Chris M</t>
  </si>
  <si>
    <t>Had a few "issues" w/ sollid cabs - Extra costs associated.</t>
  </si>
  <si>
    <t>Skidmore</t>
  </si>
  <si>
    <t>Costs were $5743.31 higher than expected:  C-top not priced correctly, Gas line, CC fees, Installer damaged OC</t>
  </si>
  <si>
    <t>Tollestrup (GB)</t>
  </si>
  <si>
    <t>Acevedo</t>
  </si>
  <si>
    <t>Wall panels ordered short for 2nd bath - add'l cost TTL: 1321.80 (labor) + 825.78 (Materials) = 2147.58</t>
  </si>
  <si>
    <t>Iverson</t>
  </si>
  <si>
    <t>Western wall did stucco, customer not happy had to be re-done TTL stucco cost: $5,283.81</t>
  </si>
  <si>
    <t>2017 Job Cost, Margin and Commission Summary</t>
  </si>
  <si>
    <t>San Felipe</t>
  </si>
  <si>
    <t>AP</t>
  </si>
  <si>
    <t>Rob S</t>
  </si>
  <si>
    <t>Russ T</t>
  </si>
  <si>
    <t>Robert T</t>
  </si>
  <si>
    <t>B-FR</t>
  </si>
  <si>
    <t>Rio Rancho</t>
  </si>
  <si>
    <t>Prime Time</t>
  </si>
  <si>
    <t>Elephant Butte</t>
  </si>
  <si>
    <t>Sandia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</si>
</sst>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9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40" fontId="1" fillId="0" borderId="0" xfId="0" applyNumberFormat="1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40" fontId="1" fillId="0" borderId="1" xfId="0" applyNumberFormat="1" applyFont="1" applyBorder="1"/>
    <xf numFmtId="0" fontId="1" fillId="0" borderId="0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39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3" fillId="0" borderId="2" xfId="0" applyFont="1" applyBorder="1" applyAlignment="1">
      <alignment horizontal="center"/>
    </xf>
    <xf numFmtId="40" fontId="3" fillId="0" borderId="2" xfId="0" applyNumberFormat="1" applyFont="1" applyBorder="1" applyAlignment="1">
      <alignment horizontal="center"/>
    </xf>
    <xf numFmtId="44" fontId="3" fillId="0" borderId="5" xfId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0" xfId="0" applyFill="1"/>
    <xf numFmtId="10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9" xfId="0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10" xfId="0" applyBorder="1"/>
    <xf numFmtId="164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1" fillId="0" borderId="1" xfId="0" applyFont="1" applyBorder="1"/>
    <xf numFmtId="39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40" fontId="1" fillId="0" borderId="33" xfId="0" applyNumberFormat="1" applyFont="1" applyBorder="1"/>
    <xf numFmtId="0" fontId="3" fillId="0" borderId="0" xfId="0" applyFont="1" applyBorder="1" applyAlignment="1">
      <alignment horizontal="center"/>
    </xf>
    <xf numFmtId="39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0.53162585605545876</c:v>
                </c:pt>
                <c:pt idx="1">
                  <c:v>0.40713938207773109</c:v>
                </c:pt>
                <c:pt idx="2">
                  <c:v>0.49960581640534363</c:v>
                </c:pt>
                <c:pt idx="3">
                  <c:v>0.48024004812029264</c:v>
                </c:pt>
                <c:pt idx="4">
                  <c:v>0.49823569993591293</c:v>
                </c:pt>
                <c:pt idx="5">
                  <c:v>0.38451179139884878</c:v>
                </c:pt>
                <c:pt idx="6">
                  <c:v>0.55217208245536231</c:v>
                </c:pt>
                <c:pt idx="7">
                  <c:v>0.62337282881664757</c:v>
                </c:pt>
                <c:pt idx="8">
                  <c:v>0.51584779385342105</c:v>
                </c:pt>
                <c:pt idx="9">
                  <c:v>0</c:v>
                </c:pt>
                <c:pt idx="10">
                  <c:v>0.58909972166391733</c:v>
                </c:pt>
                <c:pt idx="11">
                  <c:v>0</c:v>
                </c:pt>
                <c:pt idx="12">
                  <c:v>0.47635352731517255</c:v>
                </c:pt>
                <c:pt idx="13">
                  <c:v>0.51765853743780599</c:v>
                </c:pt>
                <c:pt idx="14">
                  <c:v>0.48694724687061397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459487448"/>
        <c:axId val="459484312"/>
        <c:axId val="0"/>
      </c:bar3DChart>
      <c:catAx>
        <c:axId val="45948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4312"/>
        <c:crosses val="autoZero"/>
        <c:auto val="1"/>
        <c:lblAlgn val="ctr"/>
        <c:lblOffset val="100"/>
        <c:noMultiLvlLbl val="0"/>
      </c:catAx>
      <c:valAx>
        <c:axId val="45948431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56872"/>
        <c:axId val="459463928"/>
        <c:axId val="0"/>
      </c:bar3DChart>
      <c:catAx>
        <c:axId val="45945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3928"/>
        <c:crosses val="autoZero"/>
        <c:auto val="1"/>
        <c:lblAlgn val="ctr"/>
        <c:lblOffset val="100"/>
        <c:noMultiLvlLbl val="0"/>
      </c:catAx>
      <c:valAx>
        <c:axId val="4594639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6280"/>
        <c:axId val="459462752"/>
        <c:axId val="0"/>
      </c:bar3DChart>
      <c:catAx>
        <c:axId val="45946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2752"/>
        <c:crosses val="autoZero"/>
        <c:auto val="1"/>
        <c:lblAlgn val="ctr"/>
        <c:lblOffset val="100"/>
        <c:noMultiLvlLbl val="0"/>
      </c:catAx>
      <c:valAx>
        <c:axId val="4594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3536"/>
        <c:axId val="459466672"/>
        <c:axId val="0"/>
      </c:bar3DChart>
      <c:catAx>
        <c:axId val="4594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6672"/>
        <c:crossesAt val="-500"/>
        <c:auto val="1"/>
        <c:lblAlgn val="ctr"/>
        <c:lblOffset val="100"/>
        <c:noMultiLvlLbl val="0"/>
      </c:catAx>
      <c:valAx>
        <c:axId val="459466672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1184"/>
        <c:axId val="459455696"/>
        <c:axId val="0"/>
      </c:bar3DChart>
      <c:catAx>
        <c:axId val="4594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5696"/>
        <c:crosses val="autoZero"/>
        <c:auto val="1"/>
        <c:lblAlgn val="ctr"/>
        <c:lblOffset val="100"/>
        <c:noMultiLvlLbl val="0"/>
      </c:catAx>
      <c:valAx>
        <c:axId val="45945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58048"/>
        <c:axId val="459461576"/>
        <c:axId val="0"/>
      </c:bar3DChart>
      <c:catAx>
        <c:axId val="4594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576"/>
        <c:crosses val="autoZero"/>
        <c:auto val="1"/>
        <c:lblAlgn val="ctr"/>
        <c:lblOffset val="100"/>
        <c:noMultiLvlLbl val="0"/>
      </c:catAx>
      <c:valAx>
        <c:axId val="459461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56088"/>
        <c:axId val="459464712"/>
        <c:axId val="0"/>
      </c:bar3DChart>
      <c:catAx>
        <c:axId val="4594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4712"/>
        <c:crosses val="autoZero"/>
        <c:auto val="1"/>
        <c:lblAlgn val="ctr"/>
        <c:lblOffset val="100"/>
        <c:noMultiLvlLbl val="0"/>
      </c:catAx>
      <c:valAx>
        <c:axId val="459464712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57656"/>
        <c:axId val="459458832"/>
        <c:axId val="0"/>
      </c:bar3DChart>
      <c:catAx>
        <c:axId val="4594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8832"/>
        <c:crosses val="autoZero"/>
        <c:auto val="1"/>
        <c:lblAlgn val="ctr"/>
        <c:lblOffset val="100"/>
        <c:noMultiLvlLbl val="0"/>
      </c:catAx>
      <c:valAx>
        <c:axId val="45945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7256"/>
        <c:axId val="459480000"/>
        <c:axId val="0"/>
      </c:bar3DChart>
      <c:catAx>
        <c:axId val="45947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0000"/>
        <c:crosses val="autoZero"/>
        <c:auto val="1"/>
        <c:lblAlgn val="ctr"/>
        <c:lblOffset val="100"/>
        <c:noMultiLvlLbl val="0"/>
      </c:catAx>
      <c:valAx>
        <c:axId val="459480000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8432"/>
        <c:axId val="459479216"/>
        <c:axId val="0"/>
      </c:bar3DChart>
      <c:catAx>
        <c:axId val="4594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9216"/>
        <c:crosses val="autoZero"/>
        <c:auto val="1"/>
        <c:lblAlgn val="ctr"/>
        <c:lblOffset val="100"/>
        <c:noMultiLvlLbl val="0"/>
      </c:catAx>
      <c:valAx>
        <c:axId val="4594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Location Analysis'!$B$4:$B$25</c:f>
              <c:numCache>
                <c:formatCode>General</c:formatCode>
                <c:ptCount val="22"/>
              </c:numCache>
            </c:num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5688"/>
        <c:axId val="459474512"/>
        <c:axId val="0"/>
      </c:bar3DChart>
      <c:catAx>
        <c:axId val="4594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4512"/>
        <c:crossesAt val="-500"/>
        <c:auto val="1"/>
        <c:lblAlgn val="ctr"/>
        <c:lblOffset val="100"/>
        <c:noMultiLvlLbl val="0"/>
      </c:catAx>
      <c:valAx>
        <c:axId val="459474512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Analysis'!$B$23:$B$27</c:f>
              <c:strCache>
                <c:ptCount val="5"/>
                <c:pt idx="0">
                  <c:v>Kitchen &amp; Bath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  <c:pt idx="4">
                  <c:v>Overall average</c:v>
                </c:pt>
              </c:strCache>
            </c:strRef>
          </c:cat>
          <c:val>
            <c:numRef>
              <c:f>'Product Margin Analysis'!$C$23:$C$27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Analysis'!$B$23:$B$27</c:f>
              <c:strCache>
                <c:ptCount val="5"/>
                <c:pt idx="0">
                  <c:v>Kitchen &amp; Bath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  <c:pt idx="4">
                  <c:v>Overall average</c:v>
                </c:pt>
              </c:strCache>
            </c:strRef>
          </c:cat>
          <c:val>
            <c:numRef>
              <c:f>'Product Margin Analysis'!$D$23:$D$27</c:f>
              <c:numCache>
                <c:formatCode>0.0%</c:formatCode>
                <c:ptCount val="5"/>
                <c:pt idx="0">
                  <c:v>0.46938261906659495</c:v>
                </c:pt>
                <c:pt idx="1">
                  <c:v>0.48295308766315204</c:v>
                </c:pt>
                <c:pt idx="2">
                  <c:v>0</c:v>
                </c:pt>
                <c:pt idx="3">
                  <c:v>0.49365310387453087</c:v>
                </c:pt>
                <c:pt idx="4">
                  <c:v>0.66472764083407987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3136"/>
        <c:axId val="459487840"/>
        <c:axId val="0"/>
      </c:bar3DChart>
      <c:catAx>
        <c:axId val="4594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7840"/>
        <c:crosses val="autoZero"/>
        <c:auto val="1"/>
        <c:lblAlgn val="ctr"/>
        <c:lblOffset val="100"/>
        <c:noMultiLvlLbl val="0"/>
      </c:catAx>
      <c:valAx>
        <c:axId val="45948784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124302.93999999999</c:v>
                </c:pt>
                <c:pt idx="1">
                  <c:v>298163.23999999987</c:v>
                </c:pt>
                <c:pt idx="2">
                  <c:v>387644.87</c:v>
                </c:pt>
                <c:pt idx="3">
                  <c:v>586706.1</c:v>
                </c:pt>
                <c:pt idx="4">
                  <c:v>284416.55140361097</c:v>
                </c:pt>
                <c:pt idx="5">
                  <c:v>312020.50683785346</c:v>
                </c:pt>
                <c:pt idx="6">
                  <c:v>203636.55</c:v>
                </c:pt>
                <c:pt idx="7">
                  <c:v>285887.56467132049</c:v>
                </c:pt>
                <c:pt idx="8">
                  <c:v>479018.61162790697</c:v>
                </c:pt>
                <c:pt idx="9">
                  <c:v>214317.68208539812</c:v>
                </c:pt>
                <c:pt idx="10">
                  <c:v>173746.35533461903</c:v>
                </c:pt>
                <c:pt idx="11">
                  <c:v>109468.9907387713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9608"/>
        <c:axId val="459474904"/>
        <c:axId val="0"/>
      </c:bar3DChart>
      <c:dateAx>
        <c:axId val="459479608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4904"/>
        <c:crosses val="autoZero"/>
        <c:auto val="1"/>
        <c:lblOffset val="100"/>
        <c:baseTimeUnit val="months"/>
      </c:dateAx>
      <c:valAx>
        <c:axId val="459474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16</c:v>
                </c:pt>
                <c:pt idx="1">
                  <c:v>23</c:v>
                </c:pt>
                <c:pt idx="2">
                  <c:v>37</c:v>
                </c:pt>
                <c:pt idx="3">
                  <c:v>37</c:v>
                </c:pt>
                <c:pt idx="4">
                  <c:v>28</c:v>
                </c:pt>
                <c:pt idx="5">
                  <c:v>30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0200"/>
        <c:axId val="459470592"/>
        <c:axId val="0"/>
      </c:bar3DChart>
      <c:dateAx>
        <c:axId val="45947020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0592"/>
        <c:crosses val="autoZero"/>
        <c:auto val="1"/>
        <c:lblOffset val="100"/>
        <c:baseTimeUnit val="months"/>
      </c:dateAx>
      <c:valAx>
        <c:axId val="45947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7768.9337499999992</c:v>
                </c:pt>
                <c:pt idx="1">
                  <c:v>12963.619130434778</c:v>
                </c:pt>
                <c:pt idx="2">
                  <c:v>10476.888378378379</c:v>
                </c:pt>
                <c:pt idx="3">
                  <c:v>15856.921621621621</c:v>
                </c:pt>
                <c:pt idx="4">
                  <c:v>10157.733978700391</c:v>
                </c:pt>
                <c:pt idx="5">
                  <c:v>10400.683561261782</c:v>
                </c:pt>
                <c:pt idx="6">
                  <c:v>10181.827499999999</c:v>
                </c:pt>
                <c:pt idx="7">
                  <c:v>12429.894116144369</c:v>
                </c:pt>
                <c:pt idx="8">
                  <c:v>19160.74446511628</c:v>
                </c:pt>
                <c:pt idx="9">
                  <c:v>10715.884104269906</c:v>
                </c:pt>
                <c:pt idx="10">
                  <c:v>10220.373843212885</c:v>
                </c:pt>
                <c:pt idx="11">
                  <c:v>15638.427248395901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0392"/>
        <c:axId val="459468632"/>
        <c:axId val="0"/>
      </c:bar3DChart>
      <c:dateAx>
        <c:axId val="45948039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8632"/>
        <c:crosses val="autoZero"/>
        <c:auto val="1"/>
        <c:lblOffset val="100"/>
        <c:baseTimeUnit val="months"/>
      </c:dateAx>
      <c:valAx>
        <c:axId val="4594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0.48873447873084647</c:v>
                </c:pt>
                <c:pt idx="1">
                  <c:v>0.51319723070743495</c:v>
                </c:pt>
                <c:pt idx="2">
                  <c:v>0.52104562957014988</c:v>
                </c:pt>
                <c:pt idx="3">
                  <c:v>0.48036828965160083</c:v>
                </c:pt>
                <c:pt idx="4">
                  <c:v>0.48822034332771441</c:v>
                </c:pt>
                <c:pt idx="5">
                  <c:v>0.52731964275045251</c:v>
                </c:pt>
                <c:pt idx="6">
                  <c:v>0.53833627210845947</c:v>
                </c:pt>
                <c:pt idx="7">
                  <c:v>0.48059768968451183</c:v>
                </c:pt>
                <c:pt idx="8">
                  <c:v>0.51514199559367368</c:v>
                </c:pt>
                <c:pt idx="9">
                  <c:v>0.51537097765723006</c:v>
                </c:pt>
                <c:pt idx="10">
                  <c:v>0.51263372123934159</c:v>
                </c:pt>
                <c:pt idx="11">
                  <c:v>0.45636226501993177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9024"/>
        <c:axId val="459476472"/>
        <c:axId val="0"/>
      </c:bar3DChart>
      <c:dateAx>
        <c:axId val="459469024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6472"/>
        <c:crosses val="autoZero"/>
        <c:auto val="1"/>
        <c:lblOffset val="100"/>
        <c:baseTimeUnit val="months"/>
      </c:dateAx>
      <c:valAx>
        <c:axId val="4594764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667787.82579841639</c:v>
                </c:pt>
                <c:pt idx="1">
                  <c:v>376306.74860465113</c:v>
                </c:pt>
                <c:pt idx="2">
                  <c:v>79420.33</c:v>
                </c:pt>
                <c:pt idx="3">
                  <c:v>340490.05959302332</c:v>
                </c:pt>
                <c:pt idx="4">
                  <c:v>140698.03618294842</c:v>
                </c:pt>
                <c:pt idx="5">
                  <c:v>63440.79</c:v>
                </c:pt>
                <c:pt idx="6">
                  <c:v>68401.83</c:v>
                </c:pt>
                <c:pt idx="7">
                  <c:v>80461.079999999987</c:v>
                </c:pt>
                <c:pt idx="8">
                  <c:v>246767.3</c:v>
                </c:pt>
                <c:pt idx="9">
                  <c:v>0</c:v>
                </c:pt>
                <c:pt idx="10">
                  <c:v>113884.80454915648</c:v>
                </c:pt>
                <c:pt idx="11">
                  <c:v>0</c:v>
                </c:pt>
                <c:pt idx="12">
                  <c:v>76687.88</c:v>
                </c:pt>
                <c:pt idx="13">
                  <c:v>148952.69208964924</c:v>
                </c:pt>
                <c:pt idx="14">
                  <c:v>399318.21537795727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1568"/>
        <c:axId val="459481960"/>
        <c:axId val="0"/>
      </c:bar3DChart>
      <c:catAx>
        <c:axId val="4594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1960"/>
        <c:crosses val="autoZero"/>
        <c:auto val="1"/>
        <c:lblAlgn val="ctr"/>
        <c:lblOffset val="100"/>
        <c:noMultiLvlLbl val="0"/>
      </c:catAx>
      <c:valAx>
        <c:axId val="459481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9539.8260828345192</c:v>
                </c:pt>
                <c:pt idx="1">
                  <c:v>26879.053471760795</c:v>
                </c:pt>
                <c:pt idx="2">
                  <c:v>6618.3608333333332</c:v>
                </c:pt>
                <c:pt idx="3">
                  <c:v>9728.2874169435236</c:v>
                </c:pt>
                <c:pt idx="4">
                  <c:v>6395.3652810431095</c:v>
                </c:pt>
                <c:pt idx="5">
                  <c:v>15860.1975</c:v>
                </c:pt>
                <c:pt idx="6">
                  <c:v>7600.2033333333338</c:v>
                </c:pt>
                <c:pt idx="7">
                  <c:v>16092.215999999997</c:v>
                </c:pt>
                <c:pt idx="8">
                  <c:v>30845.912499999999</c:v>
                </c:pt>
                <c:pt idx="9">
                  <c:v>0</c:v>
                </c:pt>
                <c:pt idx="10">
                  <c:v>14235.600568644561</c:v>
                </c:pt>
                <c:pt idx="11">
                  <c:v>0</c:v>
                </c:pt>
                <c:pt idx="12">
                  <c:v>5477.7057142857147</c:v>
                </c:pt>
                <c:pt idx="13">
                  <c:v>7447.6346044824622</c:v>
                </c:pt>
                <c:pt idx="14">
                  <c:v>14789.563532516935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6272"/>
        <c:axId val="4594850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667787.82579841639</c:v>
                      </c:pt>
                      <c:pt idx="1">
                        <c:v>376306.74860465113</c:v>
                      </c:pt>
                      <c:pt idx="2">
                        <c:v>79420.33</c:v>
                      </c:pt>
                      <c:pt idx="3">
                        <c:v>340490.05959302332</c:v>
                      </c:pt>
                      <c:pt idx="4">
                        <c:v>140698.03618294842</c:v>
                      </c:pt>
                      <c:pt idx="5">
                        <c:v>63440.79</c:v>
                      </c:pt>
                      <c:pt idx="6">
                        <c:v>68401.83</c:v>
                      </c:pt>
                      <c:pt idx="7">
                        <c:v>80461.079999999987</c:v>
                      </c:pt>
                      <c:pt idx="8">
                        <c:v>246767.3</c:v>
                      </c:pt>
                      <c:pt idx="9">
                        <c:v>0</c:v>
                      </c:pt>
                      <c:pt idx="10">
                        <c:v>113884.80454915648</c:v>
                      </c:pt>
                      <c:pt idx="11">
                        <c:v>0</c:v>
                      </c:pt>
                      <c:pt idx="12">
                        <c:v>76687.88</c:v>
                      </c:pt>
                      <c:pt idx="13">
                        <c:v>148952.69208964924</c:v>
                      </c:pt>
                      <c:pt idx="14">
                        <c:v>399318.21537795727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4594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5096"/>
        <c:crosses val="autoZero"/>
        <c:auto val="1"/>
        <c:lblAlgn val="ctr"/>
        <c:lblOffset val="100"/>
        <c:noMultiLvlLbl val="0"/>
      </c:catAx>
      <c:valAx>
        <c:axId val="45948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Analysis'!$B$23:$B$26</c:f>
              <c:strCache>
                <c:ptCount val="4"/>
                <c:pt idx="0">
                  <c:v>Kitchen &amp; Bath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</c:strCache>
            </c:strRef>
          </c:cat>
          <c:val>
            <c:numRef>
              <c:f>'Product Revenue Analysis'!$C$23:$C$26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Analysis'!$B$23:$B$26</c:f>
              <c:strCache>
                <c:ptCount val="4"/>
                <c:pt idx="0">
                  <c:v>Kitchen &amp; Bath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</c:strCache>
            </c:strRef>
          </c:cat>
          <c:val>
            <c:numRef>
              <c:f>'Product Revenue Analysis'!$D$23:$D$26</c:f>
              <c:numCache>
                <c:formatCode>"$"#,##0.00</c:formatCode>
                <c:ptCount val="4"/>
                <c:pt idx="0">
                  <c:v>1044094.5744030676</c:v>
                </c:pt>
                <c:pt idx="1">
                  <c:v>692451.04577597172</c:v>
                </c:pt>
                <c:pt idx="2">
                  <c:v>441113.18454915646</c:v>
                </c:pt>
                <c:pt idx="3">
                  <c:v>624958.78746760648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6664"/>
        <c:axId val="459482352"/>
        <c:axId val="0"/>
      </c:bar3DChart>
      <c:catAx>
        <c:axId val="4594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2352"/>
        <c:crosses val="autoZero"/>
        <c:auto val="1"/>
        <c:lblAlgn val="ctr"/>
        <c:lblOffset val="100"/>
        <c:noMultiLvlLbl val="0"/>
      </c:catAx>
      <c:valAx>
        <c:axId val="459482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'Installer Analysis'!$C$4:$C$22</c:f>
              <c:numCache>
                <c:formatCode>General</c:formatCode>
                <c:ptCount val="19"/>
              </c:numCache>
            </c:num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87056"/>
        <c:axId val="459465104"/>
        <c:axId val="0"/>
      </c:bar3DChart>
      <c:catAx>
        <c:axId val="4594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5104"/>
        <c:crosses val="autoZero"/>
        <c:auto val="1"/>
        <c:lblAlgn val="ctr"/>
        <c:lblOffset val="100"/>
        <c:noMultiLvlLbl val="0"/>
      </c:catAx>
      <c:valAx>
        <c:axId val="45946510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4320"/>
        <c:axId val="459465888"/>
        <c:axId val="0"/>
      </c:bar3DChart>
      <c:catAx>
        <c:axId val="4594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5888"/>
        <c:crosses val="autoZero"/>
        <c:auto val="1"/>
        <c:lblAlgn val="ctr"/>
        <c:lblOffset val="100"/>
        <c:noMultiLvlLbl val="0"/>
      </c:catAx>
      <c:valAx>
        <c:axId val="459465888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0008"/>
        <c:axId val="459463144"/>
        <c:axId val="0"/>
      </c:bar3DChart>
      <c:catAx>
        <c:axId val="45946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3144"/>
        <c:crosses val="autoZero"/>
        <c:auto val="1"/>
        <c:lblAlgn val="ctr"/>
        <c:lblOffset val="100"/>
        <c:noMultiLvlLbl val="0"/>
      </c:catAx>
      <c:valAx>
        <c:axId val="459463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'Designer Analysis'!$B$4:$B$11</c:f>
              <c:numCache>
                <c:formatCode>General</c:formatCode>
                <c:ptCount val="8"/>
              </c:numCache>
            </c:num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61968"/>
        <c:axId val="459460400"/>
        <c:axId val="0"/>
      </c:bar3DChart>
      <c:catAx>
        <c:axId val="4594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0400"/>
        <c:crosses val="autoZero"/>
        <c:auto val="1"/>
        <c:lblAlgn val="ctr"/>
        <c:lblOffset val="100"/>
        <c:noMultiLvlLbl val="0"/>
      </c:catAx>
      <c:valAx>
        <c:axId val="45946040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9525</xdr:rowOff>
    </xdr:from>
    <xdr:to>
      <xdr:col>27</xdr:col>
      <xdr:colOff>590550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V600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H295" sqref="H295"/>
    </sheetView>
  </sheetViews>
  <sheetFormatPr defaultRowHeight="15" x14ac:dyDescent="0.25"/>
  <cols>
    <col min="1" max="1" width="2" customWidth="1"/>
    <col min="2" max="2" width="5.85546875" customWidth="1"/>
    <col min="3" max="3" width="12" style="1" customWidth="1"/>
    <col min="4" max="4" width="11.28515625" style="1" customWidth="1"/>
    <col min="5" max="5" width="11.42578125" style="1" bestFit="1" customWidth="1"/>
    <col min="6" max="6" width="17.28515625" style="1" customWidth="1"/>
    <col min="7" max="7" width="17.85546875" style="14" customWidth="1"/>
    <col min="8" max="8" width="12.5703125" style="1" customWidth="1"/>
    <col min="9" max="9" width="15.7109375" style="19" bestFit="1" customWidth="1"/>
    <col min="10" max="10" width="16.85546875" style="19" bestFit="1" customWidth="1"/>
    <col min="11" max="11" width="10.42578125" style="13" customWidth="1"/>
    <col min="12" max="12" width="15" style="19" customWidth="1"/>
    <col min="13" max="13" width="10.42578125" style="13" customWidth="1"/>
    <col min="14" max="14" width="16" style="16" customWidth="1"/>
    <col min="15" max="16" width="15.5703125" style="16" customWidth="1"/>
    <col min="17" max="17" width="116.85546875" style="7" customWidth="1"/>
    <col min="18" max="18" width="12" bestFit="1" customWidth="1"/>
    <col min="21" max="21" width="11.85546875" bestFit="1" customWidth="1"/>
  </cols>
  <sheetData>
    <row r="1" spans="2:21" ht="32.25" customHeight="1" x14ac:dyDescent="0.35">
      <c r="F1" s="112" t="s">
        <v>473</v>
      </c>
      <c r="G1" s="112"/>
      <c r="H1" s="112"/>
      <c r="I1" s="112"/>
      <c r="J1" s="112"/>
      <c r="K1" s="112"/>
      <c r="L1" s="112"/>
      <c r="M1" s="112"/>
    </row>
    <row r="2" spans="2:21" s="2" customFormat="1" ht="9" customHeight="1" thickBot="1" x14ac:dyDescent="0.3">
      <c r="C2" s="3"/>
      <c r="D2" s="3"/>
      <c r="E2" s="3"/>
      <c r="F2" s="3"/>
      <c r="G2" s="20"/>
      <c r="H2" s="3"/>
      <c r="I2" s="17"/>
      <c r="J2" s="17"/>
      <c r="K2" s="15"/>
      <c r="L2" s="17"/>
      <c r="M2" s="15"/>
      <c r="N2" s="18"/>
      <c r="O2" s="18"/>
      <c r="P2" s="18"/>
      <c r="Q2" s="8"/>
    </row>
    <row r="3" spans="2:21" s="2" customFormat="1" ht="22.5" customHeight="1" thickBot="1" x14ac:dyDescent="0.3">
      <c r="C3" s="3"/>
      <c r="D3" s="3"/>
      <c r="E3" s="3"/>
      <c r="F3" s="4"/>
      <c r="G3" s="113" t="s">
        <v>49</v>
      </c>
      <c r="H3" s="114"/>
      <c r="I3" s="27">
        <f>SUM(J5:INDEX(I5:I1048576,MATCH(TRUE,INDEX(ISBLANK(I5:I1048576),0,0),0)-1,0))</f>
        <v>5282725.982699478</v>
      </c>
      <c r="J3" s="24">
        <f>SUM(K5:INDEX(J5:J1048576,MATCH(TRUE,INDEX(ISBLANK(J5:J1048576),0,0),0)-1,0))</f>
        <v>1771152.0030467578</v>
      </c>
      <c r="K3" s="25">
        <f>(I3-J3)/I3</f>
        <v>0.66472764083407987</v>
      </c>
      <c r="L3" s="24">
        <f>SUM(M5:INDEX(L5:L1048576,MATCH(TRUE,INDEX(ISBLANK(L5:L1048576),0,0),0)-1,0))</f>
        <v>332281.87541436806</v>
      </c>
      <c r="M3" s="25">
        <f>L3/I3</f>
        <v>6.2899699227740691E-2</v>
      </c>
      <c r="N3" s="24">
        <f>SUM(O5:INDEX(N5:N1048576,MATCH(TRUE,INDEX(ISBLANK(N5:N1048576),0,0),0)-1,0))</f>
        <v>76729.890010689458</v>
      </c>
      <c r="O3" s="24">
        <f>SUM(P5:INDEX(O5:O1048576,MATCH(TRUE,INDEX(ISBLANK(O5:O1048576),0,0),0)-1,0))</f>
        <v>11165.550000000001</v>
      </c>
      <c r="P3" s="26">
        <f>SUM(Q5:INDEX(P5:P1048576,MATCH(TRUE,INDEX(ISBLANK(P5:P1048576),0,0),0)-1,0))</f>
        <v>0</v>
      </c>
      <c r="Q3" s="8"/>
    </row>
    <row r="4" spans="2:21" s="22" customFormat="1" ht="18" customHeight="1" thickBot="1" x14ac:dyDescent="0.3">
      <c r="B4" s="106" t="s">
        <v>23</v>
      </c>
      <c r="C4" s="106" t="s">
        <v>9</v>
      </c>
      <c r="D4" s="106" t="s">
        <v>20</v>
      </c>
      <c r="E4" s="106" t="s">
        <v>8</v>
      </c>
      <c r="F4" s="106" t="s">
        <v>0</v>
      </c>
      <c r="G4" s="106" t="s">
        <v>7</v>
      </c>
      <c r="H4" s="106" t="s">
        <v>2</v>
      </c>
      <c r="I4" s="107" t="s">
        <v>3</v>
      </c>
      <c r="J4" s="107" t="s">
        <v>1</v>
      </c>
      <c r="K4" s="108" t="s">
        <v>4</v>
      </c>
      <c r="L4" s="107" t="s">
        <v>5</v>
      </c>
      <c r="M4" s="108" t="s">
        <v>6</v>
      </c>
      <c r="N4" s="109" t="s">
        <v>10</v>
      </c>
      <c r="O4" s="109" t="s">
        <v>11</v>
      </c>
      <c r="P4" s="23" t="s">
        <v>25</v>
      </c>
      <c r="Q4" s="23" t="s">
        <v>26</v>
      </c>
    </row>
    <row r="5" spans="2:21" s="2" customFormat="1" ht="15.75" hidden="1" x14ac:dyDescent="0.25">
      <c r="C5" s="86" t="s">
        <v>57</v>
      </c>
      <c r="D5" s="86" t="s">
        <v>58</v>
      </c>
      <c r="E5" s="86" t="s">
        <v>59</v>
      </c>
      <c r="F5" s="10">
        <v>42741</v>
      </c>
      <c r="G5" s="86" t="s">
        <v>60</v>
      </c>
      <c r="H5" s="86" t="s">
        <v>24</v>
      </c>
      <c r="I5" s="87">
        <v>3594.18</v>
      </c>
      <c r="J5" s="87">
        <f>2257.86-233</f>
        <v>2024.8600000000001</v>
      </c>
      <c r="K5" s="88">
        <f t="shared" ref="K5:K148" si="0">(I5-J5)/I5</f>
        <v>0.43662810432421295</v>
      </c>
      <c r="L5" s="87">
        <v>184.15</v>
      </c>
      <c r="M5" s="88">
        <f t="shared" ref="M5:M148" si="1">L5/I5</f>
        <v>5.1235608678474646E-2</v>
      </c>
      <c r="N5" s="11">
        <v>-176.02</v>
      </c>
      <c r="O5" s="11">
        <v>0</v>
      </c>
      <c r="P5" s="11" t="s">
        <v>61</v>
      </c>
      <c r="Q5" s="105"/>
      <c r="R5" s="12"/>
      <c r="S5" s="12"/>
      <c r="T5" s="12"/>
      <c r="U5" s="12"/>
    </row>
    <row r="6" spans="2:21" s="2" customFormat="1" ht="15.75" hidden="1" x14ac:dyDescent="0.25">
      <c r="C6" s="86" t="s">
        <v>62</v>
      </c>
      <c r="D6" s="86" t="s">
        <v>63</v>
      </c>
      <c r="E6" s="86" t="s">
        <v>64</v>
      </c>
      <c r="F6" s="10">
        <v>42738</v>
      </c>
      <c r="G6" s="86" t="s">
        <v>65</v>
      </c>
      <c r="H6" s="86" t="s">
        <v>18</v>
      </c>
      <c r="I6" s="87">
        <v>6980.8</v>
      </c>
      <c r="J6" s="87">
        <v>3164</v>
      </c>
      <c r="K6" s="88">
        <f t="shared" si="0"/>
        <v>0.54675681870272752</v>
      </c>
      <c r="L6" s="87">
        <v>831.66</v>
      </c>
      <c r="M6" s="88">
        <f t="shared" si="1"/>
        <v>0.11913534265413706</v>
      </c>
      <c r="N6" s="11">
        <v>395.2</v>
      </c>
      <c r="O6" s="11">
        <v>0</v>
      </c>
      <c r="P6" s="11"/>
      <c r="Q6" s="105"/>
      <c r="R6" s="12"/>
      <c r="S6" s="12"/>
      <c r="T6" s="12"/>
      <c r="U6" s="12"/>
    </row>
    <row r="7" spans="2:21" s="2" customFormat="1" ht="15.75" hidden="1" x14ac:dyDescent="0.25">
      <c r="C7" s="86" t="s">
        <v>57</v>
      </c>
      <c r="D7" s="86" t="s">
        <v>63</v>
      </c>
      <c r="E7" s="86" t="s">
        <v>66</v>
      </c>
      <c r="F7" s="10">
        <v>42751</v>
      </c>
      <c r="G7" s="86" t="s">
        <v>67</v>
      </c>
      <c r="H7" s="86" t="s">
        <v>18</v>
      </c>
      <c r="I7" s="87">
        <v>4890.08</v>
      </c>
      <c r="J7" s="87">
        <v>2609.27</v>
      </c>
      <c r="K7" s="88">
        <f t="shared" si="0"/>
        <v>0.46641568236102476</v>
      </c>
      <c r="L7" s="87">
        <v>370.95</v>
      </c>
      <c r="M7" s="88">
        <f t="shared" si="1"/>
        <v>7.5857654680496017E-2</v>
      </c>
      <c r="N7" s="11">
        <v>-67.02</v>
      </c>
      <c r="O7" s="11">
        <v>0</v>
      </c>
      <c r="P7" s="11"/>
      <c r="Q7" s="105"/>
      <c r="R7" s="12"/>
      <c r="S7" s="12"/>
      <c r="T7" s="12"/>
      <c r="U7" s="12"/>
    </row>
    <row r="8" spans="2:21" s="2" customFormat="1" ht="15.75" hidden="1" x14ac:dyDescent="0.25">
      <c r="C8" s="86" t="s">
        <v>480</v>
      </c>
      <c r="D8" s="86" t="s">
        <v>68</v>
      </c>
      <c r="E8" s="86" t="s">
        <v>69</v>
      </c>
      <c r="F8" s="10">
        <v>42741</v>
      </c>
      <c r="G8" s="86" t="s">
        <v>70</v>
      </c>
      <c r="H8" s="86" t="s">
        <v>15</v>
      </c>
      <c r="I8" s="87">
        <v>6159.86</v>
      </c>
      <c r="J8" s="87">
        <v>2573.13</v>
      </c>
      <c r="K8" s="88">
        <f t="shared" si="0"/>
        <v>0.58227459714993524</v>
      </c>
      <c r="L8" s="87">
        <v>787.99</v>
      </c>
      <c r="M8" s="88">
        <f t="shared" si="1"/>
        <v>0.12792336189458853</v>
      </c>
      <c r="N8" s="11">
        <v>473.76</v>
      </c>
      <c r="O8" s="11">
        <v>0</v>
      </c>
      <c r="P8" s="11"/>
      <c r="Q8" s="105"/>
      <c r="R8" s="12"/>
      <c r="S8" s="12"/>
      <c r="T8" s="12"/>
      <c r="U8" s="12"/>
    </row>
    <row r="9" spans="2:21" s="2" customFormat="1" ht="15.75" hidden="1" x14ac:dyDescent="0.25">
      <c r="C9" s="86" t="s">
        <v>57</v>
      </c>
      <c r="D9" s="86" t="s">
        <v>63</v>
      </c>
      <c r="E9" s="86" t="s">
        <v>477</v>
      </c>
      <c r="F9" s="10">
        <v>42752</v>
      </c>
      <c r="G9" s="86" t="s">
        <v>71</v>
      </c>
      <c r="H9" s="86" t="s">
        <v>22</v>
      </c>
      <c r="I9" s="87">
        <v>4938.8500000000004</v>
      </c>
      <c r="J9" s="87">
        <v>2358.21</v>
      </c>
      <c r="K9" s="88">
        <f t="shared" si="0"/>
        <v>0.52251840003239625</v>
      </c>
      <c r="L9" s="87">
        <v>532.96</v>
      </c>
      <c r="M9" s="88">
        <f t="shared" si="1"/>
        <v>0.10791176083501219</v>
      </c>
      <c r="N9" s="11">
        <v>191.45</v>
      </c>
      <c r="O9" s="11">
        <v>50</v>
      </c>
      <c r="P9" s="11"/>
      <c r="Q9" s="105"/>
      <c r="R9" s="12"/>
      <c r="S9" s="12"/>
      <c r="T9" s="12"/>
      <c r="U9" s="12"/>
    </row>
    <row r="10" spans="2:21" s="2" customFormat="1" ht="15.75" hidden="1" x14ac:dyDescent="0.25">
      <c r="C10" s="86" t="s">
        <v>57</v>
      </c>
      <c r="D10" s="86" t="s">
        <v>58</v>
      </c>
      <c r="E10" s="86" t="s">
        <v>72</v>
      </c>
      <c r="F10" s="10">
        <v>42744</v>
      </c>
      <c r="G10" s="86" t="s">
        <v>73</v>
      </c>
      <c r="H10" s="86" t="s">
        <v>15</v>
      </c>
      <c r="I10" s="87">
        <v>8153.76</v>
      </c>
      <c r="J10" s="87">
        <v>4414.8599999999997</v>
      </c>
      <c r="K10" s="88">
        <f t="shared" si="0"/>
        <v>0.45854918467063055</v>
      </c>
      <c r="L10" s="87">
        <v>756.02</v>
      </c>
      <c r="M10" s="88">
        <f t="shared" si="1"/>
        <v>9.2720413649653652E-2</v>
      </c>
      <c r="N10" s="11">
        <v>-104.63</v>
      </c>
      <c r="O10" s="11">
        <v>0</v>
      </c>
      <c r="P10" s="11"/>
      <c r="Q10" s="105"/>
      <c r="R10" s="12"/>
      <c r="S10" s="12"/>
      <c r="T10" s="12"/>
      <c r="U10" s="12"/>
    </row>
    <row r="11" spans="2:21" s="2" customFormat="1" ht="15.75" hidden="1" x14ac:dyDescent="0.25">
      <c r="C11" s="86" t="s">
        <v>57</v>
      </c>
      <c r="D11" s="86" t="s">
        <v>74</v>
      </c>
      <c r="E11" s="86" t="s">
        <v>477</v>
      </c>
      <c r="F11" s="10">
        <v>42754</v>
      </c>
      <c r="G11" s="86" t="s">
        <v>75</v>
      </c>
      <c r="H11" s="86" t="s">
        <v>17</v>
      </c>
      <c r="I11" s="87">
        <v>2949.33</v>
      </c>
      <c r="J11" s="87">
        <v>1467.24</v>
      </c>
      <c r="K11" s="88">
        <f t="shared" si="0"/>
        <v>0.50251752092848201</v>
      </c>
      <c r="L11" s="87">
        <v>328.77</v>
      </c>
      <c r="M11" s="88">
        <f t="shared" si="1"/>
        <v>0.11147277517266634</v>
      </c>
      <c r="N11" s="11">
        <v>128.33000000000001</v>
      </c>
      <c r="O11" s="11">
        <v>0</v>
      </c>
      <c r="P11" s="11" t="s">
        <v>76</v>
      </c>
      <c r="Q11" s="105"/>
      <c r="R11" s="12"/>
      <c r="S11" s="12"/>
      <c r="T11" s="12"/>
      <c r="U11" s="12"/>
    </row>
    <row r="12" spans="2:21" s="2" customFormat="1" ht="15.75" hidden="1" x14ac:dyDescent="0.25">
      <c r="C12" s="86" t="s">
        <v>77</v>
      </c>
      <c r="D12" s="86" t="s">
        <v>74</v>
      </c>
      <c r="E12" s="86" t="s">
        <v>78</v>
      </c>
      <c r="F12" s="10">
        <v>42773</v>
      </c>
      <c r="G12" s="86" t="s">
        <v>79</v>
      </c>
      <c r="H12" s="86" t="s">
        <v>15</v>
      </c>
      <c r="I12" s="87">
        <v>3049.41</v>
      </c>
      <c r="J12" s="87">
        <v>1652</v>
      </c>
      <c r="K12" s="88">
        <f t="shared" si="0"/>
        <v>0.45825585933016549</v>
      </c>
      <c r="L12" s="87">
        <v>345.21</v>
      </c>
      <c r="M12" s="88">
        <f t="shared" si="1"/>
        <v>0.11320550532726002</v>
      </c>
      <c r="N12" s="11">
        <v>144.41</v>
      </c>
      <c r="O12" s="11">
        <v>0</v>
      </c>
      <c r="P12" s="11" t="s">
        <v>80</v>
      </c>
      <c r="Q12" s="105"/>
      <c r="R12" s="12"/>
      <c r="S12" s="12"/>
      <c r="T12" s="12"/>
      <c r="U12" s="12"/>
    </row>
    <row r="13" spans="2:21" s="2" customFormat="1" ht="15.75" hidden="1" x14ac:dyDescent="0.25">
      <c r="C13" s="86" t="s">
        <v>57</v>
      </c>
      <c r="D13" s="86" t="s">
        <v>58</v>
      </c>
      <c r="E13" s="86" t="s">
        <v>477</v>
      </c>
      <c r="F13" s="10">
        <v>42766</v>
      </c>
      <c r="G13" s="86" t="s">
        <v>81</v>
      </c>
      <c r="H13" s="86" t="s">
        <v>24</v>
      </c>
      <c r="I13" s="87">
        <v>5748.63</v>
      </c>
      <c r="J13" s="87">
        <v>4321</v>
      </c>
      <c r="K13" s="88">
        <f t="shared" si="0"/>
        <v>0.24834264859627425</v>
      </c>
      <c r="L13" s="87">
        <v>397.22</v>
      </c>
      <c r="M13" s="88">
        <f t="shared" si="1"/>
        <v>6.9098202528254563E-2</v>
      </c>
      <c r="N13" s="11">
        <v>-482.87</v>
      </c>
      <c r="O13" s="11">
        <v>100</v>
      </c>
      <c r="P13" s="11" t="s">
        <v>82</v>
      </c>
      <c r="Q13" s="105"/>
      <c r="R13" s="12"/>
      <c r="S13" s="12"/>
      <c r="T13" s="12"/>
      <c r="U13" s="12"/>
    </row>
    <row r="14" spans="2:21" s="2" customFormat="1" ht="15.75" hidden="1" x14ac:dyDescent="0.25">
      <c r="C14" s="86" t="s">
        <v>57</v>
      </c>
      <c r="D14" s="86" t="s">
        <v>58</v>
      </c>
      <c r="E14" s="86" t="s">
        <v>72</v>
      </c>
      <c r="F14" s="10">
        <v>42754</v>
      </c>
      <c r="G14" s="86" t="s">
        <v>83</v>
      </c>
      <c r="H14" s="86" t="s">
        <v>15</v>
      </c>
      <c r="I14" s="87">
        <v>7077.46</v>
      </c>
      <c r="J14" s="87">
        <v>3149.93</v>
      </c>
      <c r="K14" s="88">
        <f t="shared" si="0"/>
        <v>0.5549349625430593</v>
      </c>
      <c r="L14" s="87">
        <v>698.99</v>
      </c>
      <c r="M14" s="88">
        <f t="shared" si="1"/>
        <v>9.8762832993757654E-2</v>
      </c>
      <c r="N14" s="11">
        <v>-103.14</v>
      </c>
      <c r="O14" s="11">
        <v>50</v>
      </c>
      <c r="P14" s="11"/>
      <c r="Q14" s="105"/>
      <c r="R14" s="12"/>
      <c r="S14" s="12"/>
      <c r="T14" s="12"/>
      <c r="U14" s="12"/>
    </row>
    <row r="15" spans="2:21" s="2" customFormat="1" ht="15.75" hidden="1" x14ac:dyDescent="0.25">
      <c r="C15" s="86" t="s">
        <v>57</v>
      </c>
      <c r="D15" s="86" t="s">
        <v>74</v>
      </c>
      <c r="E15" s="86" t="s">
        <v>66</v>
      </c>
      <c r="F15" s="10">
        <v>42755</v>
      </c>
      <c r="G15" s="86" t="s">
        <v>84</v>
      </c>
      <c r="H15" s="86" t="s">
        <v>17</v>
      </c>
      <c r="I15" s="87">
        <v>3722.77</v>
      </c>
      <c r="J15" s="87">
        <v>2289.64</v>
      </c>
      <c r="K15" s="88">
        <f t="shared" si="0"/>
        <v>0.38496334718502623</v>
      </c>
      <c r="L15" s="87">
        <v>387.89</v>
      </c>
      <c r="M15" s="88">
        <f t="shared" si="1"/>
        <v>0.10419392011862134</v>
      </c>
      <c r="N15" s="11">
        <v>187.77</v>
      </c>
      <c r="O15" s="11">
        <v>0</v>
      </c>
      <c r="P15" s="11"/>
      <c r="Q15" s="105"/>
      <c r="R15" s="12"/>
      <c r="S15" s="12"/>
      <c r="T15" s="12"/>
      <c r="U15" s="12"/>
    </row>
    <row r="16" spans="2:21" s="2" customFormat="1" ht="15.75" hidden="1" x14ac:dyDescent="0.25">
      <c r="C16" s="86" t="s">
        <v>57</v>
      </c>
      <c r="D16" s="86" t="s">
        <v>58</v>
      </c>
      <c r="E16" s="86" t="s">
        <v>69</v>
      </c>
      <c r="F16" s="10">
        <v>42752</v>
      </c>
      <c r="G16" s="86" t="s">
        <v>85</v>
      </c>
      <c r="H16" s="86" t="s">
        <v>15</v>
      </c>
      <c r="I16" s="87">
        <v>7182.76</v>
      </c>
      <c r="J16" s="87">
        <v>3382.89</v>
      </c>
      <c r="K16" s="88">
        <f t="shared" si="0"/>
        <v>0.52902644665838761</v>
      </c>
      <c r="L16" s="87">
        <v>542.12</v>
      </c>
      <c r="M16" s="88">
        <f t="shared" si="1"/>
        <v>7.5475165535253852E-2</v>
      </c>
      <c r="N16" s="11">
        <v>-865.14</v>
      </c>
      <c r="O16" s="11">
        <v>200</v>
      </c>
      <c r="P16" s="11"/>
      <c r="Q16" s="105"/>
      <c r="R16" s="12"/>
      <c r="S16" s="12"/>
      <c r="T16" s="12"/>
      <c r="U16" s="12"/>
    </row>
    <row r="17" spans="1:21" s="2" customFormat="1" ht="15.75" hidden="1" x14ac:dyDescent="0.25">
      <c r="C17" s="86" t="s">
        <v>57</v>
      </c>
      <c r="D17" s="86" t="s">
        <v>63</v>
      </c>
      <c r="E17" s="86" t="s">
        <v>66</v>
      </c>
      <c r="F17" s="10">
        <v>42759</v>
      </c>
      <c r="G17" s="86" t="s">
        <v>86</v>
      </c>
      <c r="H17" s="86" t="s">
        <v>18</v>
      </c>
      <c r="I17" s="87">
        <v>7407.11</v>
      </c>
      <c r="J17" s="87">
        <v>3637.54</v>
      </c>
      <c r="K17" s="88">
        <f t="shared" si="0"/>
        <v>0.50891238283217066</v>
      </c>
      <c r="L17" s="87">
        <v>665.98</v>
      </c>
      <c r="M17" s="88">
        <f t="shared" si="1"/>
        <v>8.9910909923033411E-2</v>
      </c>
      <c r="N17" s="11">
        <v>-125.59</v>
      </c>
      <c r="O17" s="11">
        <v>0</v>
      </c>
      <c r="P17" s="11"/>
      <c r="Q17" s="105"/>
      <c r="R17" s="12"/>
      <c r="S17" s="12"/>
      <c r="T17" s="12"/>
      <c r="U17" s="12"/>
    </row>
    <row r="18" spans="1:21" s="2" customFormat="1" ht="15.75" hidden="1" x14ac:dyDescent="0.25">
      <c r="C18" s="86" t="s">
        <v>57</v>
      </c>
      <c r="D18" s="86" t="s">
        <v>74</v>
      </c>
      <c r="E18" s="86" t="s">
        <v>477</v>
      </c>
      <c r="F18" s="10">
        <v>42759</v>
      </c>
      <c r="G18" s="86" t="s">
        <v>87</v>
      </c>
      <c r="H18" s="86" t="s">
        <v>88</v>
      </c>
      <c r="I18" s="87">
        <v>2981.95</v>
      </c>
      <c r="J18" s="87">
        <v>1188.03</v>
      </c>
      <c r="K18" s="88">
        <f t="shared" si="0"/>
        <v>0.60159291738627407</v>
      </c>
      <c r="L18" s="87">
        <v>597.07000000000005</v>
      </c>
      <c r="M18" s="88">
        <f t="shared" si="1"/>
        <v>0.20022803869950875</v>
      </c>
      <c r="N18" s="11">
        <v>790.95</v>
      </c>
      <c r="O18" s="11">
        <v>0</v>
      </c>
      <c r="P18" s="11"/>
      <c r="Q18" s="105"/>
      <c r="R18" s="12"/>
      <c r="S18" s="12"/>
      <c r="T18" s="12"/>
      <c r="U18" s="12"/>
    </row>
    <row r="19" spans="1:21" s="2" customFormat="1" ht="15.75" hidden="1" x14ac:dyDescent="0.25">
      <c r="C19" s="86" t="s">
        <v>57</v>
      </c>
      <c r="D19" s="86" t="s">
        <v>63</v>
      </c>
      <c r="E19" s="86" t="s">
        <v>66</v>
      </c>
      <c r="F19" s="10">
        <v>42763</v>
      </c>
      <c r="G19" s="86" t="s">
        <v>89</v>
      </c>
      <c r="H19" s="86" t="s">
        <v>18</v>
      </c>
      <c r="I19" s="87">
        <v>14909.73</v>
      </c>
      <c r="J19" s="87">
        <v>8127.97</v>
      </c>
      <c r="K19" s="88">
        <f t="shared" si="0"/>
        <v>0.45485464860866021</v>
      </c>
      <c r="L19" s="87">
        <v>1206.24</v>
      </c>
      <c r="M19" s="88">
        <f t="shared" si="1"/>
        <v>8.0902873492678939E-2</v>
      </c>
      <c r="N19" s="11">
        <v>-650.57000000000005</v>
      </c>
      <c r="O19" s="11">
        <v>0</v>
      </c>
      <c r="P19" s="86"/>
      <c r="Q19" s="105"/>
      <c r="R19" s="12"/>
      <c r="S19" s="12"/>
      <c r="T19" s="12"/>
      <c r="U19" s="12"/>
    </row>
    <row r="20" spans="1:21" s="2" customFormat="1" ht="15.75" hidden="1" x14ac:dyDescent="0.25">
      <c r="C20" s="86" t="s">
        <v>57</v>
      </c>
      <c r="D20" s="86" t="s">
        <v>58</v>
      </c>
      <c r="E20" s="86" t="s">
        <v>72</v>
      </c>
      <c r="F20" s="10">
        <v>42784</v>
      </c>
      <c r="G20" s="86" t="s">
        <v>90</v>
      </c>
      <c r="H20" s="86" t="s">
        <v>15</v>
      </c>
      <c r="I20" s="87">
        <v>15913.34</v>
      </c>
      <c r="J20" s="87">
        <v>7202.21</v>
      </c>
      <c r="K20" s="88">
        <f t="shared" si="0"/>
        <v>0.54741053732277456</v>
      </c>
      <c r="L20" s="87">
        <v>1688.17</v>
      </c>
      <c r="M20" s="88">
        <f t="shared" si="1"/>
        <v>0.10608520901331839</v>
      </c>
      <c r="N20" s="11">
        <v>474.84</v>
      </c>
      <c r="O20" s="11">
        <v>0</v>
      </c>
      <c r="P20" s="86"/>
      <c r="Q20" s="105"/>
      <c r="R20" s="12"/>
      <c r="S20" s="12"/>
      <c r="T20" s="12"/>
      <c r="U20" s="12"/>
    </row>
    <row r="21" spans="1:21" s="2" customFormat="1" ht="15.75" hidden="1" x14ac:dyDescent="0.25">
      <c r="C21" s="86" t="s">
        <v>57</v>
      </c>
      <c r="D21" s="86" t="s">
        <v>74</v>
      </c>
      <c r="E21" s="86" t="s">
        <v>64</v>
      </c>
      <c r="F21" s="10">
        <v>42785</v>
      </c>
      <c r="G21" s="86" t="s">
        <v>75</v>
      </c>
      <c r="H21" s="86" t="s">
        <v>18</v>
      </c>
      <c r="I21" s="87">
        <v>20196.16</v>
      </c>
      <c r="J21" s="87">
        <v>7838.8</v>
      </c>
      <c r="K21" s="88">
        <f t="shared" si="0"/>
        <v>0.61186681032433887</v>
      </c>
      <c r="L21" s="87">
        <v>3086.42</v>
      </c>
      <c r="M21" s="88">
        <f t="shared" si="1"/>
        <v>0.15282212064075548</v>
      </c>
      <c r="N21" s="11">
        <v>2883.26</v>
      </c>
      <c r="O21" s="11">
        <v>0</v>
      </c>
      <c r="P21" s="86"/>
      <c r="Q21" s="105"/>
      <c r="R21" s="12"/>
      <c r="S21" s="12"/>
      <c r="T21" s="12"/>
      <c r="U21" s="12"/>
    </row>
    <row r="22" spans="1:21" s="2" customFormat="1" ht="15.75" hidden="1" x14ac:dyDescent="0.25">
      <c r="C22" s="86" t="s">
        <v>57</v>
      </c>
      <c r="D22" s="86" t="s">
        <v>58</v>
      </c>
      <c r="E22" s="86" t="s">
        <v>72</v>
      </c>
      <c r="F22" s="10">
        <v>42788</v>
      </c>
      <c r="G22" s="86" t="s">
        <v>91</v>
      </c>
      <c r="H22" s="86" t="s">
        <v>15</v>
      </c>
      <c r="I22" s="87">
        <v>6798.48</v>
      </c>
      <c r="J22" s="87">
        <v>3032.04</v>
      </c>
      <c r="K22" s="88">
        <f t="shared" si="0"/>
        <v>0.55401207328697</v>
      </c>
      <c r="L22" s="87">
        <v>750.86</v>
      </c>
      <c r="M22" s="88">
        <f t="shared" si="1"/>
        <v>0.11044527600287124</v>
      </c>
      <c r="N22" s="11">
        <v>221.28</v>
      </c>
      <c r="O22" s="11">
        <v>0</v>
      </c>
      <c r="P22" s="86"/>
      <c r="Q22" s="105"/>
      <c r="R22" s="12"/>
      <c r="S22" s="12"/>
      <c r="T22" s="12"/>
      <c r="U22" s="12"/>
    </row>
    <row r="23" spans="1:21" s="2" customFormat="1" ht="15.75" hidden="1" x14ac:dyDescent="0.25">
      <c r="C23" s="86" t="s">
        <v>57</v>
      </c>
      <c r="D23" s="86" t="s">
        <v>58</v>
      </c>
      <c r="E23" s="86" t="s">
        <v>69</v>
      </c>
      <c r="F23" s="10">
        <v>42774</v>
      </c>
      <c r="G23" s="86" t="s">
        <v>92</v>
      </c>
      <c r="H23" s="86" t="s">
        <v>15</v>
      </c>
      <c r="I23" s="87">
        <v>6712.98</v>
      </c>
      <c r="J23" s="87">
        <v>2994.88</v>
      </c>
      <c r="K23" s="88">
        <f t="shared" si="0"/>
        <v>0.5538672839782034</v>
      </c>
      <c r="L23" s="87">
        <v>639.87</v>
      </c>
      <c r="M23" s="88">
        <f t="shared" si="1"/>
        <v>9.5318323605909749E-2</v>
      </c>
      <c r="N23" s="11">
        <v>-112.32</v>
      </c>
      <c r="O23" s="11">
        <v>50</v>
      </c>
      <c r="P23" s="86"/>
      <c r="Q23" s="105"/>
      <c r="R23" s="12"/>
      <c r="S23" s="12"/>
      <c r="T23" s="12"/>
      <c r="U23" s="12"/>
    </row>
    <row r="24" spans="1:21" s="2" customFormat="1" ht="15.75" hidden="1" x14ac:dyDescent="0.25">
      <c r="C24" s="86" t="s">
        <v>57</v>
      </c>
      <c r="D24" s="86" t="s">
        <v>63</v>
      </c>
      <c r="E24" s="86" t="s">
        <v>477</v>
      </c>
      <c r="F24" s="10">
        <v>42780</v>
      </c>
      <c r="G24" s="86" t="s">
        <v>93</v>
      </c>
      <c r="H24" s="86" t="s">
        <v>22</v>
      </c>
      <c r="I24" s="87">
        <v>7198.5</v>
      </c>
      <c r="J24" s="87">
        <v>3681.21</v>
      </c>
      <c r="K24" s="88">
        <f t="shared" si="0"/>
        <v>0.48861429464471762</v>
      </c>
      <c r="L24" s="87">
        <v>556.12</v>
      </c>
      <c r="M24" s="88">
        <f t="shared" si="1"/>
        <v>7.725498367715497E-2</v>
      </c>
      <c r="N24" s="11">
        <v>-365.6</v>
      </c>
      <c r="O24" s="11">
        <v>0</v>
      </c>
      <c r="P24" s="11"/>
      <c r="Q24" s="105"/>
      <c r="R24" s="12"/>
      <c r="S24" s="12"/>
      <c r="T24" s="12"/>
      <c r="U24" s="12"/>
    </row>
    <row r="25" spans="1:21" s="2" customFormat="1" ht="15.75" hidden="1" x14ac:dyDescent="0.25">
      <c r="C25" s="86" t="s">
        <v>94</v>
      </c>
      <c r="D25" s="86" t="s">
        <v>101</v>
      </c>
      <c r="E25" s="86" t="s">
        <v>72</v>
      </c>
      <c r="F25" s="10">
        <v>42792</v>
      </c>
      <c r="G25" s="86" t="s">
        <v>95</v>
      </c>
      <c r="H25" s="86" t="s">
        <v>15</v>
      </c>
      <c r="I25" s="87">
        <v>6109.76</v>
      </c>
      <c r="J25" s="87">
        <v>2827.27</v>
      </c>
      <c r="K25" s="88">
        <f t="shared" si="0"/>
        <v>0.53725350913947523</v>
      </c>
      <c r="L25" s="87">
        <v>403.42</v>
      </c>
      <c r="M25" s="88">
        <f t="shared" si="1"/>
        <v>6.6028780181218244E-2</v>
      </c>
      <c r="N25" s="11">
        <v>-475.14</v>
      </c>
      <c r="O25" s="11">
        <v>100</v>
      </c>
      <c r="P25" s="11"/>
      <c r="Q25" s="105"/>
      <c r="R25" s="12"/>
      <c r="S25" s="12"/>
      <c r="T25" s="12"/>
      <c r="U25" s="12"/>
    </row>
    <row r="26" spans="1:21" s="2" customFormat="1" ht="15.75" hidden="1" x14ac:dyDescent="0.25">
      <c r="C26" s="86" t="s">
        <v>57</v>
      </c>
      <c r="D26" s="86" t="s">
        <v>74</v>
      </c>
      <c r="E26" s="86" t="s">
        <v>64</v>
      </c>
      <c r="F26" s="10">
        <v>42772</v>
      </c>
      <c r="G26" s="86" t="s">
        <v>96</v>
      </c>
      <c r="H26" s="86" t="s">
        <v>54</v>
      </c>
      <c r="I26" s="87">
        <v>7082.12</v>
      </c>
      <c r="J26" s="87">
        <v>2978.28</v>
      </c>
      <c r="K26" s="88">
        <f t="shared" si="0"/>
        <v>0.57946490598860234</v>
      </c>
      <c r="L26" s="87">
        <v>951.12</v>
      </c>
      <c r="M26" s="88">
        <f t="shared" si="1"/>
        <v>0.13429876929506984</v>
      </c>
      <c r="N26" s="11">
        <v>677.28</v>
      </c>
      <c r="O26" s="11">
        <v>0</v>
      </c>
      <c r="P26" s="11"/>
      <c r="Q26" s="105"/>
      <c r="R26" s="12"/>
      <c r="S26" s="12"/>
      <c r="T26" s="12"/>
      <c r="U26" s="12"/>
    </row>
    <row r="27" spans="1:21" s="2" customFormat="1" ht="15.75" hidden="1" x14ac:dyDescent="0.25">
      <c r="C27" s="86" t="s">
        <v>57</v>
      </c>
      <c r="D27" s="86" t="s">
        <v>63</v>
      </c>
      <c r="E27" s="86" t="s">
        <v>72</v>
      </c>
      <c r="F27" s="10">
        <v>42760</v>
      </c>
      <c r="G27" s="86" t="s">
        <v>97</v>
      </c>
      <c r="H27" s="86" t="s">
        <v>479</v>
      </c>
      <c r="I27" s="87">
        <v>28999.42</v>
      </c>
      <c r="J27" s="87">
        <v>16385.63</v>
      </c>
      <c r="K27" s="88">
        <f t="shared" si="0"/>
        <v>0.4349669752015729</v>
      </c>
      <c r="L27" s="87">
        <v>2018.01</v>
      </c>
      <c r="M27" s="88">
        <f t="shared" si="1"/>
        <v>6.9587943483007592E-2</v>
      </c>
      <c r="N27" s="11">
        <v>-253.58</v>
      </c>
      <c r="O27" s="11">
        <v>0</v>
      </c>
      <c r="P27" s="11"/>
      <c r="Q27" s="105"/>
      <c r="R27" s="12"/>
      <c r="S27" s="12"/>
      <c r="T27" s="12"/>
      <c r="U27" s="12"/>
    </row>
    <row r="28" spans="1:21" s="2" customFormat="1" ht="15.75" hidden="1" x14ac:dyDescent="0.25">
      <c r="C28" s="86" t="s">
        <v>57</v>
      </c>
      <c r="D28" s="86" t="s">
        <v>74</v>
      </c>
      <c r="E28" s="86" t="s">
        <v>98</v>
      </c>
      <c r="F28" s="10">
        <v>42800</v>
      </c>
      <c r="G28" s="86" t="s">
        <v>99</v>
      </c>
      <c r="H28" s="86" t="s">
        <v>24</v>
      </c>
      <c r="I28" s="87">
        <v>7450.2</v>
      </c>
      <c r="J28" s="87">
        <v>3347.96</v>
      </c>
      <c r="K28" s="88">
        <f t="shared" si="0"/>
        <v>0.55062145982658184</v>
      </c>
      <c r="L28" s="87">
        <v>823.6</v>
      </c>
      <c r="M28" s="88">
        <f t="shared" si="1"/>
        <v>0.11054736785589649</v>
      </c>
      <c r="N28" s="11">
        <v>454.4</v>
      </c>
      <c r="O28" s="11">
        <v>0</v>
      </c>
      <c r="P28" s="11"/>
      <c r="Q28" s="105"/>
      <c r="R28" s="12"/>
      <c r="S28" s="12"/>
      <c r="T28" s="12"/>
      <c r="U28" s="12"/>
    </row>
    <row r="29" spans="1:21" s="2" customFormat="1" ht="15.75" hidden="1" x14ac:dyDescent="0.25">
      <c r="C29" s="86" t="s">
        <v>57</v>
      </c>
      <c r="D29" s="86" t="s">
        <v>58</v>
      </c>
      <c r="E29" s="86" t="s">
        <v>98</v>
      </c>
      <c r="F29" s="10">
        <v>42790</v>
      </c>
      <c r="G29" s="86" t="s">
        <v>100</v>
      </c>
      <c r="H29" s="86" t="s">
        <v>14</v>
      </c>
      <c r="I29" s="87">
        <v>6085.96</v>
      </c>
      <c r="J29" s="87">
        <v>2544.2399999999998</v>
      </c>
      <c r="K29" s="88">
        <f t="shared" si="0"/>
        <v>0.58194927340961822</v>
      </c>
      <c r="L29" s="87">
        <v>737.88</v>
      </c>
      <c r="M29" s="88">
        <f t="shared" si="1"/>
        <v>0.12124299206698697</v>
      </c>
      <c r="N29" s="11">
        <v>366.96</v>
      </c>
      <c r="O29" s="11">
        <v>0</v>
      </c>
      <c r="P29" s="11"/>
      <c r="Q29" s="105"/>
      <c r="R29" s="12"/>
      <c r="S29" s="12"/>
      <c r="T29" s="12"/>
      <c r="U29" s="12"/>
    </row>
    <row r="30" spans="1:21" s="2" customFormat="1" ht="15.75" hidden="1" x14ac:dyDescent="0.25">
      <c r="C30" s="86" t="s">
        <v>386</v>
      </c>
      <c r="D30" s="86" t="s">
        <v>101</v>
      </c>
      <c r="E30" s="86" t="s">
        <v>464</v>
      </c>
      <c r="F30" s="10">
        <v>42817</v>
      </c>
      <c r="G30" s="86" t="s">
        <v>102</v>
      </c>
      <c r="H30" s="86" t="s">
        <v>15</v>
      </c>
      <c r="I30" s="87">
        <v>10097.27</v>
      </c>
      <c r="J30" s="87">
        <v>4073.05</v>
      </c>
      <c r="K30" s="88">
        <f t="shared" si="0"/>
        <v>0.59661869000234713</v>
      </c>
      <c r="L30" s="87">
        <v>1168.07</v>
      </c>
      <c r="M30" s="88">
        <f t="shared" si="1"/>
        <v>0.11568176348656616</v>
      </c>
      <c r="N30" s="11">
        <v>614.61</v>
      </c>
      <c r="O30" s="11">
        <v>0</v>
      </c>
      <c r="P30" s="11"/>
      <c r="Q30" s="105"/>
      <c r="R30" s="12"/>
      <c r="S30" s="12"/>
      <c r="T30" s="12"/>
      <c r="U30" s="12"/>
    </row>
    <row r="31" spans="1:21" s="2" customFormat="1" ht="15.75" hidden="1" x14ac:dyDescent="0.25">
      <c r="C31" s="86" t="s">
        <v>57</v>
      </c>
      <c r="D31" s="86" t="s">
        <v>58</v>
      </c>
      <c r="E31" s="86" t="s">
        <v>103</v>
      </c>
      <c r="F31" s="10">
        <v>42787</v>
      </c>
      <c r="G31" s="86" t="s">
        <v>104</v>
      </c>
      <c r="H31" s="86" t="s">
        <v>24</v>
      </c>
      <c r="I31" s="87">
        <v>7316.95</v>
      </c>
      <c r="J31" s="87">
        <v>2762.01</v>
      </c>
      <c r="K31" s="88">
        <f t="shared" si="0"/>
        <v>0.62251894573558653</v>
      </c>
      <c r="L31" s="87">
        <v>943.45</v>
      </c>
      <c r="M31" s="88">
        <f t="shared" si="1"/>
        <v>0.12894033716234224</v>
      </c>
      <c r="N31" s="11">
        <v>573.15</v>
      </c>
      <c r="O31" s="11">
        <v>0</v>
      </c>
      <c r="P31" s="11"/>
      <c r="Q31" s="105"/>
      <c r="R31" s="12"/>
      <c r="S31" s="12"/>
      <c r="T31" s="12"/>
      <c r="U31" s="12"/>
    </row>
    <row r="32" spans="1:21" s="2" customFormat="1" ht="15.75" hidden="1" x14ac:dyDescent="0.25">
      <c r="A32" s="21"/>
      <c r="C32" s="86" t="s">
        <v>57</v>
      </c>
      <c r="D32" s="86" t="s">
        <v>74</v>
      </c>
      <c r="E32" s="86" t="s">
        <v>98</v>
      </c>
      <c r="F32" s="10">
        <v>42805</v>
      </c>
      <c r="G32" s="86" t="s">
        <v>105</v>
      </c>
      <c r="H32" s="86" t="s">
        <v>14</v>
      </c>
      <c r="I32" s="87">
        <v>6090.13</v>
      </c>
      <c r="J32" s="87">
        <f>3218.5-70</f>
        <v>3148.5</v>
      </c>
      <c r="K32" s="88">
        <f t="shared" si="0"/>
        <v>0.48301596189243906</v>
      </c>
      <c r="L32" s="87">
        <v>671.37</v>
      </c>
      <c r="M32" s="88">
        <f t="shared" si="1"/>
        <v>0.11023902609632306</v>
      </c>
      <c r="N32" s="11">
        <v>252.13</v>
      </c>
      <c r="O32" s="11">
        <v>0</v>
      </c>
      <c r="P32" s="11" t="s">
        <v>106</v>
      </c>
      <c r="Q32" s="105"/>
      <c r="R32" s="12"/>
      <c r="S32" s="12"/>
      <c r="T32" s="12"/>
      <c r="U32" s="12"/>
    </row>
    <row r="33" spans="1:21" s="2" customFormat="1" ht="15.75" hidden="1" x14ac:dyDescent="0.25">
      <c r="A33" s="21"/>
      <c r="C33" s="86" t="s">
        <v>62</v>
      </c>
      <c r="D33" s="86" t="s">
        <v>74</v>
      </c>
      <c r="E33" s="86" t="s">
        <v>477</v>
      </c>
      <c r="F33" s="10">
        <v>42795</v>
      </c>
      <c r="G33" s="86" t="s">
        <v>107</v>
      </c>
      <c r="H33" s="86" t="s">
        <v>22</v>
      </c>
      <c r="I33" s="87">
        <v>5973.52</v>
      </c>
      <c r="J33" s="87">
        <v>2573.46</v>
      </c>
      <c r="K33" s="88">
        <f t="shared" si="0"/>
        <v>0.56918868606784612</v>
      </c>
      <c r="L33" s="87">
        <v>732.76</v>
      </c>
      <c r="M33" s="88">
        <f t="shared" si="1"/>
        <v>0.12266804162369925</v>
      </c>
      <c r="N33" s="11">
        <v>562.52</v>
      </c>
      <c r="O33" s="11">
        <v>0</v>
      </c>
      <c r="P33" s="11" t="s">
        <v>108</v>
      </c>
      <c r="Q33" s="105"/>
      <c r="R33" s="12"/>
      <c r="S33" s="12"/>
      <c r="T33" s="12"/>
      <c r="U33" s="12"/>
    </row>
    <row r="34" spans="1:21" s="2" customFormat="1" ht="15.75" hidden="1" x14ac:dyDescent="0.25">
      <c r="A34" s="21"/>
      <c r="C34" s="86" t="s">
        <v>57</v>
      </c>
      <c r="D34" s="86" t="s">
        <v>109</v>
      </c>
      <c r="E34" s="86" t="s">
        <v>72</v>
      </c>
      <c r="F34" s="10">
        <v>42788</v>
      </c>
      <c r="G34" s="86" t="s">
        <v>91</v>
      </c>
      <c r="H34" s="86" t="s">
        <v>16</v>
      </c>
      <c r="I34" s="87">
        <v>5262.26</v>
      </c>
      <c r="J34" s="87">
        <v>2844.64</v>
      </c>
      <c r="K34" s="88">
        <f t="shared" si="0"/>
        <v>0.45942617810598491</v>
      </c>
      <c r="L34" s="87">
        <v>521.95000000000005</v>
      </c>
      <c r="M34" s="88">
        <f t="shared" si="1"/>
        <v>9.9187421374086426E-2</v>
      </c>
      <c r="N34" s="11">
        <v>163.06</v>
      </c>
      <c r="O34" s="11">
        <v>0</v>
      </c>
      <c r="P34" s="11"/>
      <c r="Q34" s="105"/>
      <c r="R34" s="12"/>
      <c r="S34" s="12"/>
      <c r="T34" s="12"/>
      <c r="U34" s="12"/>
    </row>
    <row r="35" spans="1:21" s="2" customFormat="1" ht="15.75" hidden="1" x14ac:dyDescent="0.25">
      <c r="A35" s="21"/>
      <c r="C35" s="86" t="s">
        <v>110</v>
      </c>
      <c r="D35" s="86" t="s">
        <v>68</v>
      </c>
      <c r="E35" s="86" t="s">
        <v>98</v>
      </c>
      <c r="F35" s="10">
        <v>42791</v>
      </c>
      <c r="G35" s="86" t="s">
        <v>95</v>
      </c>
      <c r="H35" s="86" t="s">
        <v>14</v>
      </c>
      <c r="I35" s="87">
        <v>8802.33</v>
      </c>
      <c r="J35" s="87">
        <v>4650.45</v>
      </c>
      <c r="K35" s="88">
        <f t="shared" si="0"/>
        <v>0.47167965754521818</v>
      </c>
      <c r="L35" s="87">
        <v>721.29</v>
      </c>
      <c r="M35" s="88">
        <f t="shared" si="1"/>
        <v>8.1943076435443796E-2</v>
      </c>
      <c r="N35" s="11">
        <v>-243.42</v>
      </c>
      <c r="O35" s="11">
        <v>150</v>
      </c>
      <c r="P35" s="11" t="s">
        <v>111</v>
      </c>
      <c r="Q35" s="105"/>
      <c r="R35" s="12"/>
      <c r="S35" s="12"/>
      <c r="T35" s="12"/>
      <c r="U35" s="12"/>
    </row>
    <row r="36" spans="1:21" s="2" customFormat="1" ht="15.75" hidden="1" x14ac:dyDescent="0.25">
      <c r="A36" s="21"/>
      <c r="C36" s="86" t="s">
        <v>62</v>
      </c>
      <c r="D36" s="86" t="s">
        <v>74</v>
      </c>
      <c r="E36" s="86" t="s">
        <v>477</v>
      </c>
      <c r="F36" s="10">
        <v>42776</v>
      </c>
      <c r="G36" s="86" t="s">
        <v>79</v>
      </c>
      <c r="H36" s="86" t="s">
        <v>28</v>
      </c>
      <c r="I36" s="87">
        <v>30955.54</v>
      </c>
      <c r="J36" s="87">
        <v>13585.6</v>
      </c>
      <c r="K36" s="88">
        <f t="shared" si="0"/>
        <v>0.56112540760070739</v>
      </c>
      <c r="L36" s="87">
        <v>3222.73</v>
      </c>
      <c r="M36" s="88">
        <f t="shared" si="1"/>
        <v>0.10410834377303707</v>
      </c>
      <c r="N36" s="11">
        <v>1031.94</v>
      </c>
      <c r="O36" s="11">
        <v>0</v>
      </c>
      <c r="P36" s="11"/>
      <c r="Q36" s="105"/>
      <c r="R36" s="12"/>
      <c r="S36" s="12"/>
      <c r="T36" s="12"/>
      <c r="U36" s="12"/>
    </row>
    <row r="37" spans="1:21" s="2" customFormat="1" ht="15.75" hidden="1" x14ac:dyDescent="0.25">
      <c r="A37" s="21"/>
      <c r="C37" s="86" t="s">
        <v>386</v>
      </c>
      <c r="D37" s="86" t="s">
        <v>63</v>
      </c>
      <c r="E37" s="86" t="s">
        <v>64</v>
      </c>
      <c r="F37" s="10">
        <v>42803</v>
      </c>
      <c r="G37" s="86" t="s">
        <v>112</v>
      </c>
      <c r="H37" s="86" t="s">
        <v>13</v>
      </c>
      <c r="I37" s="87">
        <v>8989.86</v>
      </c>
      <c r="J37" s="87">
        <v>4365.47</v>
      </c>
      <c r="K37" s="88">
        <f t="shared" si="0"/>
        <v>0.51440066919840799</v>
      </c>
      <c r="L37" s="87">
        <v>777.23</v>
      </c>
      <c r="M37" s="88">
        <f t="shared" si="1"/>
        <v>8.6456296316071657E-2</v>
      </c>
      <c r="N37" s="11">
        <v>302.42</v>
      </c>
      <c r="O37" s="11">
        <v>50</v>
      </c>
      <c r="P37" s="11"/>
      <c r="Q37" s="105"/>
      <c r="R37" s="12"/>
      <c r="S37" s="12"/>
      <c r="T37" s="12"/>
      <c r="U37" s="12"/>
    </row>
    <row r="38" spans="1:21" s="2" customFormat="1" ht="15.75" hidden="1" x14ac:dyDescent="0.25">
      <c r="A38" s="21"/>
      <c r="C38" s="86" t="s">
        <v>113</v>
      </c>
      <c r="D38" s="86" t="s">
        <v>63</v>
      </c>
      <c r="E38" s="86" t="s">
        <v>66</v>
      </c>
      <c r="F38" s="10">
        <v>42812</v>
      </c>
      <c r="G38" s="86" t="s">
        <v>114</v>
      </c>
      <c r="H38" s="86" t="s">
        <v>13</v>
      </c>
      <c r="I38" s="87">
        <v>7172.58</v>
      </c>
      <c r="J38" s="87">
        <v>3008.1</v>
      </c>
      <c r="K38" s="88">
        <f t="shared" si="0"/>
        <v>0.58061116083752284</v>
      </c>
      <c r="L38" s="87">
        <v>842.38</v>
      </c>
      <c r="M38" s="88">
        <f t="shared" si="1"/>
        <v>0.11744448998826085</v>
      </c>
      <c r="N38" s="11">
        <v>832.38</v>
      </c>
      <c r="O38" s="11">
        <v>0</v>
      </c>
      <c r="P38" s="11"/>
      <c r="Q38" s="105"/>
      <c r="R38" s="12"/>
      <c r="S38" s="12"/>
      <c r="T38" s="12"/>
      <c r="U38" s="12"/>
    </row>
    <row r="39" spans="1:21" s="2" customFormat="1" ht="15.75" hidden="1" x14ac:dyDescent="0.25">
      <c r="A39" s="21"/>
      <c r="C39" s="86" t="s">
        <v>57</v>
      </c>
      <c r="D39" s="86" t="s">
        <v>63</v>
      </c>
      <c r="E39" s="86" t="s">
        <v>66</v>
      </c>
      <c r="F39" s="10">
        <v>42800</v>
      </c>
      <c r="G39" s="86" t="s">
        <v>115</v>
      </c>
      <c r="H39" s="86" t="s">
        <v>18</v>
      </c>
      <c r="I39" s="87">
        <v>19755.39</v>
      </c>
      <c r="J39" s="87">
        <v>10185.959999999999</v>
      </c>
      <c r="K39" s="88">
        <f t="shared" si="0"/>
        <v>0.48439590410515815</v>
      </c>
      <c r="L39" s="87">
        <v>1287.43</v>
      </c>
      <c r="M39" s="88">
        <f t="shared" si="1"/>
        <v>6.5168543875873883E-2</v>
      </c>
      <c r="N39" s="11">
        <v>-1659.01</v>
      </c>
      <c r="O39" s="11">
        <v>0</v>
      </c>
      <c r="P39" s="11"/>
      <c r="Q39" s="105"/>
      <c r="R39" s="12"/>
      <c r="S39" s="12"/>
      <c r="T39" s="12"/>
      <c r="U39" s="12"/>
    </row>
    <row r="40" spans="1:21" s="2" customFormat="1" ht="15.75" hidden="1" x14ac:dyDescent="0.25">
      <c r="A40" s="21"/>
      <c r="C40" s="86" t="s">
        <v>57</v>
      </c>
      <c r="D40" s="86" t="s">
        <v>68</v>
      </c>
      <c r="E40" s="86" t="s">
        <v>69</v>
      </c>
      <c r="F40" s="10">
        <v>42781</v>
      </c>
      <c r="G40" s="86" t="s">
        <v>116</v>
      </c>
      <c r="H40" s="86" t="s">
        <v>15</v>
      </c>
      <c r="I40" s="87">
        <v>11058.36</v>
      </c>
      <c r="J40" s="87">
        <v>4701.71</v>
      </c>
      <c r="K40" s="88">
        <f t="shared" si="0"/>
        <v>0.57482755128246865</v>
      </c>
      <c r="L40" s="87">
        <v>1259.5999999999999</v>
      </c>
      <c r="M40" s="88">
        <f t="shared" si="1"/>
        <v>0.11390477430649751</v>
      </c>
      <c r="N40" s="11">
        <v>428.16</v>
      </c>
      <c r="O40" s="11">
        <v>0</v>
      </c>
      <c r="P40" s="11" t="s">
        <v>117</v>
      </c>
      <c r="Q40" s="105"/>
      <c r="R40" s="12"/>
      <c r="S40" s="12"/>
      <c r="T40" s="12"/>
      <c r="U40" s="12"/>
    </row>
    <row r="41" spans="1:21" s="2" customFormat="1" ht="15.75" hidden="1" x14ac:dyDescent="0.25">
      <c r="A41" s="21"/>
      <c r="C41" s="86" t="s">
        <v>57</v>
      </c>
      <c r="D41" s="86" t="s">
        <v>63</v>
      </c>
      <c r="E41" s="86" t="s">
        <v>477</v>
      </c>
      <c r="F41" s="10">
        <v>42786</v>
      </c>
      <c r="G41" s="86" t="s">
        <v>118</v>
      </c>
      <c r="H41" s="86" t="s">
        <v>22</v>
      </c>
      <c r="I41" s="87">
        <v>6349.68</v>
      </c>
      <c r="J41" s="87">
        <v>3379.95</v>
      </c>
      <c r="K41" s="88">
        <f t="shared" si="0"/>
        <v>0.46769758476017692</v>
      </c>
      <c r="L41" s="87">
        <v>521.41999999999996</v>
      </c>
      <c r="M41" s="88">
        <f t="shared" si="1"/>
        <v>8.2117524032707154E-2</v>
      </c>
      <c r="N41" s="11">
        <v>3.48</v>
      </c>
      <c r="O41" s="11">
        <v>0</v>
      </c>
      <c r="P41" s="11"/>
      <c r="Q41" s="105"/>
      <c r="R41" s="12"/>
      <c r="S41" s="12"/>
      <c r="T41" s="12"/>
      <c r="U41" s="12"/>
    </row>
    <row r="42" spans="1:21" s="2" customFormat="1" ht="15.75" hidden="1" x14ac:dyDescent="0.25">
      <c r="A42" s="21"/>
      <c r="C42" s="86" t="s">
        <v>57</v>
      </c>
      <c r="D42" s="86" t="s">
        <v>68</v>
      </c>
      <c r="E42" s="86" t="s">
        <v>69</v>
      </c>
      <c r="F42" s="10">
        <v>42760</v>
      </c>
      <c r="G42" s="86" t="s">
        <v>119</v>
      </c>
      <c r="H42" s="86" t="s">
        <v>15</v>
      </c>
      <c r="I42" s="87">
        <v>8606.25</v>
      </c>
      <c r="J42" s="87">
        <v>3558.71</v>
      </c>
      <c r="K42" s="88">
        <f t="shared" si="0"/>
        <v>0.58649702251270874</v>
      </c>
      <c r="L42" s="87">
        <v>916.82</v>
      </c>
      <c r="M42" s="88">
        <f t="shared" si="1"/>
        <v>0.10652955700798838</v>
      </c>
      <c r="N42" s="11">
        <v>246.75</v>
      </c>
      <c r="O42" s="11">
        <v>0</v>
      </c>
      <c r="P42" s="11"/>
      <c r="Q42" s="105"/>
      <c r="R42" s="12"/>
      <c r="S42" s="12"/>
      <c r="T42" s="12"/>
      <c r="U42" s="12"/>
    </row>
    <row r="43" spans="1:21" s="2" customFormat="1" ht="15.75" hidden="1" x14ac:dyDescent="0.25">
      <c r="A43" s="21"/>
      <c r="C43" s="86" t="s">
        <v>120</v>
      </c>
      <c r="D43" s="86" t="s">
        <v>58</v>
      </c>
      <c r="E43" s="86" t="s">
        <v>464</v>
      </c>
      <c r="F43" s="10">
        <v>42810</v>
      </c>
      <c r="G43" s="86" t="s">
        <v>95</v>
      </c>
      <c r="H43" s="86" t="s">
        <v>15</v>
      </c>
      <c r="I43" s="87">
        <v>14070</v>
      </c>
      <c r="J43" s="87">
        <v>5208.66</v>
      </c>
      <c r="K43" s="88">
        <f t="shared" si="0"/>
        <v>0.62980383795309169</v>
      </c>
      <c r="L43" s="87">
        <v>1635.44</v>
      </c>
      <c r="M43" s="88">
        <f t="shared" si="1"/>
        <v>0.11623596304193319</v>
      </c>
      <c r="N43" s="11">
        <v>664.79</v>
      </c>
      <c r="O43" s="11">
        <v>0</v>
      </c>
      <c r="P43" s="11"/>
      <c r="Q43" s="105"/>
      <c r="R43" s="12"/>
      <c r="S43" s="12"/>
      <c r="T43" s="12"/>
      <c r="U43" s="12"/>
    </row>
    <row r="44" spans="1:21" s="2" customFormat="1" ht="15.75" hidden="1" x14ac:dyDescent="0.25">
      <c r="A44" s="21"/>
      <c r="C44" s="86" t="s">
        <v>62</v>
      </c>
      <c r="D44" s="86" t="s">
        <v>121</v>
      </c>
      <c r="E44" s="86" t="s">
        <v>64</v>
      </c>
      <c r="F44" s="10">
        <v>42823</v>
      </c>
      <c r="G44" s="86" t="s">
        <v>122</v>
      </c>
      <c r="H44" s="86" t="s">
        <v>13</v>
      </c>
      <c r="I44" s="87">
        <v>3774.75</v>
      </c>
      <c r="J44" s="87">
        <v>1451.33</v>
      </c>
      <c r="K44" s="88">
        <f t="shared" si="0"/>
        <v>0.61551625935492416</v>
      </c>
      <c r="L44" s="87">
        <v>505.04</v>
      </c>
      <c r="M44" s="88">
        <f t="shared" si="1"/>
        <v>0.13379429101264986</v>
      </c>
      <c r="N44" s="11">
        <v>255.15</v>
      </c>
      <c r="O44" s="11">
        <v>50</v>
      </c>
      <c r="P44" s="11"/>
      <c r="Q44" s="105"/>
      <c r="R44" s="12"/>
      <c r="S44" s="12"/>
      <c r="T44" s="12"/>
      <c r="U44" s="12"/>
    </row>
    <row r="45" spans="1:21" s="2" customFormat="1" ht="15.75" hidden="1" x14ac:dyDescent="0.25">
      <c r="A45" s="21"/>
      <c r="C45" s="86" t="s">
        <v>57</v>
      </c>
      <c r="D45" s="86" t="s">
        <v>58</v>
      </c>
      <c r="E45" s="86" t="s">
        <v>464</v>
      </c>
      <c r="F45" s="10">
        <v>42801</v>
      </c>
      <c r="G45" s="86" t="s">
        <v>123</v>
      </c>
      <c r="H45" s="86" t="s">
        <v>15</v>
      </c>
      <c r="I45" s="87">
        <v>9360.51</v>
      </c>
      <c r="J45" s="87">
        <v>4216.53</v>
      </c>
      <c r="K45" s="88">
        <f t="shared" si="0"/>
        <v>0.54954056990484501</v>
      </c>
      <c r="L45" s="87">
        <v>517.96</v>
      </c>
      <c r="M45" s="88">
        <f t="shared" si="1"/>
        <v>5.5334591811770945E-2</v>
      </c>
      <c r="N45" s="11">
        <v>-1251.49</v>
      </c>
      <c r="O45" s="11">
        <v>100</v>
      </c>
      <c r="P45" s="11"/>
      <c r="Q45" s="105"/>
      <c r="R45" s="12"/>
      <c r="S45" s="12"/>
      <c r="T45" s="12"/>
      <c r="U45" s="12"/>
    </row>
    <row r="46" spans="1:21" s="2" customFormat="1" ht="15.75" hidden="1" x14ac:dyDescent="0.25">
      <c r="A46" s="21"/>
      <c r="C46" s="86" t="s">
        <v>386</v>
      </c>
      <c r="D46" s="86" t="s">
        <v>101</v>
      </c>
      <c r="E46" s="86" t="s">
        <v>69</v>
      </c>
      <c r="F46" s="10">
        <v>42814</v>
      </c>
      <c r="G46" s="86" t="s">
        <v>124</v>
      </c>
      <c r="H46" s="86" t="s">
        <v>15</v>
      </c>
      <c r="I46" s="87">
        <v>9116.82</v>
      </c>
      <c r="J46" s="87">
        <v>4770.7299999999996</v>
      </c>
      <c r="K46" s="88">
        <f t="shared" si="0"/>
        <v>0.4767111778010315</v>
      </c>
      <c r="L46" s="87">
        <v>669.77</v>
      </c>
      <c r="M46" s="88">
        <f t="shared" si="1"/>
        <v>7.3465309175787169E-2</v>
      </c>
      <c r="N46" s="11">
        <v>-193.6</v>
      </c>
      <c r="O46" s="11">
        <v>0</v>
      </c>
      <c r="P46" s="11"/>
      <c r="Q46" s="105"/>
      <c r="R46" s="12"/>
      <c r="S46" s="12"/>
      <c r="T46" s="12"/>
      <c r="U46" s="12"/>
    </row>
    <row r="47" spans="1:21" s="2" customFormat="1" ht="15.75" hidden="1" x14ac:dyDescent="0.25">
      <c r="A47" s="21"/>
      <c r="C47" s="86" t="s">
        <v>57</v>
      </c>
      <c r="D47" s="86" t="s">
        <v>74</v>
      </c>
      <c r="E47" s="86" t="s">
        <v>66</v>
      </c>
      <c r="F47" s="10">
        <v>42808</v>
      </c>
      <c r="G47" s="86" t="s">
        <v>125</v>
      </c>
      <c r="H47" s="86" t="s">
        <v>13</v>
      </c>
      <c r="I47" s="87">
        <v>3899.83</v>
      </c>
      <c r="J47" s="87">
        <v>1545.61</v>
      </c>
      <c r="K47" s="88">
        <f t="shared" si="0"/>
        <v>0.60367246777423644</v>
      </c>
      <c r="L47" s="87">
        <v>466.89</v>
      </c>
      <c r="M47" s="88">
        <f t="shared" si="1"/>
        <v>0.11972060320578076</v>
      </c>
      <c r="N47" s="11">
        <v>490.83</v>
      </c>
      <c r="O47" s="11">
        <v>0</v>
      </c>
      <c r="P47" s="11"/>
      <c r="Q47" s="105"/>
      <c r="R47" s="12"/>
      <c r="S47" s="12"/>
      <c r="T47" s="12"/>
      <c r="U47" s="12"/>
    </row>
    <row r="48" spans="1:21" s="2" customFormat="1" ht="15.75" hidden="1" x14ac:dyDescent="0.25">
      <c r="A48" s="21"/>
      <c r="C48" s="86" t="s">
        <v>57</v>
      </c>
      <c r="D48" s="86" t="s">
        <v>68</v>
      </c>
      <c r="E48" s="86" t="s">
        <v>126</v>
      </c>
      <c r="F48" s="10">
        <v>42809</v>
      </c>
      <c r="G48" s="86" t="s">
        <v>127</v>
      </c>
      <c r="H48" s="86" t="s">
        <v>14</v>
      </c>
      <c r="I48" s="87">
        <v>11938.36</v>
      </c>
      <c r="J48" s="87">
        <v>5592.12</v>
      </c>
      <c r="K48" s="88">
        <f t="shared" si="0"/>
        <v>0.53158390264659472</v>
      </c>
      <c r="L48" s="87">
        <v>1343.32</v>
      </c>
      <c r="M48" s="88">
        <f t="shared" si="1"/>
        <v>0.11252131783595065</v>
      </c>
      <c r="N48" s="11">
        <v>573.76</v>
      </c>
      <c r="O48" s="11">
        <v>0</v>
      </c>
      <c r="P48" s="11"/>
      <c r="Q48" s="105"/>
      <c r="R48" s="12"/>
      <c r="S48" s="12"/>
      <c r="T48" s="12"/>
      <c r="U48" s="12"/>
    </row>
    <row r="49" spans="1:21" s="2" customFormat="1" ht="15.75" hidden="1" x14ac:dyDescent="0.25">
      <c r="A49" s="21"/>
      <c r="C49" s="86" t="s">
        <v>57</v>
      </c>
      <c r="D49" s="86" t="s">
        <v>109</v>
      </c>
      <c r="E49" s="86" t="s">
        <v>72</v>
      </c>
      <c r="F49" s="10">
        <v>42787</v>
      </c>
      <c r="G49" s="86" t="s">
        <v>128</v>
      </c>
      <c r="H49" s="86" t="s">
        <v>479</v>
      </c>
      <c r="I49" s="87">
        <v>16870.27</v>
      </c>
      <c r="J49" s="87">
        <v>9108.68</v>
      </c>
      <c r="K49" s="88">
        <f t="shared" si="0"/>
        <v>0.46007503140139427</v>
      </c>
      <c r="L49" s="87">
        <v>1569.67</v>
      </c>
      <c r="M49" s="88">
        <f t="shared" si="1"/>
        <v>9.3043561247093259E-2</v>
      </c>
      <c r="N49" s="11">
        <v>1337.97</v>
      </c>
      <c r="O49" s="11">
        <v>200</v>
      </c>
      <c r="P49" s="11" t="s">
        <v>129</v>
      </c>
      <c r="Q49" s="105"/>
      <c r="R49" s="12"/>
      <c r="S49" s="12"/>
      <c r="T49" s="12"/>
      <c r="U49" s="12"/>
    </row>
    <row r="50" spans="1:21" s="2" customFormat="1" ht="15.75" hidden="1" x14ac:dyDescent="0.25">
      <c r="A50" s="21"/>
      <c r="C50" s="86" t="s">
        <v>474</v>
      </c>
      <c r="D50" s="86" t="s">
        <v>101</v>
      </c>
      <c r="E50" s="86" t="s">
        <v>464</v>
      </c>
      <c r="F50" s="10">
        <v>42815</v>
      </c>
      <c r="G50" s="86" t="s">
        <v>130</v>
      </c>
      <c r="H50" s="86" t="s">
        <v>15</v>
      </c>
      <c r="I50" s="87">
        <v>7436.51</v>
      </c>
      <c r="J50" s="87">
        <v>2416.0300000000002</v>
      </c>
      <c r="K50" s="88">
        <f t="shared" si="0"/>
        <v>0.67511238470734247</v>
      </c>
      <c r="L50" s="87">
        <v>891.66</v>
      </c>
      <c r="M50" s="88">
        <f t="shared" si="1"/>
        <v>0.11990301902370869</v>
      </c>
      <c r="N50" s="11">
        <v>492.51</v>
      </c>
      <c r="O50" s="11">
        <v>0</v>
      </c>
      <c r="P50" s="11"/>
      <c r="Q50" s="105"/>
      <c r="R50" s="12"/>
      <c r="S50" s="12"/>
      <c r="T50" s="12"/>
      <c r="U50" s="12"/>
    </row>
    <row r="51" spans="1:21" s="2" customFormat="1" ht="15.75" hidden="1" x14ac:dyDescent="0.25">
      <c r="A51" s="21"/>
      <c r="C51" s="86" t="s">
        <v>57</v>
      </c>
      <c r="D51" s="86" t="s">
        <v>63</v>
      </c>
      <c r="E51" s="86" t="s">
        <v>98</v>
      </c>
      <c r="F51" s="10">
        <v>42801</v>
      </c>
      <c r="G51" s="86" t="s">
        <v>131</v>
      </c>
      <c r="H51" s="86" t="s">
        <v>27</v>
      </c>
      <c r="I51" s="87">
        <v>8947.89</v>
      </c>
      <c r="J51" s="87">
        <v>3308.62</v>
      </c>
      <c r="K51" s="88">
        <f t="shared" si="0"/>
        <v>0.63023461397044445</v>
      </c>
      <c r="L51" s="87">
        <v>737.85</v>
      </c>
      <c r="M51" s="88">
        <f t="shared" si="1"/>
        <v>8.2460781256810278E-2</v>
      </c>
      <c r="N51" s="11">
        <v>-726.11</v>
      </c>
      <c r="O51" s="11">
        <v>200</v>
      </c>
      <c r="P51" s="11"/>
      <c r="Q51" s="105"/>
      <c r="R51" s="12"/>
      <c r="S51" s="12"/>
      <c r="T51" s="12"/>
      <c r="U51" s="12"/>
    </row>
    <row r="52" spans="1:21" s="2" customFormat="1" ht="15.75" hidden="1" x14ac:dyDescent="0.25">
      <c r="A52" s="21"/>
      <c r="C52" s="86" t="s">
        <v>62</v>
      </c>
      <c r="D52" s="86" t="s">
        <v>63</v>
      </c>
      <c r="E52" s="86" t="s">
        <v>98</v>
      </c>
      <c r="F52" s="10">
        <v>42810</v>
      </c>
      <c r="G52" s="86" t="s">
        <v>132</v>
      </c>
      <c r="H52" s="86" t="s">
        <v>14</v>
      </c>
      <c r="I52" s="87">
        <v>4530.2</v>
      </c>
      <c r="J52" s="87">
        <v>2250.77</v>
      </c>
      <c r="K52" s="88">
        <f t="shared" si="0"/>
        <v>0.50316321575206391</v>
      </c>
      <c r="L52" s="87">
        <v>447.9</v>
      </c>
      <c r="M52" s="88">
        <f t="shared" si="1"/>
        <v>9.8869807072535426E-2</v>
      </c>
      <c r="N52" s="11">
        <v>92.2</v>
      </c>
      <c r="O52" s="11">
        <v>0</v>
      </c>
      <c r="P52" s="11"/>
      <c r="Q52" s="105"/>
      <c r="R52" s="12"/>
      <c r="S52" s="12"/>
      <c r="T52" s="12"/>
      <c r="U52" s="12"/>
    </row>
    <row r="53" spans="1:21" s="2" customFormat="1" ht="15.75" hidden="1" x14ac:dyDescent="0.25">
      <c r="A53" s="21"/>
      <c r="C53" s="86" t="s">
        <v>386</v>
      </c>
      <c r="D53" s="86" t="s">
        <v>109</v>
      </c>
      <c r="E53" s="86" t="s">
        <v>72</v>
      </c>
      <c r="F53" s="10">
        <v>42809</v>
      </c>
      <c r="G53" s="86" t="s">
        <v>133</v>
      </c>
      <c r="H53" s="86" t="s">
        <v>15</v>
      </c>
      <c r="I53" s="87">
        <v>10078.25</v>
      </c>
      <c r="J53" s="87">
        <v>5206.72</v>
      </c>
      <c r="K53" s="88">
        <f t="shared" si="0"/>
        <v>0.48337062486046684</v>
      </c>
      <c r="L53" s="87">
        <v>899.81</v>
      </c>
      <c r="M53" s="88">
        <f t="shared" si="1"/>
        <v>8.9282365490040427E-2</v>
      </c>
      <c r="N53" s="11">
        <v>-122.15</v>
      </c>
      <c r="O53" s="11">
        <v>0</v>
      </c>
      <c r="P53" s="11"/>
      <c r="Q53" s="105"/>
      <c r="R53" s="12"/>
      <c r="S53" s="12"/>
      <c r="T53" s="12"/>
      <c r="U53" s="12"/>
    </row>
    <row r="54" spans="1:21" s="2" customFormat="1" ht="15.75" hidden="1" x14ac:dyDescent="0.25">
      <c r="A54" s="21"/>
      <c r="C54" s="86" t="s">
        <v>57</v>
      </c>
      <c r="D54" s="86" t="s">
        <v>74</v>
      </c>
      <c r="E54" s="86" t="s">
        <v>477</v>
      </c>
      <c r="F54" s="10">
        <v>42767</v>
      </c>
      <c r="G54" s="86" t="s">
        <v>134</v>
      </c>
      <c r="H54" s="86" t="s">
        <v>27</v>
      </c>
      <c r="I54" s="87">
        <v>27722.77</v>
      </c>
      <c r="J54" s="87">
        <v>12664.96</v>
      </c>
      <c r="K54" s="88">
        <f t="shared" si="0"/>
        <v>0.54315676247359124</v>
      </c>
      <c r="L54" s="87">
        <v>1891.81</v>
      </c>
      <c r="M54" s="88">
        <f t="shared" si="1"/>
        <v>6.8240294891167078E-2</v>
      </c>
      <c r="N54" s="11">
        <v>-1877.43</v>
      </c>
      <c r="O54" s="11">
        <v>0</v>
      </c>
      <c r="P54" s="11"/>
      <c r="Q54" s="105"/>
      <c r="R54" s="12"/>
      <c r="S54" s="12"/>
      <c r="T54" s="12"/>
      <c r="U54" s="12"/>
    </row>
    <row r="55" spans="1:21" s="2" customFormat="1" ht="15.75" hidden="1" x14ac:dyDescent="0.25">
      <c r="A55" s="21"/>
      <c r="C55" s="86" t="s">
        <v>57</v>
      </c>
      <c r="D55" s="86" t="s">
        <v>74</v>
      </c>
      <c r="E55" s="86" t="s">
        <v>98</v>
      </c>
      <c r="F55" s="10">
        <v>42816</v>
      </c>
      <c r="G55" s="86" t="s">
        <v>135</v>
      </c>
      <c r="H55" s="86" t="s">
        <v>14</v>
      </c>
      <c r="I55" s="87">
        <v>5870.7</v>
      </c>
      <c r="J55" s="87">
        <v>3074.75</v>
      </c>
      <c r="K55" s="88">
        <f t="shared" si="0"/>
        <v>0.47625496107789528</v>
      </c>
      <c r="L55" s="87">
        <v>540.65</v>
      </c>
      <c r="M55" s="88">
        <f t="shared" si="1"/>
        <v>9.2092936106426826E-2</v>
      </c>
      <c r="N55" s="11">
        <v>-72.3</v>
      </c>
      <c r="O55" s="11">
        <v>0</v>
      </c>
      <c r="P55" s="11"/>
      <c r="Q55" s="105"/>
      <c r="R55" s="12"/>
      <c r="S55" s="12"/>
      <c r="T55" s="12"/>
      <c r="U55" s="12"/>
    </row>
    <row r="56" spans="1:21" s="2" customFormat="1" ht="15.75" hidden="1" x14ac:dyDescent="0.25">
      <c r="A56" s="21"/>
      <c r="C56" s="86" t="s">
        <v>386</v>
      </c>
      <c r="D56" s="86" t="s">
        <v>63</v>
      </c>
      <c r="E56" s="86" t="s">
        <v>66</v>
      </c>
      <c r="F56" s="10">
        <v>42825</v>
      </c>
      <c r="G56" s="86" t="s">
        <v>136</v>
      </c>
      <c r="H56" s="86" t="s">
        <v>13</v>
      </c>
      <c r="I56" s="87">
        <v>16931.07</v>
      </c>
      <c r="J56" s="87">
        <v>7903.44</v>
      </c>
      <c r="K56" s="88">
        <f t="shared" si="0"/>
        <v>0.53319902404278063</v>
      </c>
      <c r="L56" s="87">
        <v>572.57000000000005</v>
      </c>
      <c r="M56" s="88">
        <f t="shared" si="1"/>
        <v>3.3817709099306779E-2</v>
      </c>
      <c r="N56" s="11">
        <v>-1363.25</v>
      </c>
      <c r="O56" s="11">
        <v>0</v>
      </c>
      <c r="P56" s="11"/>
      <c r="Q56" s="105"/>
      <c r="R56" s="12"/>
      <c r="S56" s="12"/>
      <c r="T56" s="12"/>
      <c r="U56" s="12"/>
    </row>
    <row r="57" spans="1:21" s="2" customFormat="1" ht="15.75" hidden="1" x14ac:dyDescent="0.25">
      <c r="A57" s="21"/>
      <c r="C57" s="86" t="s">
        <v>57</v>
      </c>
      <c r="D57" s="86" t="s">
        <v>63</v>
      </c>
      <c r="E57" s="86" t="s">
        <v>64</v>
      </c>
      <c r="F57" s="10">
        <v>42777</v>
      </c>
      <c r="G57" s="86" t="s">
        <v>137</v>
      </c>
      <c r="H57" s="86" t="s">
        <v>13</v>
      </c>
      <c r="I57" s="87">
        <v>7738.35</v>
      </c>
      <c r="J57" s="87">
        <v>4758.71</v>
      </c>
      <c r="K57" s="88">
        <f t="shared" si="0"/>
        <v>0.38504849224963983</v>
      </c>
      <c r="L57" s="87">
        <v>338.87</v>
      </c>
      <c r="M57" s="88">
        <f t="shared" si="1"/>
        <v>4.3790989035130228E-2</v>
      </c>
      <c r="N57" s="11">
        <v>-876.65</v>
      </c>
      <c r="O57" s="11">
        <v>0</v>
      </c>
      <c r="P57" s="11" t="s">
        <v>138</v>
      </c>
      <c r="Q57" s="105"/>
      <c r="R57" s="12"/>
      <c r="S57" s="12"/>
      <c r="T57" s="12"/>
      <c r="U57" s="12"/>
    </row>
    <row r="58" spans="1:21" s="2" customFormat="1" ht="15.75" hidden="1" x14ac:dyDescent="0.25">
      <c r="A58" s="21"/>
      <c r="C58" s="86" t="s">
        <v>386</v>
      </c>
      <c r="D58" s="86" t="s">
        <v>63</v>
      </c>
      <c r="E58" s="86" t="s">
        <v>64</v>
      </c>
      <c r="F58" s="10">
        <v>42825</v>
      </c>
      <c r="G58" s="86" t="s">
        <v>139</v>
      </c>
      <c r="H58" s="86" t="s">
        <v>13</v>
      </c>
      <c r="I58" s="87">
        <v>5187.7700000000004</v>
      </c>
      <c r="J58" s="87">
        <v>2430.88</v>
      </c>
      <c r="K58" s="88">
        <f t="shared" si="0"/>
        <v>0.53142101519535367</v>
      </c>
      <c r="L58" s="87">
        <v>274.99</v>
      </c>
      <c r="M58" s="88">
        <f t="shared" si="1"/>
        <v>5.3007361544555751E-2</v>
      </c>
      <c r="N58" s="11">
        <v>-142.38</v>
      </c>
      <c r="O58" s="11">
        <v>0</v>
      </c>
      <c r="P58" s="11"/>
      <c r="Q58" s="105"/>
      <c r="R58" s="12"/>
      <c r="S58" s="12"/>
      <c r="T58" s="12"/>
      <c r="U58" s="12"/>
    </row>
    <row r="59" spans="1:21" s="2" customFormat="1" ht="15.75" hidden="1" x14ac:dyDescent="0.25">
      <c r="A59" s="21"/>
      <c r="C59" s="86" t="s">
        <v>386</v>
      </c>
      <c r="D59" s="86" t="s">
        <v>63</v>
      </c>
      <c r="E59" s="86" t="s">
        <v>98</v>
      </c>
      <c r="F59" s="10">
        <v>42828</v>
      </c>
      <c r="G59" s="86" t="s">
        <v>140</v>
      </c>
      <c r="H59" s="86" t="s">
        <v>28</v>
      </c>
      <c r="I59" s="87">
        <v>10413.049999999999</v>
      </c>
      <c r="J59" s="87">
        <v>5283.01</v>
      </c>
      <c r="K59" s="88">
        <f t="shared" si="0"/>
        <v>0.49265488977773075</v>
      </c>
      <c r="L59" s="87">
        <v>840.1</v>
      </c>
      <c r="M59" s="88">
        <f t="shared" si="1"/>
        <v>8.0677611266631782E-2</v>
      </c>
      <c r="N59" s="11">
        <v>-354.35</v>
      </c>
      <c r="O59" s="11">
        <v>0</v>
      </c>
      <c r="P59" s="11"/>
      <c r="Q59" s="105"/>
      <c r="R59" s="12"/>
      <c r="S59" s="12"/>
      <c r="T59" s="12"/>
      <c r="U59" s="12"/>
    </row>
    <row r="60" spans="1:21" s="2" customFormat="1" ht="15.75" hidden="1" x14ac:dyDescent="0.25">
      <c r="A60" s="21"/>
      <c r="C60" s="86" t="s">
        <v>62</v>
      </c>
      <c r="D60" s="86" t="s">
        <v>74</v>
      </c>
      <c r="E60" s="86" t="s">
        <v>98</v>
      </c>
      <c r="F60" s="10">
        <v>42794</v>
      </c>
      <c r="G60" s="86" t="s">
        <v>141</v>
      </c>
      <c r="H60" s="86" t="s">
        <v>28</v>
      </c>
      <c r="I60" s="87">
        <v>36253.64</v>
      </c>
      <c r="J60" s="87">
        <v>18839.259999999998</v>
      </c>
      <c r="K60" s="88">
        <f t="shared" si="0"/>
        <v>0.48034845604468962</v>
      </c>
      <c r="L60" s="87">
        <v>2423.79</v>
      </c>
      <c r="M60" s="88">
        <f t="shared" si="1"/>
        <v>6.6856459103141086E-2</v>
      </c>
      <c r="N60" s="11">
        <v>576.74</v>
      </c>
      <c r="O60" s="11">
        <v>0</v>
      </c>
      <c r="P60" s="11"/>
      <c r="Q60" s="105"/>
      <c r="R60" s="12"/>
      <c r="S60" s="12"/>
      <c r="T60" s="12"/>
      <c r="U60" s="12"/>
    </row>
    <row r="61" spans="1:21" s="2" customFormat="1" ht="15.75" hidden="1" x14ac:dyDescent="0.25">
      <c r="A61" s="21"/>
      <c r="C61" s="86" t="s">
        <v>57</v>
      </c>
      <c r="D61" s="86" t="s">
        <v>101</v>
      </c>
      <c r="E61" s="86" t="s">
        <v>464</v>
      </c>
      <c r="F61" s="10">
        <v>42816</v>
      </c>
      <c r="G61" s="86" t="s">
        <v>142</v>
      </c>
      <c r="H61" s="86" t="s">
        <v>15</v>
      </c>
      <c r="I61" s="87">
        <v>9646.5499999999993</v>
      </c>
      <c r="J61" s="87">
        <v>3544.5</v>
      </c>
      <c r="K61" s="88">
        <f t="shared" si="0"/>
        <v>0.6325629370085678</v>
      </c>
      <c r="L61" s="87">
        <v>1005.34</v>
      </c>
      <c r="M61" s="88">
        <f t="shared" si="1"/>
        <v>0.10421757001207686</v>
      </c>
      <c r="N61" s="11">
        <v>166.45</v>
      </c>
      <c r="O61" s="11">
        <v>0</v>
      </c>
      <c r="P61" s="11"/>
      <c r="Q61" s="105"/>
      <c r="R61" s="12"/>
      <c r="S61" s="12"/>
      <c r="T61" s="12"/>
      <c r="U61" s="12"/>
    </row>
    <row r="62" spans="1:21" s="2" customFormat="1" ht="15.75" hidden="1" x14ac:dyDescent="0.25">
      <c r="A62" s="21"/>
      <c r="C62" s="86" t="s">
        <v>57</v>
      </c>
      <c r="D62" s="86" t="s">
        <v>63</v>
      </c>
      <c r="E62" s="86" t="s">
        <v>66</v>
      </c>
      <c r="F62" s="10">
        <v>42831</v>
      </c>
      <c r="G62" s="86" t="s">
        <v>143</v>
      </c>
      <c r="H62" s="86" t="s">
        <v>54</v>
      </c>
      <c r="I62" s="87">
        <v>3816.17</v>
      </c>
      <c r="J62" s="87">
        <v>2302.09</v>
      </c>
      <c r="K62" s="88">
        <f t="shared" si="0"/>
        <v>0.39675381337833482</v>
      </c>
      <c r="L62" s="87">
        <v>310.83</v>
      </c>
      <c r="M62" s="88">
        <f t="shared" si="1"/>
        <v>8.1450773943508803E-2</v>
      </c>
      <c r="N62" s="11">
        <v>-115.73</v>
      </c>
      <c r="O62" s="11">
        <v>0</v>
      </c>
      <c r="P62" s="11"/>
      <c r="Q62" s="105"/>
      <c r="R62" s="12"/>
      <c r="S62" s="12"/>
      <c r="T62" s="12"/>
      <c r="U62" s="12"/>
    </row>
    <row r="63" spans="1:21" s="2" customFormat="1" ht="15.75" hidden="1" x14ac:dyDescent="0.25">
      <c r="A63" s="21"/>
      <c r="C63" s="86" t="s">
        <v>57</v>
      </c>
      <c r="D63" s="86" t="s">
        <v>109</v>
      </c>
      <c r="E63" s="86" t="s">
        <v>69</v>
      </c>
      <c r="F63" s="10">
        <v>42791</v>
      </c>
      <c r="G63" s="86" t="s">
        <v>144</v>
      </c>
      <c r="H63" s="86" t="s">
        <v>15</v>
      </c>
      <c r="I63" s="87">
        <v>9149.76</v>
      </c>
      <c r="J63" s="87">
        <v>4366.08</v>
      </c>
      <c r="K63" s="88">
        <f t="shared" si="0"/>
        <v>0.52282027069562487</v>
      </c>
      <c r="L63" s="87">
        <v>486.18</v>
      </c>
      <c r="M63" s="88">
        <f t="shared" si="1"/>
        <v>5.3135819955933271E-2</v>
      </c>
      <c r="N63" s="11">
        <v>1028.24</v>
      </c>
      <c r="O63" s="11">
        <v>0</v>
      </c>
      <c r="P63" s="11"/>
      <c r="Q63" s="105"/>
      <c r="R63" s="12"/>
      <c r="S63" s="12"/>
      <c r="T63" s="12"/>
      <c r="U63" s="12"/>
    </row>
    <row r="64" spans="1:21" s="2" customFormat="1" ht="15.75" hidden="1" x14ac:dyDescent="0.25">
      <c r="A64" s="21"/>
      <c r="C64" s="86" t="s">
        <v>57</v>
      </c>
      <c r="D64" s="86" t="s">
        <v>109</v>
      </c>
      <c r="E64" s="86" t="s">
        <v>72</v>
      </c>
      <c r="F64" s="10">
        <v>42788</v>
      </c>
      <c r="G64" s="86" t="s">
        <v>145</v>
      </c>
      <c r="H64" s="86" t="s">
        <v>479</v>
      </c>
      <c r="I64" s="87">
        <v>23476.6</v>
      </c>
      <c r="J64" s="87">
        <v>13920.04</v>
      </c>
      <c r="K64" s="88">
        <f t="shared" si="0"/>
        <v>0.40706746292052504</v>
      </c>
      <c r="L64" s="87">
        <v>1295.49</v>
      </c>
      <c r="M64" s="88">
        <f t="shared" si="1"/>
        <v>5.5182181406166146E-2</v>
      </c>
      <c r="N64" s="11">
        <v>-1217.3</v>
      </c>
      <c r="O64" s="11">
        <v>0</v>
      </c>
      <c r="P64" s="11" t="s">
        <v>146</v>
      </c>
      <c r="Q64" s="105"/>
      <c r="R64" s="12"/>
      <c r="S64" s="12"/>
      <c r="T64" s="12"/>
      <c r="U64" s="12"/>
    </row>
    <row r="65" spans="1:21" s="2" customFormat="1" ht="15.75" hidden="1" x14ac:dyDescent="0.25">
      <c r="A65" s="21"/>
      <c r="C65" s="86" t="s">
        <v>57</v>
      </c>
      <c r="D65" s="86" t="s">
        <v>68</v>
      </c>
      <c r="E65" s="86" t="s">
        <v>464</v>
      </c>
      <c r="F65" s="10">
        <v>42815</v>
      </c>
      <c r="G65" s="86" t="s">
        <v>147</v>
      </c>
      <c r="H65" s="86" t="s">
        <v>479</v>
      </c>
      <c r="I65" s="87">
        <v>22560.959999999999</v>
      </c>
      <c r="J65" s="87">
        <v>11895.35</v>
      </c>
      <c r="K65" s="88">
        <f t="shared" si="0"/>
        <v>0.47274628384607742</v>
      </c>
      <c r="L65" s="87">
        <v>193.57</v>
      </c>
      <c r="M65" s="88">
        <f t="shared" si="1"/>
        <v>8.5798653957987608E-3</v>
      </c>
      <c r="N65" s="11">
        <v>-5110.08</v>
      </c>
      <c r="O65" s="11">
        <v>400</v>
      </c>
      <c r="P65" s="11"/>
      <c r="Q65" s="105"/>
      <c r="R65" s="12"/>
      <c r="S65" s="12"/>
      <c r="T65" s="12"/>
      <c r="U65" s="12"/>
    </row>
    <row r="66" spans="1:21" s="2" customFormat="1" ht="15.75" hidden="1" x14ac:dyDescent="0.25">
      <c r="A66" s="21"/>
      <c r="C66" s="86" t="s">
        <v>62</v>
      </c>
      <c r="D66" s="86" t="s">
        <v>74</v>
      </c>
      <c r="E66" s="86" t="s">
        <v>98</v>
      </c>
      <c r="F66" s="10">
        <v>42824</v>
      </c>
      <c r="G66" s="86" t="s">
        <v>148</v>
      </c>
      <c r="H66" s="86" t="s">
        <v>149</v>
      </c>
      <c r="I66" s="87">
        <v>11076.21</v>
      </c>
      <c r="J66" s="87">
        <v>4764.92</v>
      </c>
      <c r="K66" s="88">
        <f t="shared" si="0"/>
        <v>0.56980591736704156</v>
      </c>
      <c r="L66" s="87">
        <v>1086.0999999999999</v>
      </c>
      <c r="M66" s="88">
        <f t="shared" si="1"/>
        <v>9.8057006864261331E-2</v>
      </c>
      <c r="N66" s="11">
        <v>156.21</v>
      </c>
      <c r="O66" s="11">
        <v>0</v>
      </c>
      <c r="P66" s="11"/>
      <c r="Q66" s="105"/>
      <c r="R66" s="12"/>
      <c r="S66" s="12"/>
      <c r="T66" s="12"/>
      <c r="U66" s="12"/>
    </row>
    <row r="67" spans="1:21" s="2" customFormat="1" ht="15.75" hidden="1" x14ac:dyDescent="0.25">
      <c r="A67" s="21"/>
      <c r="C67" s="86" t="s">
        <v>120</v>
      </c>
      <c r="D67" s="86" t="s">
        <v>68</v>
      </c>
      <c r="E67" s="86" t="s">
        <v>69</v>
      </c>
      <c r="F67" s="10">
        <v>42819</v>
      </c>
      <c r="G67" s="86" t="s">
        <v>150</v>
      </c>
      <c r="H67" s="86" t="s">
        <v>15</v>
      </c>
      <c r="I67" s="87">
        <v>7187.03</v>
      </c>
      <c r="J67" s="87">
        <v>3093.23</v>
      </c>
      <c r="K67" s="88">
        <f t="shared" si="0"/>
        <v>0.56960942141607862</v>
      </c>
      <c r="L67" s="87">
        <v>623.41</v>
      </c>
      <c r="M67" s="88">
        <f t="shared" si="1"/>
        <v>8.6740976453416774E-2</v>
      </c>
      <c r="N67" s="11">
        <v>-197.47</v>
      </c>
      <c r="O67" s="11">
        <v>0</v>
      </c>
      <c r="P67" s="11"/>
      <c r="Q67" s="105"/>
      <c r="R67" s="12"/>
      <c r="S67" s="12"/>
      <c r="T67" s="12"/>
      <c r="U67" s="12"/>
    </row>
    <row r="68" spans="1:21" s="2" customFormat="1" ht="15.75" hidden="1" x14ac:dyDescent="0.25">
      <c r="A68" s="21"/>
      <c r="C68" s="86" t="s">
        <v>62</v>
      </c>
      <c r="D68" s="86" t="s">
        <v>109</v>
      </c>
      <c r="E68" s="86" t="s">
        <v>464</v>
      </c>
      <c r="F68" s="10">
        <v>42823</v>
      </c>
      <c r="G68" s="86" t="s">
        <v>151</v>
      </c>
      <c r="H68" s="86" t="s">
        <v>16</v>
      </c>
      <c r="I68" s="87">
        <v>17785.22</v>
      </c>
      <c r="J68" s="87">
        <v>11150.37</v>
      </c>
      <c r="K68" s="88">
        <f t="shared" si="0"/>
        <v>0.37305414270950821</v>
      </c>
      <c r="L68" s="87">
        <v>460.97</v>
      </c>
      <c r="M68" s="88">
        <f t="shared" si="1"/>
        <v>2.5918712279072172E-2</v>
      </c>
      <c r="N68" s="11">
        <v>3167.18</v>
      </c>
      <c r="O68" s="11">
        <v>200</v>
      </c>
      <c r="P68" s="11" t="s">
        <v>152</v>
      </c>
      <c r="Q68" s="105"/>
      <c r="R68" s="12"/>
      <c r="S68" s="12"/>
      <c r="T68" s="12"/>
      <c r="U68" s="12"/>
    </row>
    <row r="69" spans="1:21" s="2" customFormat="1" ht="15.75" hidden="1" x14ac:dyDescent="0.25">
      <c r="A69" s="21"/>
      <c r="C69" s="86" t="s">
        <v>153</v>
      </c>
      <c r="D69" s="86" t="s">
        <v>68</v>
      </c>
      <c r="E69" s="86" t="s">
        <v>477</v>
      </c>
      <c r="F69" s="10">
        <v>42849</v>
      </c>
      <c r="G69" s="86" t="s">
        <v>154</v>
      </c>
      <c r="H69" s="86" t="s">
        <v>149</v>
      </c>
      <c r="I69" s="87">
        <v>4586.59</v>
      </c>
      <c r="J69" s="87">
        <v>2841.94</v>
      </c>
      <c r="K69" s="88">
        <f t="shared" si="0"/>
        <v>0.38038063136229749</v>
      </c>
      <c r="L69" s="87">
        <v>156.19</v>
      </c>
      <c r="M69" s="88">
        <f t="shared" si="1"/>
        <v>3.4053621535825092E-2</v>
      </c>
      <c r="N69" s="11">
        <v>-208.41</v>
      </c>
      <c r="O69" s="11">
        <v>0</v>
      </c>
      <c r="P69" s="11" t="s">
        <v>155</v>
      </c>
      <c r="Q69" s="105"/>
      <c r="R69" s="12"/>
      <c r="S69" s="12"/>
      <c r="T69" s="12"/>
      <c r="U69" s="12"/>
    </row>
    <row r="70" spans="1:21" s="2" customFormat="1" ht="15.75" hidden="1" x14ac:dyDescent="0.25">
      <c r="A70" s="21"/>
      <c r="C70" s="86" t="s">
        <v>57</v>
      </c>
      <c r="D70" s="86" t="s">
        <v>68</v>
      </c>
      <c r="E70" s="86" t="s">
        <v>477</v>
      </c>
      <c r="F70" s="10">
        <v>42804</v>
      </c>
      <c r="G70" s="86" t="s">
        <v>156</v>
      </c>
      <c r="H70" s="86" t="s">
        <v>149</v>
      </c>
      <c r="I70" s="87">
        <v>13017.12</v>
      </c>
      <c r="J70" s="87">
        <v>5758.63</v>
      </c>
      <c r="K70" s="88">
        <f t="shared" si="0"/>
        <v>0.55761105375075293</v>
      </c>
      <c r="L70" s="87">
        <v>1033.8599999999999</v>
      </c>
      <c r="M70" s="88">
        <f t="shared" si="1"/>
        <v>7.9423098196836156E-2</v>
      </c>
      <c r="N70" s="11">
        <v>-407.13</v>
      </c>
      <c r="O70" s="11">
        <v>0</v>
      </c>
      <c r="P70" s="11"/>
      <c r="Q70" s="105"/>
      <c r="R70" s="12"/>
      <c r="S70" s="12"/>
      <c r="T70" s="12"/>
      <c r="U70" s="12"/>
    </row>
    <row r="71" spans="1:21" s="2" customFormat="1" ht="15.75" hidden="1" x14ac:dyDescent="0.25">
      <c r="A71" s="21"/>
      <c r="C71" s="86" t="s">
        <v>57</v>
      </c>
      <c r="D71" s="86" t="s">
        <v>63</v>
      </c>
      <c r="E71" s="86" t="s">
        <v>98</v>
      </c>
      <c r="F71" s="10">
        <v>42835</v>
      </c>
      <c r="G71" s="86" t="s">
        <v>157</v>
      </c>
      <c r="H71" s="86" t="s">
        <v>14</v>
      </c>
      <c r="I71" s="87">
        <v>11788</v>
      </c>
      <c r="J71" s="87">
        <v>8428.75</v>
      </c>
      <c r="K71" s="88">
        <f t="shared" si="0"/>
        <v>0.28497200542925011</v>
      </c>
      <c r="L71" s="87">
        <v>513.29999999999995</v>
      </c>
      <c r="M71" s="88">
        <f t="shared" si="1"/>
        <v>4.3544282321004407E-2</v>
      </c>
      <c r="N71" s="11">
        <v>-547</v>
      </c>
      <c r="O71" s="11">
        <v>0</v>
      </c>
      <c r="P71" s="11" t="s">
        <v>158</v>
      </c>
      <c r="Q71" s="105"/>
      <c r="R71" s="12"/>
      <c r="S71" s="12"/>
      <c r="T71" s="12"/>
      <c r="U71" s="12"/>
    </row>
    <row r="72" spans="1:21" s="2" customFormat="1" ht="15.75" hidden="1" x14ac:dyDescent="0.25">
      <c r="A72" s="21"/>
      <c r="C72" s="86" t="s">
        <v>113</v>
      </c>
      <c r="D72" s="86" t="s">
        <v>63</v>
      </c>
      <c r="E72" s="86" t="s">
        <v>477</v>
      </c>
      <c r="F72" s="10">
        <v>42794</v>
      </c>
      <c r="G72" s="86" t="s">
        <v>159</v>
      </c>
      <c r="H72" s="86" t="s">
        <v>24</v>
      </c>
      <c r="I72" s="87">
        <v>7433.35</v>
      </c>
      <c r="J72" s="87">
        <v>4289.6499999999996</v>
      </c>
      <c r="K72" s="88">
        <f t="shared" si="0"/>
        <v>0.42291833426382458</v>
      </c>
      <c r="L72" s="87">
        <v>219.61</v>
      </c>
      <c r="M72" s="88">
        <f t="shared" si="1"/>
        <v>2.9543879946457519E-2</v>
      </c>
      <c r="N72" s="11">
        <v>-711.15</v>
      </c>
      <c r="O72" s="11">
        <v>0</v>
      </c>
      <c r="P72" s="11"/>
      <c r="Q72" s="105"/>
      <c r="R72" s="12"/>
      <c r="S72" s="12"/>
      <c r="T72" s="12"/>
      <c r="U72" s="12"/>
    </row>
    <row r="73" spans="1:21" s="2" customFormat="1" ht="15.75" hidden="1" x14ac:dyDescent="0.25">
      <c r="A73" s="21"/>
      <c r="C73" s="86" t="s">
        <v>57</v>
      </c>
      <c r="D73" s="86" t="s">
        <v>58</v>
      </c>
      <c r="E73" s="86" t="s">
        <v>477</v>
      </c>
      <c r="F73" s="10">
        <v>42807</v>
      </c>
      <c r="G73" s="86" t="s">
        <v>122</v>
      </c>
      <c r="H73" s="86" t="s">
        <v>29</v>
      </c>
      <c r="I73" s="87">
        <v>14909.73</v>
      </c>
      <c r="J73" s="87">
        <v>6559.46</v>
      </c>
      <c r="K73" s="88">
        <f t="shared" si="0"/>
        <v>0.56005507812683397</v>
      </c>
      <c r="L73" s="87">
        <v>1459.08</v>
      </c>
      <c r="M73" s="88">
        <f t="shared" si="1"/>
        <v>9.7860927059041314E-2</v>
      </c>
      <c r="N73" s="11">
        <v>261.52999999999997</v>
      </c>
      <c r="O73" s="11">
        <v>0</v>
      </c>
      <c r="P73" s="11"/>
      <c r="Q73" s="105"/>
      <c r="R73" s="12"/>
      <c r="S73" s="12"/>
      <c r="T73" s="12"/>
      <c r="U73" s="12"/>
    </row>
    <row r="74" spans="1:21" s="2" customFormat="1" ht="15.75" hidden="1" x14ac:dyDescent="0.25">
      <c r="A74" s="21"/>
      <c r="C74" s="86" t="s">
        <v>386</v>
      </c>
      <c r="D74" s="86" t="s">
        <v>63</v>
      </c>
      <c r="E74" s="86" t="s">
        <v>64</v>
      </c>
      <c r="F74" s="10">
        <v>42851</v>
      </c>
      <c r="G74" s="86" t="s">
        <v>160</v>
      </c>
      <c r="H74" s="86" t="s">
        <v>18</v>
      </c>
      <c r="I74" s="87">
        <v>5651.15</v>
      </c>
      <c r="J74" s="87">
        <v>3226.62</v>
      </c>
      <c r="K74" s="88">
        <f t="shared" si="0"/>
        <v>0.4290330286755793</v>
      </c>
      <c r="L74" s="87">
        <v>790.07</v>
      </c>
      <c r="M74" s="88">
        <f t="shared" si="1"/>
        <v>0.13980694194986862</v>
      </c>
      <c r="N74" s="11">
        <v>1023.78</v>
      </c>
      <c r="O74" s="11">
        <v>0</v>
      </c>
      <c r="P74" s="11" t="s">
        <v>161</v>
      </c>
      <c r="Q74" s="105"/>
      <c r="R74" s="12"/>
      <c r="S74" s="12"/>
      <c r="T74" s="12"/>
      <c r="U74" s="12"/>
    </row>
    <row r="75" spans="1:21" s="2" customFormat="1" ht="15.75" hidden="1" x14ac:dyDescent="0.25">
      <c r="A75" s="21"/>
      <c r="C75" s="86" t="s">
        <v>57</v>
      </c>
      <c r="D75" s="86" t="s">
        <v>74</v>
      </c>
      <c r="E75" s="86" t="s">
        <v>98</v>
      </c>
      <c r="F75" s="10">
        <v>42839</v>
      </c>
      <c r="G75" s="86" t="s">
        <v>162</v>
      </c>
      <c r="H75" s="86" t="s">
        <v>14</v>
      </c>
      <c r="I75" s="87">
        <v>6499.71</v>
      </c>
      <c r="J75" s="87">
        <v>2708.39</v>
      </c>
      <c r="K75" s="88">
        <f t="shared" si="0"/>
        <v>0.58330602442262813</v>
      </c>
      <c r="L75" s="87">
        <v>721.03</v>
      </c>
      <c r="M75" s="88">
        <f t="shared" si="1"/>
        <v>0.11093264161016414</v>
      </c>
      <c r="N75" s="11">
        <v>413.91</v>
      </c>
      <c r="O75" s="11">
        <v>0</v>
      </c>
      <c r="P75" s="11"/>
      <c r="Q75" s="105"/>
      <c r="R75" s="12"/>
      <c r="S75" s="12"/>
      <c r="T75" s="12"/>
      <c r="U75" s="12"/>
    </row>
    <row r="76" spans="1:21" s="2" customFormat="1" ht="15.75" x14ac:dyDescent="0.25">
      <c r="A76" s="21"/>
      <c r="C76" s="86" t="s">
        <v>483</v>
      </c>
      <c r="D76" s="86" t="s">
        <v>121</v>
      </c>
      <c r="E76" s="86" t="s">
        <v>69</v>
      </c>
      <c r="F76" s="10">
        <v>42828</v>
      </c>
      <c r="G76" s="86" t="s">
        <v>163</v>
      </c>
      <c r="H76" s="86" t="s">
        <v>15</v>
      </c>
      <c r="I76" s="87">
        <v>7979.29</v>
      </c>
      <c r="J76" s="87">
        <v>4078.61</v>
      </c>
      <c r="K76" s="88">
        <f t="shared" si="0"/>
        <v>0.48885051176232469</v>
      </c>
      <c r="L76" s="87">
        <v>819.67</v>
      </c>
      <c r="M76" s="88">
        <f t="shared" si="1"/>
        <v>0.10272467851149664</v>
      </c>
      <c r="N76" s="11">
        <v>198.11</v>
      </c>
      <c r="O76" s="11">
        <v>0</v>
      </c>
      <c r="P76" s="11" t="s">
        <v>164</v>
      </c>
      <c r="Q76" s="105"/>
      <c r="R76" s="12"/>
      <c r="S76" s="12"/>
      <c r="T76" s="12"/>
      <c r="U76" s="12"/>
    </row>
    <row r="77" spans="1:21" s="2" customFormat="1" ht="15.75" hidden="1" x14ac:dyDescent="0.25">
      <c r="A77" s="21"/>
      <c r="C77" s="86" t="s">
        <v>62</v>
      </c>
      <c r="D77" s="86" t="s">
        <v>68</v>
      </c>
      <c r="E77" s="86" t="s">
        <v>103</v>
      </c>
      <c r="F77" s="10">
        <v>42826</v>
      </c>
      <c r="G77" s="86" t="s">
        <v>165</v>
      </c>
      <c r="H77" s="86" t="s">
        <v>17</v>
      </c>
      <c r="I77" s="87">
        <v>6915.21</v>
      </c>
      <c r="J77" s="87">
        <v>4057.71</v>
      </c>
      <c r="K77" s="88">
        <f t="shared" si="0"/>
        <v>0.41321955515450726</v>
      </c>
      <c r="L77" s="87">
        <v>371.45</v>
      </c>
      <c r="M77" s="88">
        <f t="shared" si="1"/>
        <v>5.3714926950880738E-2</v>
      </c>
      <c r="N77" s="11">
        <v>-157.59</v>
      </c>
      <c r="O77" s="11">
        <v>0</v>
      </c>
      <c r="P77" s="11" t="s">
        <v>166</v>
      </c>
      <c r="Q77" s="105"/>
      <c r="R77" s="12"/>
      <c r="S77" s="12"/>
      <c r="T77" s="12"/>
      <c r="U77" s="12"/>
    </row>
    <row r="78" spans="1:21" s="2" customFormat="1" ht="15.75" hidden="1" x14ac:dyDescent="0.25">
      <c r="A78" s="21"/>
      <c r="C78" s="86" t="s">
        <v>386</v>
      </c>
      <c r="D78" s="86" t="s">
        <v>63</v>
      </c>
      <c r="E78" s="86" t="s">
        <v>64</v>
      </c>
      <c r="F78" s="10">
        <v>42842</v>
      </c>
      <c r="G78" s="86" t="s">
        <v>167</v>
      </c>
      <c r="H78" s="86" t="s">
        <v>54</v>
      </c>
      <c r="I78" s="87">
        <v>4312.8500000000004</v>
      </c>
      <c r="J78" s="87">
        <v>2438.64</v>
      </c>
      <c r="K78" s="88">
        <f t="shared" si="0"/>
        <v>0.43456415131525566</v>
      </c>
      <c r="L78" s="87">
        <v>354.24</v>
      </c>
      <c r="M78" s="88">
        <f t="shared" si="1"/>
        <v>8.2135942590166586E-2</v>
      </c>
      <c r="N78" s="11">
        <v>-98.9</v>
      </c>
      <c r="O78" s="11">
        <v>0</v>
      </c>
      <c r="P78" s="11" t="s">
        <v>168</v>
      </c>
      <c r="Q78" s="105"/>
      <c r="R78" s="12"/>
      <c r="S78" s="12"/>
      <c r="T78" s="12"/>
      <c r="U78" s="12"/>
    </row>
    <row r="79" spans="1:21" s="2" customFormat="1" ht="15.75" hidden="1" x14ac:dyDescent="0.25">
      <c r="A79" s="21"/>
      <c r="C79" s="86" t="s">
        <v>62</v>
      </c>
      <c r="D79" s="86" t="s">
        <v>74</v>
      </c>
      <c r="E79" s="86" t="s">
        <v>98</v>
      </c>
      <c r="F79" s="10">
        <v>42815</v>
      </c>
      <c r="G79" s="86" t="s">
        <v>169</v>
      </c>
      <c r="H79" s="86" t="s">
        <v>27</v>
      </c>
      <c r="I79" s="87">
        <v>5584.64</v>
      </c>
      <c r="J79" s="87">
        <v>2153.62</v>
      </c>
      <c r="K79" s="88">
        <f t="shared" si="0"/>
        <v>0.61436726449690582</v>
      </c>
      <c r="L79" s="87">
        <v>596.72</v>
      </c>
      <c r="M79" s="88">
        <f t="shared" si="1"/>
        <v>0.1068502177400871</v>
      </c>
      <c r="N79" s="11">
        <v>110.64</v>
      </c>
      <c r="O79" s="11">
        <v>50</v>
      </c>
      <c r="P79" s="11" t="s">
        <v>170</v>
      </c>
      <c r="Q79" s="105"/>
      <c r="R79" s="12"/>
      <c r="S79" s="12"/>
      <c r="T79" s="12"/>
      <c r="U79" s="12"/>
    </row>
    <row r="80" spans="1:21" s="2" customFormat="1" ht="15.75" hidden="1" x14ac:dyDescent="0.25">
      <c r="A80" s="21"/>
      <c r="C80" s="86" t="s">
        <v>57</v>
      </c>
      <c r="D80" s="86" t="s">
        <v>68</v>
      </c>
      <c r="E80" s="86" t="s">
        <v>477</v>
      </c>
      <c r="F80" s="10">
        <v>42849</v>
      </c>
      <c r="G80" s="86" t="s">
        <v>171</v>
      </c>
      <c r="H80" s="86" t="s">
        <v>22</v>
      </c>
      <c r="I80" s="87">
        <v>9597.9500000000007</v>
      </c>
      <c r="J80" s="87">
        <v>4312.6400000000003</v>
      </c>
      <c r="K80" s="88">
        <f t="shared" si="0"/>
        <v>0.55067071614250962</v>
      </c>
      <c r="L80" s="87">
        <v>1193.55</v>
      </c>
      <c r="M80" s="88">
        <f t="shared" si="1"/>
        <v>0.12435467990560482</v>
      </c>
      <c r="N80" s="11">
        <v>806.65</v>
      </c>
      <c r="O80" s="11">
        <v>0</v>
      </c>
      <c r="P80" s="11" t="s">
        <v>172</v>
      </c>
      <c r="Q80" s="105"/>
      <c r="R80" s="12"/>
      <c r="S80" s="12"/>
      <c r="T80" s="12"/>
      <c r="U80" s="12"/>
    </row>
    <row r="81" spans="1:21" s="2" customFormat="1" ht="15.75" hidden="1" x14ac:dyDescent="0.25">
      <c r="A81" s="21"/>
      <c r="C81" s="86" t="s">
        <v>480</v>
      </c>
      <c r="D81" s="86" t="s">
        <v>68</v>
      </c>
      <c r="E81" s="86" t="s">
        <v>72</v>
      </c>
      <c r="F81" s="10">
        <v>42815</v>
      </c>
      <c r="G81" s="86" t="s">
        <v>173</v>
      </c>
      <c r="H81" s="86" t="s">
        <v>479</v>
      </c>
      <c r="I81" s="87">
        <v>26823.040000000001</v>
      </c>
      <c r="J81" s="87">
        <v>12239.5</v>
      </c>
      <c r="K81" s="88">
        <f t="shared" si="0"/>
        <v>0.54369452530361961</v>
      </c>
      <c r="L81" s="87">
        <v>3261.58</v>
      </c>
      <c r="M81" s="88">
        <f t="shared" si="1"/>
        <v>0.12159620982558278</v>
      </c>
      <c r="N81" s="11">
        <v>1491.94</v>
      </c>
      <c r="O81" s="11">
        <v>0</v>
      </c>
      <c r="P81" s="11"/>
      <c r="Q81" s="105"/>
      <c r="R81" s="12"/>
      <c r="S81" s="12"/>
      <c r="T81" s="12"/>
      <c r="U81" s="12"/>
    </row>
    <row r="82" spans="1:21" s="2" customFormat="1" ht="15.75" hidden="1" x14ac:dyDescent="0.25">
      <c r="A82" s="21"/>
      <c r="C82" s="86" t="s">
        <v>120</v>
      </c>
      <c r="D82" s="86" t="s">
        <v>58</v>
      </c>
      <c r="E82" s="86" t="s">
        <v>98</v>
      </c>
      <c r="F82" s="10">
        <v>42857</v>
      </c>
      <c r="G82" s="86" t="s">
        <v>174</v>
      </c>
      <c r="H82" s="86" t="s">
        <v>17</v>
      </c>
      <c r="I82" s="87">
        <v>7193.93</v>
      </c>
      <c r="J82" s="87">
        <v>3563.32</v>
      </c>
      <c r="K82" s="88">
        <f t="shared" si="0"/>
        <v>0.50467685951906671</v>
      </c>
      <c r="L82" s="87">
        <v>1033.1400000000001</v>
      </c>
      <c r="M82" s="88">
        <f t="shared" si="1"/>
        <v>0.14361274018512829</v>
      </c>
      <c r="N82" s="11">
        <v>1298.53</v>
      </c>
      <c r="O82" s="11">
        <v>0</v>
      </c>
      <c r="P82" s="11"/>
      <c r="Q82" s="105"/>
      <c r="R82" s="12"/>
      <c r="S82" s="12"/>
      <c r="T82" s="12"/>
      <c r="U82" s="12"/>
    </row>
    <row r="83" spans="1:21" s="2" customFormat="1" ht="15.75" hidden="1" x14ac:dyDescent="0.25">
      <c r="A83" s="21"/>
      <c r="C83" s="86" t="s">
        <v>57</v>
      </c>
      <c r="D83" s="86" t="s">
        <v>109</v>
      </c>
      <c r="E83" s="86" t="s">
        <v>464</v>
      </c>
      <c r="F83" s="10">
        <v>42828</v>
      </c>
      <c r="G83" s="86" t="s">
        <v>122</v>
      </c>
      <c r="H83" s="86" t="s">
        <v>479</v>
      </c>
      <c r="I83" s="87">
        <v>14178.77</v>
      </c>
      <c r="J83" s="87">
        <v>6750.83</v>
      </c>
      <c r="K83" s="88">
        <f t="shared" si="0"/>
        <v>0.52387760010212459</v>
      </c>
      <c r="L83" s="87">
        <v>1368.88</v>
      </c>
      <c r="M83" s="88">
        <f t="shared" si="1"/>
        <v>9.6544340588076399E-2</v>
      </c>
      <c r="N83" s="11">
        <v>-328.73</v>
      </c>
      <c r="O83" s="11">
        <v>100</v>
      </c>
      <c r="P83" s="11" t="s">
        <v>175</v>
      </c>
      <c r="Q83" s="105"/>
      <c r="R83" s="12"/>
      <c r="S83" s="12"/>
      <c r="T83" s="12"/>
      <c r="U83" s="12"/>
    </row>
    <row r="84" spans="1:21" s="2" customFormat="1" ht="15.75" hidden="1" x14ac:dyDescent="0.25">
      <c r="A84" s="21"/>
      <c r="C84" s="86" t="s">
        <v>57</v>
      </c>
      <c r="D84" s="86" t="s">
        <v>109</v>
      </c>
      <c r="E84" s="86" t="s">
        <v>72</v>
      </c>
      <c r="F84" s="10">
        <v>42825</v>
      </c>
      <c r="G84" s="86" t="s">
        <v>176</v>
      </c>
      <c r="H84" s="86" t="s">
        <v>16</v>
      </c>
      <c r="I84" s="87">
        <v>16349.94</v>
      </c>
      <c r="J84" s="87">
        <v>8687.94</v>
      </c>
      <c r="K84" s="88">
        <f t="shared" si="0"/>
        <v>0.46862557293788232</v>
      </c>
      <c r="L84" s="87">
        <v>1830.82</v>
      </c>
      <c r="M84" s="88">
        <f t="shared" si="1"/>
        <v>0.11197716933517798</v>
      </c>
      <c r="N84" s="11">
        <v>859.64</v>
      </c>
      <c r="O84" s="11">
        <v>0</v>
      </c>
      <c r="P84" s="11"/>
      <c r="Q84" s="105"/>
      <c r="R84" s="12"/>
      <c r="S84" s="12"/>
      <c r="T84" s="12"/>
      <c r="U84" s="12"/>
    </row>
    <row r="85" spans="1:21" s="2" customFormat="1" ht="15.75" hidden="1" x14ac:dyDescent="0.25">
      <c r="A85" s="21"/>
      <c r="C85" s="86" t="s">
        <v>177</v>
      </c>
      <c r="D85" s="86" t="s">
        <v>68</v>
      </c>
      <c r="E85" s="86" t="s">
        <v>64</v>
      </c>
      <c r="F85" s="10">
        <v>42833</v>
      </c>
      <c r="G85" s="86" t="s">
        <v>178</v>
      </c>
      <c r="H85" s="86" t="s">
        <v>14</v>
      </c>
      <c r="I85" s="87">
        <v>11303.06</v>
      </c>
      <c r="J85" s="87">
        <v>7108.84</v>
      </c>
      <c r="K85" s="88">
        <f t="shared" si="0"/>
        <v>0.37106942721705444</v>
      </c>
      <c r="L85" s="87">
        <v>545.24</v>
      </c>
      <c r="M85" s="88">
        <f t="shared" si="1"/>
        <v>4.8238264682307269E-2</v>
      </c>
      <c r="N85" s="11">
        <v>-263.60000000000002</v>
      </c>
      <c r="O85" s="11">
        <v>138.12</v>
      </c>
      <c r="P85" s="11" t="s">
        <v>179</v>
      </c>
      <c r="Q85" s="105"/>
      <c r="R85" s="12"/>
      <c r="S85" s="12"/>
      <c r="T85" s="12"/>
      <c r="U85" s="12"/>
    </row>
    <row r="86" spans="1:21" s="2" customFormat="1" ht="15.75" hidden="1" x14ac:dyDescent="0.25">
      <c r="A86" s="21"/>
      <c r="C86" s="86" t="s">
        <v>480</v>
      </c>
      <c r="D86" s="86" t="s">
        <v>121</v>
      </c>
      <c r="E86" s="86" t="s">
        <v>72</v>
      </c>
      <c r="F86" s="10">
        <v>42832</v>
      </c>
      <c r="G86" s="86" t="s">
        <v>180</v>
      </c>
      <c r="H86" s="86" t="s">
        <v>15</v>
      </c>
      <c r="I86" s="87">
        <v>10340.9</v>
      </c>
      <c r="J86" s="87">
        <v>3779</v>
      </c>
      <c r="K86" s="88">
        <f t="shared" si="0"/>
        <v>0.63455792049047954</v>
      </c>
      <c r="L86" s="87">
        <v>1674.79</v>
      </c>
      <c r="M86" s="88">
        <f t="shared" si="1"/>
        <v>0.16195785666624762</v>
      </c>
      <c r="N86" s="11">
        <v>1645.5</v>
      </c>
      <c r="O86" s="11">
        <v>0</v>
      </c>
      <c r="P86" s="11"/>
      <c r="Q86" s="105"/>
      <c r="R86" s="12"/>
      <c r="S86" s="12"/>
      <c r="T86" s="12"/>
      <c r="U86" s="12"/>
    </row>
    <row r="87" spans="1:21" s="2" customFormat="1" ht="15.75" hidden="1" x14ac:dyDescent="0.25">
      <c r="A87" s="21"/>
      <c r="C87" s="86" t="s">
        <v>57</v>
      </c>
      <c r="D87" s="86" t="s">
        <v>63</v>
      </c>
      <c r="E87" s="86" t="s">
        <v>477</v>
      </c>
      <c r="F87" s="10">
        <v>42839</v>
      </c>
      <c r="G87" s="86" t="s">
        <v>181</v>
      </c>
      <c r="H87" s="86" t="s">
        <v>22</v>
      </c>
      <c r="I87" s="87">
        <v>3331.39</v>
      </c>
      <c r="J87" s="87">
        <v>1637.64</v>
      </c>
      <c r="K87" s="88">
        <f t="shared" si="0"/>
        <v>0.50842140968184446</v>
      </c>
      <c r="L87" s="87">
        <v>403.18</v>
      </c>
      <c r="M87" s="88">
        <f t="shared" si="1"/>
        <v>0.12102455731691576</v>
      </c>
      <c r="N87" s="11">
        <v>219.47</v>
      </c>
      <c r="O87" s="11">
        <v>0</v>
      </c>
      <c r="P87" s="11"/>
      <c r="Q87" s="105"/>
      <c r="R87" s="12"/>
      <c r="S87" s="12"/>
      <c r="T87" s="12"/>
      <c r="U87" s="12"/>
    </row>
    <row r="88" spans="1:21" s="2" customFormat="1" ht="15.75" hidden="1" x14ac:dyDescent="0.25">
      <c r="A88" s="21"/>
      <c r="C88" s="86" t="s">
        <v>57</v>
      </c>
      <c r="D88" s="86" t="s">
        <v>63</v>
      </c>
      <c r="E88" s="86" t="s">
        <v>477</v>
      </c>
      <c r="F88" s="10">
        <v>42809</v>
      </c>
      <c r="G88" s="86" t="s">
        <v>182</v>
      </c>
      <c r="H88" s="86" t="s">
        <v>27</v>
      </c>
      <c r="I88" s="87">
        <v>8945.84</v>
      </c>
      <c r="J88" s="87">
        <v>3443.99</v>
      </c>
      <c r="K88" s="88">
        <f t="shared" si="0"/>
        <v>0.61501770655410781</v>
      </c>
      <c r="L88" s="87">
        <v>605.41999999999996</v>
      </c>
      <c r="M88" s="88">
        <f t="shared" si="1"/>
        <v>6.7676148913908579E-2</v>
      </c>
      <c r="N88" s="11">
        <v>-609.16</v>
      </c>
      <c r="O88" s="11">
        <v>0</v>
      </c>
      <c r="P88" s="11"/>
      <c r="Q88" s="105"/>
      <c r="R88" s="12"/>
      <c r="S88" s="12"/>
      <c r="T88" s="12"/>
      <c r="U88" s="12"/>
    </row>
    <row r="89" spans="1:21" s="2" customFormat="1" ht="15.75" hidden="1" x14ac:dyDescent="0.25">
      <c r="A89" s="21"/>
      <c r="C89" s="86" t="s">
        <v>480</v>
      </c>
      <c r="D89" s="86" t="s">
        <v>121</v>
      </c>
      <c r="E89" s="86" t="s">
        <v>69</v>
      </c>
      <c r="F89" s="10">
        <v>42829</v>
      </c>
      <c r="G89" s="86" t="s">
        <v>183</v>
      </c>
      <c r="H89" s="86" t="s">
        <v>15</v>
      </c>
      <c r="I89" s="87">
        <v>9300.2900000000009</v>
      </c>
      <c r="J89" s="87">
        <v>3374.98</v>
      </c>
      <c r="K89" s="88">
        <f t="shared" si="0"/>
        <v>0.63711024064840993</v>
      </c>
      <c r="L89" s="87">
        <v>1947.17</v>
      </c>
      <c r="M89" s="88">
        <f t="shared" si="1"/>
        <v>0.20936658964397883</v>
      </c>
      <c r="N89" s="11">
        <v>2586.59</v>
      </c>
      <c r="O89" s="11">
        <v>0</v>
      </c>
      <c r="P89" s="11"/>
      <c r="Q89" s="105"/>
      <c r="R89" s="12"/>
      <c r="S89" s="12"/>
      <c r="T89" s="12"/>
      <c r="U89" s="12"/>
    </row>
    <row r="90" spans="1:21" s="2" customFormat="1" ht="15.75" hidden="1" x14ac:dyDescent="0.25">
      <c r="A90" s="21"/>
      <c r="C90" s="86" t="s">
        <v>177</v>
      </c>
      <c r="D90" s="86" t="s">
        <v>68</v>
      </c>
      <c r="E90" s="86" t="s">
        <v>72</v>
      </c>
      <c r="F90" s="10">
        <v>42843</v>
      </c>
      <c r="G90" s="86" t="s">
        <v>184</v>
      </c>
      <c r="H90" s="86" t="s">
        <v>15</v>
      </c>
      <c r="I90" s="87">
        <v>9500.06</v>
      </c>
      <c r="J90" s="87">
        <v>4570.75</v>
      </c>
      <c r="K90" s="88">
        <f t="shared" si="0"/>
        <v>0.51887145975920146</v>
      </c>
      <c r="L90" s="87">
        <v>909.51</v>
      </c>
      <c r="M90" s="88">
        <f t="shared" si="1"/>
        <v>9.573729008027318E-2</v>
      </c>
      <c r="N90" s="11">
        <v>363.31</v>
      </c>
      <c r="O90" s="11">
        <v>0</v>
      </c>
      <c r="P90" s="11"/>
      <c r="Q90" s="105"/>
      <c r="R90" s="12"/>
      <c r="S90" s="12"/>
      <c r="T90" s="12"/>
      <c r="U90" s="12"/>
    </row>
    <row r="91" spans="1:21" s="2" customFormat="1" ht="15.75" hidden="1" x14ac:dyDescent="0.25">
      <c r="A91" s="21"/>
      <c r="C91" s="86" t="s">
        <v>62</v>
      </c>
      <c r="D91" s="86" t="s">
        <v>74</v>
      </c>
      <c r="E91" s="86" t="s">
        <v>477</v>
      </c>
      <c r="F91" s="10">
        <v>42846</v>
      </c>
      <c r="G91" s="86" t="s">
        <v>185</v>
      </c>
      <c r="H91" s="86" t="s">
        <v>14</v>
      </c>
      <c r="I91" s="87">
        <v>8190.81</v>
      </c>
      <c r="J91" s="87">
        <v>4247.25</v>
      </c>
      <c r="K91" s="88">
        <f t="shared" si="0"/>
        <v>0.48146154043373002</v>
      </c>
      <c r="L91" s="87">
        <v>485.08</v>
      </c>
      <c r="M91" s="88">
        <f t="shared" si="1"/>
        <v>5.9222470060958557E-2</v>
      </c>
      <c r="N91" s="11">
        <v>-729.99</v>
      </c>
      <c r="O91" s="11">
        <v>0</v>
      </c>
      <c r="P91" s="11"/>
      <c r="Q91" s="105"/>
      <c r="R91" s="12"/>
      <c r="S91" s="12"/>
      <c r="T91" s="12"/>
      <c r="U91" s="12"/>
    </row>
    <row r="92" spans="1:21" s="2" customFormat="1" ht="15.75" hidden="1" x14ac:dyDescent="0.25">
      <c r="A92" s="21"/>
      <c r="C92" s="86" t="s">
        <v>62</v>
      </c>
      <c r="D92" s="86" t="s">
        <v>63</v>
      </c>
      <c r="E92" s="86" t="s">
        <v>98</v>
      </c>
      <c r="F92" s="10">
        <v>42837</v>
      </c>
      <c r="G92" s="86" t="s">
        <v>186</v>
      </c>
      <c r="H92" s="86" t="s">
        <v>19</v>
      </c>
      <c r="I92" s="87">
        <v>15795.56</v>
      </c>
      <c r="J92" s="87">
        <v>8721.39</v>
      </c>
      <c r="K92" s="88">
        <f t="shared" si="0"/>
        <v>0.4478581322852751</v>
      </c>
      <c r="L92" s="87">
        <v>1346.62</v>
      </c>
      <c r="M92" s="88">
        <f t="shared" si="1"/>
        <v>8.5253071116187074E-2</v>
      </c>
      <c r="N92" s="11">
        <v>-358.34</v>
      </c>
      <c r="O92" s="11">
        <v>0</v>
      </c>
      <c r="P92" s="11" t="s">
        <v>187</v>
      </c>
      <c r="Q92" s="105"/>
      <c r="R92" s="12"/>
      <c r="S92" s="12"/>
      <c r="T92" s="12"/>
      <c r="U92" s="12"/>
    </row>
    <row r="93" spans="1:21" s="2" customFormat="1" ht="15.75" hidden="1" x14ac:dyDescent="0.25">
      <c r="A93" s="21"/>
      <c r="C93" s="86" t="s">
        <v>386</v>
      </c>
      <c r="D93" s="86" t="s">
        <v>188</v>
      </c>
      <c r="E93" s="86" t="s">
        <v>69</v>
      </c>
      <c r="F93" s="10">
        <v>42857</v>
      </c>
      <c r="G93" s="110" t="s">
        <v>189</v>
      </c>
      <c r="H93" s="86" t="s">
        <v>15</v>
      </c>
      <c r="I93" s="87">
        <v>6608.81</v>
      </c>
      <c r="J93" s="87">
        <v>3476.36</v>
      </c>
      <c r="K93" s="88">
        <f t="shared" si="0"/>
        <v>0.47398094361919924</v>
      </c>
      <c r="L93" s="87">
        <v>709.7</v>
      </c>
      <c r="M93" s="88">
        <f t="shared" si="1"/>
        <v>0.107386957712508</v>
      </c>
      <c r="N93" s="11">
        <v>219.71</v>
      </c>
      <c r="O93" s="11">
        <v>0</v>
      </c>
      <c r="P93" s="11" t="s">
        <v>190</v>
      </c>
      <c r="Q93" s="105"/>
      <c r="R93" s="12"/>
      <c r="S93" s="12"/>
      <c r="T93" s="12"/>
      <c r="U93" s="12"/>
    </row>
    <row r="94" spans="1:21" s="2" customFormat="1" ht="15.75" hidden="1" x14ac:dyDescent="0.25">
      <c r="A94" s="21"/>
      <c r="C94" s="86" t="s">
        <v>62</v>
      </c>
      <c r="D94" s="86" t="s">
        <v>68</v>
      </c>
      <c r="E94" s="86" t="s">
        <v>98</v>
      </c>
      <c r="F94" s="10">
        <v>42839</v>
      </c>
      <c r="G94" s="110" t="s">
        <v>191</v>
      </c>
      <c r="H94" s="86" t="s">
        <v>17</v>
      </c>
      <c r="I94" s="87">
        <v>5587.26</v>
      </c>
      <c r="J94" s="87">
        <v>3473.15</v>
      </c>
      <c r="K94" s="88">
        <f t="shared" si="0"/>
        <v>0.37838045840000289</v>
      </c>
      <c r="L94" s="87">
        <v>389.83</v>
      </c>
      <c r="M94" s="88">
        <f t="shared" si="1"/>
        <v>6.9771229547219926E-2</v>
      </c>
      <c r="N94" s="11">
        <v>55.16</v>
      </c>
      <c r="O94" s="11">
        <v>0</v>
      </c>
      <c r="P94" s="11" t="s">
        <v>192</v>
      </c>
      <c r="Q94" s="105"/>
      <c r="R94" s="12"/>
      <c r="S94" s="12"/>
      <c r="T94" s="12"/>
      <c r="U94" s="12"/>
    </row>
    <row r="95" spans="1:21" s="2" customFormat="1" ht="15.75" hidden="1" x14ac:dyDescent="0.25">
      <c r="A95" s="21"/>
      <c r="C95" s="86" t="s">
        <v>57</v>
      </c>
      <c r="D95" s="86" t="s">
        <v>74</v>
      </c>
      <c r="E95" s="86" t="s">
        <v>464</v>
      </c>
      <c r="F95" s="10">
        <v>42812</v>
      </c>
      <c r="G95" s="86" t="s">
        <v>193</v>
      </c>
      <c r="H95" s="86" t="s">
        <v>479</v>
      </c>
      <c r="I95" s="87">
        <v>15954.61</v>
      </c>
      <c r="J95" s="87">
        <v>7185.86</v>
      </c>
      <c r="K95" s="88">
        <f t="shared" si="0"/>
        <v>0.5496060386308409</v>
      </c>
      <c r="L95" s="87">
        <v>1716.53</v>
      </c>
      <c r="M95" s="88">
        <f t="shared" si="1"/>
        <v>0.10758833967110445</v>
      </c>
      <c r="N95" s="11">
        <v>346.43</v>
      </c>
      <c r="O95" s="11">
        <v>0</v>
      </c>
      <c r="P95" s="11"/>
      <c r="Q95" s="105"/>
      <c r="R95" s="12"/>
      <c r="S95" s="12"/>
      <c r="T95" s="12"/>
      <c r="U95" s="12"/>
    </row>
    <row r="96" spans="1:21" s="2" customFormat="1" ht="15.75" hidden="1" x14ac:dyDescent="0.25">
      <c r="A96" s="21"/>
      <c r="C96" s="86" t="s">
        <v>57</v>
      </c>
      <c r="D96" s="86" t="s">
        <v>63</v>
      </c>
      <c r="E96" s="86" t="s">
        <v>66</v>
      </c>
      <c r="F96" s="10">
        <v>42773</v>
      </c>
      <c r="G96" s="86" t="s">
        <v>194</v>
      </c>
      <c r="H96" s="86" t="s">
        <v>18</v>
      </c>
      <c r="I96" s="87">
        <v>20626.669999999998</v>
      </c>
      <c r="J96" s="87">
        <v>10063.1</v>
      </c>
      <c r="K96" s="88">
        <f t="shared" si="0"/>
        <v>0.51213162376670585</v>
      </c>
      <c r="L96" s="87">
        <v>2470.58</v>
      </c>
      <c r="M96" s="88">
        <f t="shared" si="1"/>
        <v>0.11977599874337448</v>
      </c>
      <c r="N96" s="11">
        <v>1243.27</v>
      </c>
      <c r="O96" s="11">
        <v>0</v>
      </c>
      <c r="P96" s="11"/>
      <c r="Q96" s="105"/>
      <c r="R96" s="12"/>
      <c r="S96" s="12"/>
      <c r="T96" s="12"/>
      <c r="U96" s="12"/>
    </row>
    <row r="97" spans="1:21" s="2" customFormat="1" ht="15.75" hidden="1" x14ac:dyDescent="0.25">
      <c r="A97" s="21"/>
      <c r="C97" s="86" t="s">
        <v>177</v>
      </c>
      <c r="D97" s="86" t="s">
        <v>68</v>
      </c>
      <c r="E97" s="86" t="s">
        <v>72</v>
      </c>
      <c r="F97" s="10">
        <v>42830</v>
      </c>
      <c r="G97" s="86" t="s">
        <v>195</v>
      </c>
      <c r="H97" s="86" t="s">
        <v>479</v>
      </c>
      <c r="I97" s="87">
        <v>18668.830000000002</v>
      </c>
      <c r="J97" s="87">
        <v>8408.98</v>
      </c>
      <c r="K97" s="88">
        <f t="shared" si="0"/>
        <v>0.54957113006010561</v>
      </c>
      <c r="L97" s="87">
        <v>1594.72</v>
      </c>
      <c r="M97" s="88">
        <f t="shared" si="1"/>
        <v>8.5421528826391369E-2</v>
      </c>
      <c r="N97" s="11">
        <v>-163.97</v>
      </c>
      <c r="O97" s="11">
        <v>0</v>
      </c>
      <c r="P97" s="11"/>
      <c r="Q97" s="105"/>
      <c r="R97" s="12"/>
      <c r="S97" s="12"/>
      <c r="T97" s="12"/>
      <c r="U97" s="12"/>
    </row>
    <row r="98" spans="1:21" s="2" customFormat="1" ht="15.75" hidden="1" x14ac:dyDescent="0.25">
      <c r="A98" s="21"/>
      <c r="C98" s="86" t="s">
        <v>57</v>
      </c>
      <c r="D98" s="86" t="s">
        <v>74</v>
      </c>
      <c r="E98" s="86" t="s">
        <v>66</v>
      </c>
      <c r="F98" s="10">
        <v>42856</v>
      </c>
      <c r="G98" s="86" t="s">
        <v>196</v>
      </c>
      <c r="H98" s="86" t="s">
        <v>18</v>
      </c>
      <c r="I98" s="87">
        <v>4100.17</v>
      </c>
      <c r="J98" s="87">
        <v>1782.32</v>
      </c>
      <c r="K98" s="88">
        <f t="shared" si="0"/>
        <v>0.56530582878270907</v>
      </c>
      <c r="L98" s="87">
        <v>578.27</v>
      </c>
      <c r="M98" s="88">
        <f t="shared" si="1"/>
        <v>0.14103561559642649</v>
      </c>
      <c r="N98" s="11">
        <v>726.87</v>
      </c>
      <c r="O98" s="11">
        <v>0</v>
      </c>
      <c r="P98" s="11"/>
      <c r="Q98" s="105"/>
      <c r="R98" s="12"/>
      <c r="S98" s="12"/>
      <c r="T98" s="12"/>
      <c r="U98" s="12"/>
    </row>
    <row r="99" spans="1:21" s="2" customFormat="1" ht="15.75" hidden="1" x14ac:dyDescent="0.25">
      <c r="A99" s="21"/>
      <c r="C99" s="86" t="s">
        <v>57</v>
      </c>
      <c r="D99" s="86" t="s">
        <v>74</v>
      </c>
      <c r="E99" s="86" t="s">
        <v>477</v>
      </c>
      <c r="F99" s="10">
        <v>42856</v>
      </c>
      <c r="G99" s="86" t="s">
        <v>196</v>
      </c>
      <c r="H99" s="86" t="s">
        <v>17</v>
      </c>
      <c r="I99" s="87">
        <v>9877.69</v>
      </c>
      <c r="J99" s="87">
        <v>5228.38</v>
      </c>
      <c r="K99" s="88">
        <f t="shared" si="0"/>
        <v>0.47068798474137175</v>
      </c>
      <c r="L99" s="87">
        <v>1165.92</v>
      </c>
      <c r="M99" s="88">
        <f t="shared" si="1"/>
        <v>0.11803569458041303</v>
      </c>
      <c r="N99" s="11">
        <v>718.37</v>
      </c>
      <c r="O99" s="11">
        <v>0</v>
      </c>
      <c r="P99" s="11" t="s">
        <v>197</v>
      </c>
      <c r="Q99" s="105"/>
      <c r="R99" s="12"/>
      <c r="S99" s="12"/>
      <c r="T99" s="12"/>
      <c r="U99" s="12"/>
    </row>
    <row r="100" spans="1:21" s="2" customFormat="1" ht="15.75" hidden="1" x14ac:dyDescent="0.25">
      <c r="A100" s="21"/>
      <c r="C100" s="86" t="s">
        <v>57</v>
      </c>
      <c r="D100" s="86" t="s">
        <v>58</v>
      </c>
      <c r="E100" s="86" t="s">
        <v>98</v>
      </c>
      <c r="F100" s="10">
        <v>42853</v>
      </c>
      <c r="G100" s="86" t="s">
        <v>198</v>
      </c>
      <c r="H100" s="86" t="s">
        <v>17</v>
      </c>
      <c r="I100" s="87">
        <v>4203.1000000000004</v>
      </c>
      <c r="J100" s="87">
        <v>1577.68</v>
      </c>
      <c r="K100" s="88">
        <f t="shared" si="0"/>
        <v>0.62463895696033878</v>
      </c>
      <c r="L100" s="87">
        <v>648.35</v>
      </c>
      <c r="M100" s="88">
        <f t="shared" si="1"/>
        <v>0.15425519259594109</v>
      </c>
      <c r="N100" s="11">
        <v>717.11</v>
      </c>
      <c r="O100" s="11">
        <v>0</v>
      </c>
      <c r="P100" s="11"/>
      <c r="Q100" s="105"/>
      <c r="R100" s="12"/>
      <c r="S100" s="12"/>
      <c r="T100" s="12"/>
      <c r="U100" s="12"/>
    </row>
    <row r="101" spans="1:21" s="2" customFormat="1" ht="15.75" hidden="1" x14ac:dyDescent="0.25">
      <c r="A101" s="21"/>
      <c r="C101" s="86" t="s">
        <v>62</v>
      </c>
      <c r="D101" s="86" t="s">
        <v>74</v>
      </c>
      <c r="E101" s="86" t="s">
        <v>98</v>
      </c>
      <c r="F101" s="10">
        <v>42870</v>
      </c>
      <c r="G101" s="86" t="s">
        <v>199</v>
      </c>
      <c r="H101" s="86" t="s">
        <v>14</v>
      </c>
      <c r="I101" s="87">
        <v>16125.65</v>
      </c>
      <c r="J101" s="87">
        <v>7920.51</v>
      </c>
      <c r="K101" s="88">
        <f t="shared" si="0"/>
        <v>0.50882538068232908</v>
      </c>
      <c r="L101" s="87">
        <v>1249.8699999999999</v>
      </c>
      <c r="M101" s="88">
        <f t="shared" si="1"/>
        <v>7.7508193468170269E-2</v>
      </c>
      <c r="N101" s="11">
        <v>-38.75</v>
      </c>
      <c r="O101" s="11">
        <v>0</v>
      </c>
      <c r="P101" s="11"/>
      <c r="Q101" s="105"/>
      <c r="R101" s="12"/>
      <c r="S101" s="12"/>
      <c r="T101" s="12"/>
      <c r="U101" s="12"/>
    </row>
    <row r="102" spans="1:21" s="2" customFormat="1" ht="15.75" hidden="1" x14ac:dyDescent="0.25">
      <c r="A102" s="21"/>
      <c r="C102" s="86" t="s">
        <v>57</v>
      </c>
      <c r="D102" s="86" t="s">
        <v>63</v>
      </c>
      <c r="E102" s="86" t="s">
        <v>66</v>
      </c>
      <c r="F102" s="10">
        <v>42867</v>
      </c>
      <c r="G102" s="86" t="s">
        <v>200</v>
      </c>
      <c r="H102" s="86" t="s">
        <v>54</v>
      </c>
      <c r="I102" s="87">
        <v>12761.79</v>
      </c>
      <c r="J102" s="87">
        <v>7782.9</v>
      </c>
      <c r="K102" s="88">
        <f t="shared" si="0"/>
        <v>0.39014041133728111</v>
      </c>
      <c r="L102" s="87">
        <v>381</v>
      </c>
      <c r="M102" s="88">
        <f t="shared" si="1"/>
        <v>2.9854746081858421E-2</v>
      </c>
      <c r="N102" s="11">
        <v>-3903.81</v>
      </c>
      <c r="O102" s="11">
        <v>690.84</v>
      </c>
      <c r="P102" s="11" t="s">
        <v>201</v>
      </c>
      <c r="Q102" s="105"/>
      <c r="R102" s="12"/>
      <c r="S102" s="12"/>
      <c r="T102" s="12"/>
      <c r="U102" s="12"/>
    </row>
    <row r="103" spans="1:21" s="2" customFormat="1" ht="15.75" hidden="1" x14ac:dyDescent="0.25">
      <c r="A103" s="21"/>
      <c r="C103" s="86" t="s">
        <v>57</v>
      </c>
      <c r="D103" s="86" t="s">
        <v>121</v>
      </c>
      <c r="E103" s="86" t="s">
        <v>72</v>
      </c>
      <c r="F103" s="10">
        <v>42831</v>
      </c>
      <c r="G103" s="86" t="s">
        <v>202</v>
      </c>
      <c r="H103" s="86" t="s">
        <v>15</v>
      </c>
      <c r="I103" s="87">
        <v>11705.07</v>
      </c>
      <c r="J103" s="87">
        <v>6909.76</v>
      </c>
      <c r="K103" s="88">
        <f t="shared" si="0"/>
        <v>0.40967802840991124</v>
      </c>
      <c r="L103" s="87">
        <v>939.98</v>
      </c>
      <c r="M103" s="88">
        <f t="shared" si="1"/>
        <v>8.0305371945661161E-2</v>
      </c>
      <c r="N103" s="11">
        <v>-532.55999999999995</v>
      </c>
      <c r="O103" s="11">
        <v>0</v>
      </c>
      <c r="P103" s="11" t="s">
        <v>203</v>
      </c>
      <c r="Q103" s="105"/>
      <c r="R103" s="12"/>
      <c r="S103" s="12"/>
      <c r="T103" s="12"/>
      <c r="U103" s="12"/>
    </row>
    <row r="104" spans="1:21" s="2" customFormat="1" ht="15.75" hidden="1" x14ac:dyDescent="0.25">
      <c r="A104" s="21"/>
      <c r="C104" s="86" t="s">
        <v>57</v>
      </c>
      <c r="D104" s="86" t="s">
        <v>74</v>
      </c>
      <c r="E104" s="86" t="s">
        <v>477</v>
      </c>
      <c r="F104" s="10">
        <v>42821</v>
      </c>
      <c r="G104" s="86" t="s">
        <v>204</v>
      </c>
      <c r="H104" s="86" t="s">
        <v>17</v>
      </c>
      <c r="I104" s="87">
        <v>8386.7199999999993</v>
      </c>
      <c r="J104" s="87">
        <v>6831.75</v>
      </c>
      <c r="K104" s="88">
        <f t="shared" si="0"/>
        <v>0.18540859835549528</v>
      </c>
      <c r="L104" s="87">
        <v>894.32</v>
      </c>
      <c r="M104" s="88">
        <f t="shared" si="1"/>
        <v>0.10663525192208637</v>
      </c>
      <c r="N104" s="11">
        <v>-2792.08</v>
      </c>
      <c r="O104" s="11">
        <v>1530.74</v>
      </c>
      <c r="P104" s="11" t="s">
        <v>205</v>
      </c>
      <c r="Q104" s="105"/>
      <c r="R104" s="12"/>
      <c r="S104" s="12"/>
      <c r="T104" s="12"/>
      <c r="U104" s="12"/>
    </row>
    <row r="105" spans="1:21" s="2" customFormat="1" ht="15.75" x14ac:dyDescent="0.25">
      <c r="A105" s="21"/>
      <c r="C105" s="86" t="s">
        <v>483</v>
      </c>
      <c r="D105" s="86" t="s">
        <v>109</v>
      </c>
      <c r="E105" s="86" t="s">
        <v>69</v>
      </c>
      <c r="F105" s="10">
        <v>42847</v>
      </c>
      <c r="G105" s="86" t="s">
        <v>206</v>
      </c>
      <c r="H105" s="86" t="s">
        <v>15</v>
      </c>
      <c r="I105" s="87">
        <v>17600</v>
      </c>
      <c r="J105" s="87">
        <v>9930.7099999999991</v>
      </c>
      <c r="K105" s="88">
        <f t="shared" si="0"/>
        <v>0.43575511363636371</v>
      </c>
      <c r="L105" s="87">
        <v>962.1</v>
      </c>
      <c r="M105" s="88">
        <f t="shared" si="1"/>
        <v>5.4664772727272729E-2</v>
      </c>
      <c r="N105" s="11">
        <v>-1541.5</v>
      </c>
      <c r="O105" s="11">
        <v>0</v>
      </c>
      <c r="P105" s="11" t="s">
        <v>207</v>
      </c>
      <c r="Q105" s="105"/>
      <c r="R105" s="12"/>
      <c r="S105" s="12"/>
      <c r="T105" s="12"/>
      <c r="U105" s="12"/>
    </row>
    <row r="106" spans="1:21" s="2" customFormat="1" ht="15.75" hidden="1" x14ac:dyDescent="0.25">
      <c r="A106" s="21"/>
      <c r="C106" s="86" t="s">
        <v>113</v>
      </c>
      <c r="D106" s="86" t="s">
        <v>121</v>
      </c>
      <c r="E106" s="86" t="s">
        <v>103</v>
      </c>
      <c r="F106" s="10">
        <v>42899</v>
      </c>
      <c r="G106" s="86" t="s">
        <v>208</v>
      </c>
      <c r="H106" s="86" t="s">
        <v>24</v>
      </c>
      <c r="I106" s="87">
        <v>8090.48</v>
      </c>
      <c r="J106" s="87">
        <v>2852.4</v>
      </c>
      <c r="K106" s="88">
        <f t="shared" si="0"/>
        <v>0.64743748207770124</v>
      </c>
      <c r="L106" s="87">
        <v>854.08</v>
      </c>
      <c r="M106" s="88">
        <f t="shared" si="1"/>
        <v>0.10556604799715222</v>
      </c>
      <c r="N106" s="11">
        <v>217.58</v>
      </c>
      <c r="O106" s="11">
        <v>0</v>
      </c>
      <c r="P106" s="11"/>
      <c r="Q106" s="105"/>
      <c r="R106" s="12"/>
      <c r="S106" s="12"/>
      <c r="T106" s="12"/>
      <c r="U106" s="12"/>
    </row>
    <row r="107" spans="1:21" s="2" customFormat="1" ht="15.75" hidden="1" x14ac:dyDescent="0.25">
      <c r="A107" s="21"/>
      <c r="C107" s="86" t="s">
        <v>57</v>
      </c>
      <c r="D107" s="86" t="s">
        <v>74</v>
      </c>
      <c r="E107" s="86" t="s">
        <v>66</v>
      </c>
      <c r="F107" s="10">
        <v>42889</v>
      </c>
      <c r="G107" s="86" t="s">
        <v>209</v>
      </c>
      <c r="H107" s="86" t="s">
        <v>22</v>
      </c>
      <c r="I107" s="87">
        <v>13511.94</v>
      </c>
      <c r="J107" s="87">
        <v>4693.83</v>
      </c>
      <c r="K107" s="88">
        <f t="shared" si="0"/>
        <v>0.65261613062224966</v>
      </c>
      <c r="L107" s="87">
        <v>1207</v>
      </c>
      <c r="M107" s="88">
        <f t="shared" si="1"/>
        <v>8.9328401399058899E-2</v>
      </c>
      <c r="N107" s="11">
        <v>-16.96</v>
      </c>
      <c r="O107" s="11">
        <v>0</v>
      </c>
      <c r="P107" s="11"/>
      <c r="Q107" s="105"/>
      <c r="R107" s="12"/>
      <c r="S107" s="12"/>
      <c r="T107" s="12"/>
      <c r="U107" s="12"/>
    </row>
    <row r="108" spans="1:21" s="2" customFormat="1" ht="15.75" hidden="1" x14ac:dyDescent="0.25">
      <c r="A108" s="21"/>
      <c r="C108" s="86" t="s">
        <v>57</v>
      </c>
      <c r="D108" s="86" t="s">
        <v>210</v>
      </c>
      <c r="E108" s="86" t="s">
        <v>72</v>
      </c>
      <c r="F108" s="10">
        <v>42928</v>
      </c>
      <c r="G108" s="86" t="s">
        <v>211</v>
      </c>
      <c r="H108" s="86" t="s">
        <v>15</v>
      </c>
      <c r="I108" s="87">
        <v>1000.93</v>
      </c>
      <c r="J108" s="87">
        <v>454.15</v>
      </c>
      <c r="K108" s="88">
        <f t="shared" si="0"/>
        <v>0.54627196707062431</v>
      </c>
      <c r="L108" s="87">
        <v>0</v>
      </c>
      <c r="M108" s="88">
        <f t="shared" si="1"/>
        <v>0</v>
      </c>
      <c r="N108" s="11">
        <v>0</v>
      </c>
      <c r="O108" s="11">
        <v>0</v>
      </c>
      <c r="P108" s="11" t="s">
        <v>212</v>
      </c>
      <c r="Q108" s="105"/>
      <c r="R108" s="12"/>
      <c r="S108" s="12"/>
      <c r="T108" s="12"/>
      <c r="U108" s="12"/>
    </row>
    <row r="109" spans="1:21" s="2" customFormat="1" ht="15.75" hidden="1" x14ac:dyDescent="0.25">
      <c r="A109" s="21"/>
      <c r="C109" s="86" t="s">
        <v>57</v>
      </c>
      <c r="D109" s="86" t="s">
        <v>109</v>
      </c>
      <c r="E109" s="86" t="s">
        <v>69</v>
      </c>
      <c r="F109" s="10">
        <v>42923</v>
      </c>
      <c r="G109" s="86" t="s">
        <v>213</v>
      </c>
      <c r="H109" s="86" t="s">
        <v>54</v>
      </c>
      <c r="I109" s="87">
        <v>1220.47</v>
      </c>
      <c r="J109" s="87">
        <v>628.79</v>
      </c>
      <c r="K109" s="88">
        <f t="shared" si="0"/>
        <v>0.48479684056142308</v>
      </c>
      <c r="L109" s="87">
        <v>268.35000000000002</v>
      </c>
      <c r="M109" s="88">
        <f t="shared" si="1"/>
        <v>0.21987431071636337</v>
      </c>
      <c r="N109" s="11">
        <v>365.77</v>
      </c>
      <c r="O109" s="11">
        <v>0</v>
      </c>
      <c r="P109" s="11" t="s">
        <v>214</v>
      </c>
      <c r="Q109" s="105"/>
      <c r="R109" s="12"/>
      <c r="S109" s="12"/>
      <c r="T109" s="12"/>
      <c r="U109" s="12"/>
    </row>
    <row r="110" spans="1:21" s="2" customFormat="1" ht="15.75" hidden="1" x14ac:dyDescent="0.25">
      <c r="A110" s="21"/>
      <c r="C110" s="86" t="s">
        <v>62</v>
      </c>
      <c r="D110" s="86" t="s">
        <v>74</v>
      </c>
      <c r="E110" s="86" t="s">
        <v>210</v>
      </c>
      <c r="F110" s="10">
        <v>42832</v>
      </c>
      <c r="G110" s="86" t="s">
        <v>215</v>
      </c>
      <c r="H110" s="86" t="s">
        <v>29</v>
      </c>
      <c r="I110" s="87">
        <v>3251.52</v>
      </c>
      <c r="J110" s="87">
        <v>719.61</v>
      </c>
      <c r="K110" s="88">
        <f t="shared" si="0"/>
        <v>0.77868504576321229</v>
      </c>
      <c r="L110" s="87">
        <v>378.02</v>
      </c>
      <c r="M110" s="88">
        <f t="shared" si="1"/>
        <v>0.11625947249286488</v>
      </c>
      <c r="N110" s="11">
        <v>175.93</v>
      </c>
      <c r="O110" s="11">
        <v>0</v>
      </c>
      <c r="P110" s="11" t="s">
        <v>216</v>
      </c>
      <c r="Q110" s="105"/>
      <c r="R110" s="12"/>
      <c r="S110" s="12"/>
      <c r="T110" s="12"/>
      <c r="U110" s="12"/>
    </row>
    <row r="111" spans="1:21" s="2" customFormat="1" ht="15.75" hidden="1" x14ac:dyDescent="0.25">
      <c r="A111" s="21"/>
      <c r="C111" s="86" t="s">
        <v>57</v>
      </c>
      <c r="D111" s="86" t="s">
        <v>68</v>
      </c>
      <c r="E111" s="86" t="s">
        <v>103</v>
      </c>
      <c r="F111" s="10">
        <v>42886</v>
      </c>
      <c r="G111" s="86" t="s">
        <v>217</v>
      </c>
      <c r="H111" s="86" t="s">
        <v>24</v>
      </c>
      <c r="I111" s="87">
        <v>6843.56</v>
      </c>
      <c r="J111" s="87">
        <v>3274.53</v>
      </c>
      <c r="K111" s="88">
        <f t="shared" si="0"/>
        <v>0.52151657909041493</v>
      </c>
      <c r="L111" s="87">
        <v>600.78</v>
      </c>
      <c r="M111" s="88">
        <f t="shared" si="1"/>
        <v>8.77876426888929E-2</v>
      </c>
      <c r="N111" s="11">
        <v>-103.94</v>
      </c>
      <c r="O111" s="11">
        <v>0</v>
      </c>
      <c r="P111" s="11"/>
      <c r="Q111" s="105"/>
      <c r="R111" s="12"/>
      <c r="S111" s="12"/>
      <c r="T111" s="12"/>
      <c r="U111" s="12"/>
    </row>
    <row r="112" spans="1:21" s="2" customFormat="1" ht="15.75" hidden="1" x14ac:dyDescent="0.25">
      <c r="A112" s="21"/>
      <c r="C112" s="86" t="s">
        <v>57</v>
      </c>
      <c r="D112" s="86" t="s">
        <v>63</v>
      </c>
      <c r="E112" s="86" t="s">
        <v>66</v>
      </c>
      <c r="F112" s="10">
        <v>42896</v>
      </c>
      <c r="G112" s="86" t="s">
        <v>218</v>
      </c>
      <c r="H112" s="86" t="s">
        <v>13</v>
      </c>
      <c r="I112" s="87">
        <v>7989.75</v>
      </c>
      <c r="J112" s="87">
        <v>3799.45</v>
      </c>
      <c r="K112" s="88">
        <f t="shared" si="0"/>
        <v>0.52445946368785012</v>
      </c>
      <c r="L112" s="87">
        <v>642.04</v>
      </c>
      <c r="M112" s="88">
        <f t="shared" si="1"/>
        <v>8.0357958634500445E-2</v>
      </c>
      <c r="N112" s="11">
        <v>232.35</v>
      </c>
      <c r="O112" s="11">
        <v>0</v>
      </c>
      <c r="P112" s="11"/>
      <c r="Q112" s="105"/>
      <c r="R112" s="12"/>
      <c r="S112" s="12"/>
      <c r="T112" s="12"/>
      <c r="U112" s="12"/>
    </row>
    <row r="113" spans="1:21" s="2" customFormat="1" ht="15.75" hidden="1" x14ac:dyDescent="0.25">
      <c r="A113" s="21"/>
      <c r="C113" s="86" t="s">
        <v>57</v>
      </c>
      <c r="D113" s="86" t="s">
        <v>121</v>
      </c>
      <c r="E113" s="86" t="s">
        <v>69</v>
      </c>
      <c r="F113" s="10">
        <v>42865</v>
      </c>
      <c r="G113" s="86" t="s">
        <v>219</v>
      </c>
      <c r="H113" s="86" t="s">
        <v>15</v>
      </c>
      <c r="I113" s="87">
        <v>13472.8</v>
      </c>
      <c r="J113" s="87">
        <v>6191.73</v>
      </c>
      <c r="K113" s="88">
        <f t="shared" si="0"/>
        <v>0.54042737960928688</v>
      </c>
      <c r="L113" s="87">
        <v>1823.94</v>
      </c>
      <c r="M113" s="88">
        <f t="shared" si="1"/>
        <v>0.13537943115016923</v>
      </c>
      <c r="N113" s="11">
        <v>1235.4000000000001</v>
      </c>
      <c r="O113" s="11">
        <v>0</v>
      </c>
      <c r="P113" s="11"/>
      <c r="Q113" s="105"/>
      <c r="R113" s="12"/>
      <c r="S113" s="12"/>
      <c r="T113" s="12"/>
      <c r="U113" s="12"/>
    </row>
    <row r="114" spans="1:21" s="2" customFormat="1" ht="15.75" hidden="1" x14ac:dyDescent="0.25">
      <c r="A114" s="21"/>
      <c r="C114" s="86" t="s">
        <v>57</v>
      </c>
      <c r="D114" s="86" t="s">
        <v>74</v>
      </c>
      <c r="E114" s="86" t="s">
        <v>98</v>
      </c>
      <c r="F114" s="10">
        <v>42861</v>
      </c>
      <c r="G114" s="86" t="s">
        <v>220</v>
      </c>
      <c r="H114" s="86" t="s">
        <v>14</v>
      </c>
      <c r="I114" s="87">
        <v>11927.78</v>
      </c>
      <c r="J114" s="87">
        <v>6931.01</v>
      </c>
      <c r="K114" s="88">
        <f t="shared" si="0"/>
        <v>0.41891869233000611</v>
      </c>
      <c r="L114" s="87">
        <v>824.49</v>
      </c>
      <c r="M114" s="88">
        <f t="shared" si="1"/>
        <v>6.9123508314204316E-2</v>
      </c>
      <c r="N114" s="11">
        <v>75.38</v>
      </c>
      <c r="O114" s="11">
        <v>0</v>
      </c>
      <c r="P114" s="11" t="s">
        <v>221</v>
      </c>
      <c r="Q114" s="105"/>
      <c r="R114" s="12"/>
      <c r="S114" s="12"/>
      <c r="T114" s="12"/>
      <c r="U114" s="12"/>
    </row>
    <row r="115" spans="1:21" s="2" customFormat="1" ht="15.75" hidden="1" x14ac:dyDescent="0.25">
      <c r="A115" s="21"/>
      <c r="C115" s="86" t="s">
        <v>57</v>
      </c>
      <c r="D115" s="86" t="s">
        <v>74</v>
      </c>
      <c r="E115" s="86" t="s">
        <v>103</v>
      </c>
      <c r="F115" s="10">
        <v>42864</v>
      </c>
      <c r="G115" s="86" t="s">
        <v>222</v>
      </c>
      <c r="H115" s="86" t="s">
        <v>14</v>
      </c>
      <c r="I115" s="87">
        <v>6429.82</v>
      </c>
      <c r="J115" s="87">
        <v>2832.3</v>
      </c>
      <c r="K115" s="88">
        <f t="shared" si="0"/>
        <v>0.55950555381021549</v>
      </c>
      <c r="L115" s="87">
        <v>603.91</v>
      </c>
      <c r="M115" s="88">
        <f t="shared" si="1"/>
        <v>9.3923313560877283E-2</v>
      </c>
      <c r="N115" s="11">
        <v>-24.18</v>
      </c>
      <c r="O115" s="11">
        <v>0</v>
      </c>
      <c r="P115" s="11"/>
      <c r="Q115" s="105"/>
      <c r="R115" s="12"/>
      <c r="S115" s="12"/>
      <c r="T115" s="12"/>
      <c r="U115" s="12"/>
    </row>
    <row r="116" spans="1:21" s="2" customFormat="1" ht="15.75" hidden="1" x14ac:dyDescent="0.25">
      <c r="A116" s="21"/>
      <c r="C116" s="86" t="s">
        <v>57</v>
      </c>
      <c r="D116" s="86" t="s">
        <v>74</v>
      </c>
      <c r="E116" s="86" t="s">
        <v>66</v>
      </c>
      <c r="F116" s="10">
        <v>42906</v>
      </c>
      <c r="G116" s="86" t="s">
        <v>223</v>
      </c>
      <c r="H116" s="86" t="s">
        <v>54</v>
      </c>
      <c r="I116" s="87">
        <v>6476.41</v>
      </c>
      <c r="J116" s="87">
        <v>3597.7</v>
      </c>
      <c r="K116" s="88">
        <f t="shared" si="0"/>
        <v>0.44449162421773791</v>
      </c>
      <c r="L116" s="87">
        <v>568.88</v>
      </c>
      <c r="M116" s="88">
        <f t="shared" si="1"/>
        <v>8.7838787229344656E-2</v>
      </c>
      <c r="N116" s="11">
        <v>308.57</v>
      </c>
      <c r="O116" s="11">
        <v>0</v>
      </c>
      <c r="P116" s="11" t="s">
        <v>224</v>
      </c>
      <c r="Q116" s="105"/>
      <c r="R116" s="12"/>
      <c r="S116" s="12"/>
      <c r="T116" s="12"/>
      <c r="U116" s="12"/>
    </row>
    <row r="117" spans="1:21" s="2" customFormat="1" ht="15.75" hidden="1" x14ac:dyDescent="0.25">
      <c r="A117" s="21"/>
      <c r="C117" s="86" t="s">
        <v>480</v>
      </c>
      <c r="D117" s="86" t="s">
        <v>225</v>
      </c>
      <c r="E117" s="86" t="s">
        <v>69</v>
      </c>
      <c r="F117" s="10">
        <v>42877</v>
      </c>
      <c r="G117" s="86" t="s">
        <v>226</v>
      </c>
      <c r="H117" s="86" t="s">
        <v>15</v>
      </c>
      <c r="I117" s="87">
        <v>6331.93</v>
      </c>
      <c r="J117" s="87">
        <v>2917.38</v>
      </c>
      <c r="K117" s="88">
        <f t="shared" si="0"/>
        <v>0.53925896211739544</v>
      </c>
      <c r="L117" s="87">
        <v>812.99</v>
      </c>
      <c r="M117" s="88">
        <f t="shared" si="1"/>
        <v>0.128395291798867</v>
      </c>
      <c r="N117" s="11">
        <v>514.23</v>
      </c>
      <c r="O117" s="11">
        <v>0</v>
      </c>
      <c r="P117" s="11"/>
      <c r="Q117" s="105"/>
      <c r="R117" s="12"/>
      <c r="S117" s="12"/>
      <c r="T117" s="12"/>
      <c r="U117" s="12"/>
    </row>
    <row r="118" spans="1:21" s="2" customFormat="1" ht="15.75" hidden="1" x14ac:dyDescent="0.25">
      <c r="A118" s="21"/>
      <c r="C118" s="86" t="s">
        <v>57</v>
      </c>
      <c r="D118" s="86" t="s">
        <v>74</v>
      </c>
      <c r="E118" s="86" t="s">
        <v>98</v>
      </c>
      <c r="F118" s="10">
        <v>42866</v>
      </c>
      <c r="G118" s="86" t="s">
        <v>227</v>
      </c>
      <c r="H118" s="86" t="s">
        <v>14</v>
      </c>
      <c r="I118" s="87">
        <v>11555.04</v>
      </c>
      <c r="J118" s="87">
        <v>5877.16</v>
      </c>
      <c r="K118" s="88">
        <f t="shared" si="0"/>
        <v>0.49137692297040952</v>
      </c>
      <c r="L118" s="87">
        <v>1059.52</v>
      </c>
      <c r="M118" s="88">
        <f t="shared" si="1"/>
        <v>9.1693321702045166E-2</v>
      </c>
      <c r="N118" s="11">
        <v>390.74</v>
      </c>
      <c r="O118" s="11">
        <v>0</v>
      </c>
      <c r="P118" s="11"/>
      <c r="Q118" s="105"/>
      <c r="R118" s="12"/>
      <c r="S118" s="12"/>
      <c r="T118" s="12"/>
      <c r="U118" s="12"/>
    </row>
    <row r="119" spans="1:21" s="2" customFormat="1" ht="15.75" hidden="1" x14ac:dyDescent="0.25">
      <c r="A119" s="21"/>
      <c r="C119" s="86" t="s">
        <v>228</v>
      </c>
      <c r="D119" s="86" t="s">
        <v>63</v>
      </c>
      <c r="E119" s="86" t="s">
        <v>477</v>
      </c>
      <c r="F119" s="10">
        <v>42848</v>
      </c>
      <c r="G119" s="86" t="s">
        <v>229</v>
      </c>
      <c r="H119" s="86" t="s">
        <v>19</v>
      </c>
      <c r="I119" s="87">
        <v>29082.35</v>
      </c>
      <c r="J119" s="87">
        <v>18337.2</v>
      </c>
      <c r="K119" s="88">
        <f t="shared" si="0"/>
        <v>0.36947323720400854</v>
      </c>
      <c r="L119" s="87">
        <v>1846.96</v>
      </c>
      <c r="M119" s="88">
        <f t="shared" si="1"/>
        <v>6.3507935225317072E-2</v>
      </c>
      <c r="N119" s="11">
        <v>-1205.95</v>
      </c>
      <c r="O119" s="11">
        <v>0</v>
      </c>
      <c r="P119" s="11" t="s">
        <v>230</v>
      </c>
      <c r="Q119" s="105"/>
      <c r="R119" s="12"/>
      <c r="S119" s="12"/>
      <c r="T119" s="12"/>
      <c r="U119" s="12"/>
    </row>
    <row r="120" spans="1:21" s="2" customFormat="1" ht="15.75" hidden="1" x14ac:dyDescent="0.25">
      <c r="A120" s="21"/>
      <c r="C120" s="86" t="s">
        <v>177</v>
      </c>
      <c r="D120" s="86" t="s">
        <v>68</v>
      </c>
      <c r="E120" s="86" t="s">
        <v>231</v>
      </c>
      <c r="F120" s="10">
        <v>42843</v>
      </c>
      <c r="G120" s="86" t="s">
        <v>232</v>
      </c>
      <c r="H120" s="86" t="s">
        <v>233</v>
      </c>
      <c r="I120" s="87">
        <v>29464.43</v>
      </c>
      <c r="J120" s="87">
        <v>15300.58</v>
      </c>
      <c r="K120" s="88">
        <f t="shared" si="0"/>
        <v>0.4807101308255412</v>
      </c>
      <c r="L120" s="87">
        <v>2717.45</v>
      </c>
      <c r="M120" s="88">
        <f t="shared" si="1"/>
        <v>9.2228154422128644E-2</v>
      </c>
      <c r="N120" s="11">
        <v>13.96</v>
      </c>
      <c r="O120" s="11">
        <v>0</v>
      </c>
      <c r="P120" s="11"/>
      <c r="Q120" s="105"/>
      <c r="R120" s="12"/>
      <c r="S120" s="12"/>
      <c r="T120" s="12"/>
      <c r="U120" s="12"/>
    </row>
    <row r="121" spans="1:21" s="2" customFormat="1" ht="15.75" hidden="1" x14ac:dyDescent="0.25">
      <c r="A121" s="21"/>
      <c r="C121" s="86" t="s">
        <v>57</v>
      </c>
      <c r="D121" s="86" t="s">
        <v>109</v>
      </c>
      <c r="E121" s="86" t="s">
        <v>72</v>
      </c>
      <c r="F121" s="10">
        <v>42837</v>
      </c>
      <c r="G121" s="86" t="s">
        <v>234</v>
      </c>
      <c r="H121" s="86" t="s">
        <v>15</v>
      </c>
      <c r="I121" s="87">
        <v>13812.93</v>
      </c>
      <c r="J121" s="87">
        <v>8567.3799999999992</v>
      </c>
      <c r="K121" s="88">
        <f t="shared" si="0"/>
        <v>0.37975650350794515</v>
      </c>
      <c r="L121" s="87">
        <v>997.88</v>
      </c>
      <c r="M121" s="88">
        <f t="shared" si="1"/>
        <v>7.2242456886410053E-2</v>
      </c>
      <c r="N121" s="11">
        <v>-819.77</v>
      </c>
      <c r="O121" s="11">
        <v>0</v>
      </c>
      <c r="P121" s="11" t="s">
        <v>175</v>
      </c>
      <c r="Q121" s="105"/>
      <c r="R121" s="12"/>
      <c r="S121" s="12"/>
      <c r="T121" s="12"/>
      <c r="U121" s="12"/>
    </row>
    <row r="122" spans="1:21" s="2" customFormat="1" ht="15.75" hidden="1" x14ac:dyDescent="0.25">
      <c r="A122" s="21"/>
      <c r="C122" s="86" t="s">
        <v>235</v>
      </c>
      <c r="D122" s="86" t="s">
        <v>63</v>
      </c>
      <c r="E122" s="86" t="s">
        <v>98</v>
      </c>
      <c r="F122" s="10">
        <v>42815</v>
      </c>
      <c r="G122" s="86" t="s">
        <v>236</v>
      </c>
      <c r="H122" s="86" t="s">
        <v>19</v>
      </c>
      <c r="I122" s="87">
        <v>8507.2000000000007</v>
      </c>
      <c r="J122" s="87">
        <v>5911.07</v>
      </c>
      <c r="K122" s="88">
        <f t="shared" si="0"/>
        <v>0.30516856309949231</v>
      </c>
      <c r="L122" s="87">
        <v>416.99</v>
      </c>
      <c r="M122" s="88">
        <f t="shared" si="1"/>
        <v>4.9016127515516268E-2</v>
      </c>
      <c r="N122" s="11">
        <v>-632.95000000000005</v>
      </c>
      <c r="O122" s="11">
        <v>0</v>
      </c>
      <c r="P122" s="11"/>
      <c r="Q122" s="105"/>
      <c r="R122" s="12"/>
      <c r="S122" s="12"/>
      <c r="T122" s="12"/>
      <c r="U122" s="12"/>
    </row>
    <row r="123" spans="1:21" s="2" customFormat="1" ht="15.75" hidden="1" x14ac:dyDescent="0.25">
      <c r="A123" s="21"/>
      <c r="C123" s="86" t="s">
        <v>57</v>
      </c>
      <c r="D123" s="86" t="s">
        <v>68</v>
      </c>
      <c r="E123" s="86" t="s">
        <v>477</v>
      </c>
      <c r="F123" s="10">
        <v>42855</v>
      </c>
      <c r="G123" s="86" t="s">
        <v>99</v>
      </c>
      <c r="H123" s="86" t="s">
        <v>19</v>
      </c>
      <c r="I123" s="87">
        <v>10055.68</v>
      </c>
      <c r="J123" s="87">
        <v>5877.07</v>
      </c>
      <c r="K123" s="88">
        <f t="shared" si="0"/>
        <v>0.41554723300661917</v>
      </c>
      <c r="L123" s="87">
        <v>644.91999999999996</v>
      </c>
      <c r="M123" s="88">
        <f t="shared" si="1"/>
        <v>6.4134896894093685E-2</v>
      </c>
      <c r="N123" s="11">
        <v>-724.62</v>
      </c>
      <c r="O123" s="11">
        <v>0</v>
      </c>
      <c r="P123" s="11"/>
      <c r="Q123" s="105"/>
      <c r="R123" s="12"/>
      <c r="S123" s="12"/>
      <c r="T123" s="12"/>
      <c r="U123" s="12"/>
    </row>
    <row r="124" spans="1:21" s="2" customFormat="1" ht="15.75" hidden="1" x14ac:dyDescent="0.25">
      <c r="A124" s="21"/>
      <c r="C124" s="86" t="s">
        <v>386</v>
      </c>
      <c r="D124" s="86" t="s">
        <v>63</v>
      </c>
      <c r="E124" s="86" t="s">
        <v>64</v>
      </c>
      <c r="F124" s="10">
        <v>42892</v>
      </c>
      <c r="G124" s="86" t="s">
        <v>237</v>
      </c>
      <c r="H124" s="86" t="s">
        <v>18</v>
      </c>
      <c r="I124" s="87">
        <v>13457.94</v>
      </c>
      <c r="J124" s="87">
        <v>7010.8</v>
      </c>
      <c r="K124" s="88">
        <f t="shared" si="0"/>
        <v>0.47905845916982837</v>
      </c>
      <c r="L124" s="87">
        <v>878.86</v>
      </c>
      <c r="M124" s="88">
        <f t="shared" si="1"/>
        <v>6.5304199602613772E-2</v>
      </c>
      <c r="N124" s="11">
        <v>-890.11</v>
      </c>
      <c r="O124" s="11">
        <v>0</v>
      </c>
      <c r="P124" s="11" t="s">
        <v>238</v>
      </c>
      <c r="Q124" s="105"/>
      <c r="R124" s="12"/>
      <c r="S124" s="12"/>
      <c r="T124" s="12"/>
      <c r="U124" s="12"/>
    </row>
    <row r="125" spans="1:21" s="2" customFormat="1" ht="15.75" hidden="1" x14ac:dyDescent="0.25">
      <c r="A125" s="21"/>
      <c r="C125" s="86" t="s">
        <v>57</v>
      </c>
      <c r="D125" s="86" t="s">
        <v>68</v>
      </c>
      <c r="E125" s="86" t="s">
        <v>98</v>
      </c>
      <c r="F125" s="10">
        <v>42850</v>
      </c>
      <c r="G125" s="86" t="s">
        <v>239</v>
      </c>
      <c r="H125" s="86" t="s">
        <v>14</v>
      </c>
      <c r="I125" s="87">
        <v>13762.61</v>
      </c>
      <c r="J125" s="87">
        <v>6734.96</v>
      </c>
      <c r="K125" s="88">
        <f t="shared" si="0"/>
        <v>0.51063352082199531</v>
      </c>
      <c r="L125" s="87">
        <v>1516.5</v>
      </c>
      <c r="M125" s="88">
        <f t="shared" si="1"/>
        <v>0.11018985497663597</v>
      </c>
      <c r="N125" s="11">
        <v>840.61</v>
      </c>
      <c r="O125" s="11">
        <v>0</v>
      </c>
      <c r="P125" s="11"/>
      <c r="Q125" s="105"/>
      <c r="R125" s="12"/>
      <c r="S125" s="12"/>
      <c r="T125" s="12"/>
      <c r="U125" s="12"/>
    </row>
    <row r="126" spans="1:21" s="2" customFormat="1" ht="15.75" hidden="1" x14ac:dyDescent="0.25">
      <c r="A126" s="21"/>
      <c r="C126" s="86" t="s">
        <v>57</v>
      </c>
      <c r="D126" s="86" t="s">
        <v>121</v>
      </c>
      <c r="E126" s="86" t="s">
        <v>66</v>
      </c>
      <c r="F126" s="10">
        <v>42901</v>
      </c>
      <c r="G126" s="86" t="s">
        <v>240</v>
      </c>
      <c r="H126" s="86" t="s">
        <v>18</v>
      </c>
      <c r="I126" s="87">
        <v>9352.1299999999992</v>
      </c>
      <c r="J126" s="87">
        <v>4905.42</v>
      </c>
      <c r="K126" s="88">
        <f t="shared" si="0"/>
        <v>0.47547564030867828</v>
      </c>
      <c r="L126" s="87">
        <v>766.48</v>
      </c>
      <c r="M126" s="88">
        <f t="shared" si="1"/>
        <v>8.1957799987810276E-2</v>
      </c>
      <c r="N126" s="11">
        <v>-190.57</v>
      </c>
      <c r="O126" s="11">
        <v>0</v>
      </c>
      <c r="P126" s="11" t="s">
        <v>241</v>
      </c>
      <c r="Q126" s="105"/>
      <c r="R126" s="12"/>
      <c r="S126" s="12"/>
      <c r="T126" s="12"/>
      <c r="U126" s="12"/>
    </row>
    <row r="127" spans="1:21" s="2" customFormat="1" ht="15.75" hidden="1" x14ac:dyDescent="0.25">
      <c r="A127" s="21"/>
      <c r="C127" s="86" t="s">
        <v>57</v>
      </c>
      <c r="D127" s="86" t="s">
        <v>475</v>
      </c>
      <c r="E127" s="86" t="s">
        <v>69</v>
      </c>
      <c r="F127" s="10">
        <v>42880</v>
      </c>
      <c r="G127" s="86" t="s">
        <v>242</v>
      </c>
      <c r="H127" s="86" t="s">
        <v>15</v>
      </c>
      <c r="I127" s="87">
        <v>10327.780000000001</v>
      </c>
      <c r="J127" s="87">
        <v>5218.47</v>
      </c>
      <c r="K127" s="88">
        <f t="shared" si="0"/>
        <v>0.49471522437542242</v>
      </c>
      <c r="L127" s="87">
        <v>1373.39</v>
      </c>
      <c r="M127" s="88">
        <f t="shared" si="1"/>
        <v>0.13298017579770288</v>
      </c>
      <c r="N127" s="11">
        <v>895.28</v>
      </c>
      <c r="O127" s="11">
        <v>0</v>
      </c>
      <c r="P127" s="11" t="s">
        <v>243</v>
      </c>
      <c r="Q127" s="105"/>
      <c r="R127" s="12"/>
      <c r="S127" s="12"/>
      <c r="T127" s="12"/>
      <c r="U127" s="12"/>
    </row>
    <row r="128" spans="1:21" s="2" customFormat="1" ht="15.75" hidden="1" x14ac:dyDescent="0.25">
      <c r="A128" s="21"/>
      <c r="C128" s="86" t="s">
        <v>57</v>
      </c>
      <c r="D128" s="86" t="s">
        <v>74</v>
      </c>
      <c r="E128" s="86" t="s">
        <v>64</v>
      </c>
      <c r="F128" s="10">
        <v>42903</v>
      </c>
      <c r="G128" s="86" t="s">
        <v>244</v>
      </c>
      <c r="H128" s="86" t="s">
        <v>13</v>
      </c>
      <c r="I128" s="87">
        <v>6476.41</v>
      </c>
      <c r="J128" s="87">
        <v>2527.86</v>
      </c>
      <c r="K128" s="88">
        <f t="shared" si="0"/>
        <v>0.60968190710594294</v>
      </c>
      <c r="L128" s="87">
        <v>934.84</v>
      </c>
      <c r="M128" s="88">
        <f t="shared" si="1"/>
        <v>0.14434540123309056</v>
      </c>
      <c r="N128" s="11">
        <v>1216.6099999999999</v>
      </c>
      <c r="O128" s="11">
        <v>0</v>
      </c>
      <c r="P128" s="11"/>
      <c r="Q128" s="105"/>
      <c r="R128" s="12"/>
      <c r="S128" s="12"/>
      <c r="T128" s="12"/>
      <c r="U128" s="12"/>
    </row>
    <row r="129" spans="1:21" s="2" customFormat="1" ht="15.75" hidden="1" x14ac:dyDescent="0.25">
      <c r="A129" s="21"/>
      <c r="C129" s="86" t="s">
        <v>57</v>
      </c>
      <c r="D129" s="86" t="s">
        <v>74</v>
      </c>
      <c r="E129" s="86" t="s">
        <v>477</v>
      </c>
      <c r="F129" s="10">
        <v>42838</v>
      </c>
      <c r="G129" s="86" t="s">
        <v>245</v>
      </c>
      <c r="H129" s="86" t="s">
        <v>14</v>
      </c>
      <c r="I129" s="87">
        <v>21035.119999999999</v>
      </c>
      <c r="J129" s="87">
        <v>12362.54</v>
      </c>
      <c r="K129" s="88">
        <f t="shared" si="0"/>
        <v>0.41229049323227052</v>
      </c>
      <c r="L129" s="87">
        <v>2004.67</v>
      </c>
      <c r="M129" s="88">
        <f t="shared" si="1"/>
        <v>9.5301096452028805E-2</v>
      </c>
      <c r="N129" s="11">
        <v>412.15</v>
      </c>
      <c r="O129" s="11">
        <v>0</v>
      </c>
      <c r="P129" s="11" t="s">
        <v>246</v>
      </c>
      <c r="Q129" s="105"/>
      <c r="R129" s="12"/>
      <c r="S129" s="12"/>
      <c r="T129" s="12"/>
      <c r="U129" s="12"/>
    </row>
    <row r="130" spans="1:21" s="2" customFormat="1" ht="15.75" hidden="1" x14ac:dyDescent="0.25">
      <c r="A130" s="21"/>
      <c r="C130" s="86" t="s">
        <v>57</v>
      </c>
      <c r="D130" s="86" t="s">
        <v>210</v>
      </c>
      <c r="E130" s="86" t="s">
        <v>464</v>
      </c>
      <c r="F130" s="10">
        <v>42869</v>
      </c>
      <c r="G130" s="86" t="s">
        <v>247</v>
      </c>
      <c r="H130" s="86" t="s">
        <v>15</v>
      </c>
      <c r="I130" s="87">
        <v>12114.15</v>
      </c>
      <c r="J130" s="87">
        <v>6567.93</v>
      </c>
      <c r="K130" s="88">
        <f t="shared" si="0"/>
        <v>0.45782989314149153</v>
      </c>
      <c r="L130" s="87">
        <v>0</v>
      </c>
      <c r="M130" s="88">
        <f t="shared" si="1"/>
        <v>0</v>
      </c>
      <c r="N130" s="11">
        <v>0</v>
      </c>
      <c r="O130" s="11">
        <v>0</v>
      </c>
      <c r="P130" s="11"/>
      <c r="Q130" s="105"/>
      <c r="R130" s="12"/>
      <c r="S130" s="12"/>
      <c r="T130" s="12"/>
      <c r="U130" s="12"/>
    </row>
    <row r="131" spans="1:21" s="2" customFormat="1" ht="15.75" hidden="1" x14ac:dyDescent="0.25">
      <c r="A131" s="21"/>
      <c r="C131" s="86" t="s">
        <v>62</v>
      </c>
      <c r="D131" s="86" t="s">
        <v>58</v>
      </c>
      <c r="E131" s="86" t="s">
        <v>103</v>
      </c>
      <c r="F131" s="10">
        <v>42893</v>
      </c>
      <c r="G131" s="86" t="s">
        <v>248</v>
      </c>
      <c r="H131" s="86" t="s">
        <v>24</v>
      </c>
      <c r="I131" s="87">
        <v>6056.58</v>
      </c>
      <c r="J131" s="87">
        <v>2432.1</v>
      </c>
      <c r="K131" s="88">
        <f t="shared" si="0"/>
        <v>0.59843674152739668</v>
      </c>
      <c r="L131" s="87">
        <v>587.25</v>
      </c>
      <c r="M131" s="88">
        <f t="shared" si="1"/>
        <v>9.6960660967080434E-2</v>
      </c>
      <c r="N131" s="11">
        <v>58.98</v>
      </c>
      <c r="O131" s="11">
        <v>0</v>
      </c>
      <c r="P131" s="11"/>
      <c r="Q131" s="105"/>
      <c r="R131" s="12"/>
      <c r="S131" s="12"/>
      <c r="T131" s="12"/>
      <c r="U131" s="12"/>
    </row>
    <row r="132" spans="1:21" s="2" customFormat="1" ht="15.75" hidden="1" x14ac:dyDescent="0.25">
      <c r="A132" s="21"/>
      <c r="C132" s="86" t="s">
        <v>57</v>
      </c>
      <c r="D132" s="86" t="s">
        <v>74</v>
      </c>
      <c r="E132" s="86" t="s">
        <v>103</v>
      </c>
      <c r="F132" s="10">
        <v>42874</v>
      </c>
      <c r="G132" s="86" t="s">
        <v>249</v>
      </c>
      <c r="H132" s="86" t="s">
        <v>17</v>
      </c>
      <c r="I132" s="87">
        <v>5777.52</v>
      </c>
      <c r="J132" s="87">
        <v>2386.3200000000002</v>
      </c>
      <c r="K132" s="88">
        <f t="shared" si="0"/>
        <v>0.58696464919204083</v>
      </c>
      <c r="L132" s="87">
        <v>661.92</v>
      </c>
      <c r="M132" s="88">
        <f t="shared" si="1"/>
        <v>0.11456818842686826</v>
      </c>
      <c r="N132" s="11">
        <v>357.42</v>
      </c>
      <c r="O132" s="11">
        <v>0</v>
      </c>
      <c r="P132" s="11"/>
      <c r="Q132" s="105"/>
      <c r="R132" s="12"/>
      <c r="S132" s="12"/>
      <c r="T132" s="12"/>
      <c r="U132" s="12"/>
    </row>
    <row r="133" spans="1:21" s="2" customFormat="1" ht="15.75" hidden="1" x14ac:dyDescent="0.25">
      <c r="A133" s="21"/>
      <c r="C133" s="86" t="s">
        <v>113</v>
      </c>
      <c r="D133" s="86" t="s">
        <v>63</v>
      </c>
      <c r="E133" s="86" t="s">
        <v>477</v>
      </c>
      <c r="F133" s="10">
        <v>42861</v>
      </c>
      <c r="G133" s="86" t="s">
        <v>84</v>
      </c>
      <c r="H133" s="86" t="s">
        <v>14</v>
      </c>
      <c r="I133" s="87">
        <v>8185.09</v>
      </c>
      <c r="J133" s="87">
        <v>4097.2700000000004</v>
      </c>
      <c r="K133" s="88">
        <f t="shared" si="0"/>
        <v>0.49942273084352151</v>
      </c>
      <c r="L133" s="87">
        <v>798.35</v>
      </c>
      <c r="M133" s="88">
        <f t="shared" si="1"/>
        <v>9.7537107105725163E-2</v>
      </c>
      <c r="N133" s="11">
        <v>23.09</v>
      </c>
      <c r="O133" s="11">
        <v>0</v>
      </c>
      <c r="P133" s="11"/>
      <c r="Q133" s="105"/>
      <c r="R133" s="12"/>
      <c r="S133" s="12"/>
      <c r="T133" s="12"/>
      <c r="U133" s="12"/>
    </row>
    <row r="134" spans="1:21" s="2" customFormat="1" ht="15.75" hidden="1" x14ac:dyDescent="0.25">
      <c r="A134" s="21"/>
      <c r="C134" s="86" t="s">
        <v>250</v>
      </c>
      <c r="D134" s="86" t="s">
        <v>68</v>
      </c>
      <c r="E134" s="86" t="s">
        <v>477</v>
      </c>
      <c r="F134" s="10">
        <v>42856</v>
      </c>
      <c r="G134" s="86" t="s">
        <v>251</v>
      </c>
      <c r="H134" s="86" t="s">
        <v>14</v>
      </c>
      <c r="I134" s="87">
        <v>12731.15</v>
      </c>
      <c r="J134" s="87">
        <v>5314.15</v>
      </c>
      <c r="K134" s="88">
        <f t="shared" si="0"/>
        <v>0.58258680480553604</v>
      </c>
      <c r="L134" s="87">
        <v>1523.58</v>
      </c>
      <c r="M134" s="88">
        <f t="shared" si="1"/>
        <v>0.11967339949651053</v>
      </c>
      <c r="N134" s="11">
        <v>727.09</v>
      </c>
      <c r="O134" s="11">
        <v>0</v>
      </c>
      <c r="P134" s="11"/>
      <c r="Q134" s="105"/>
      <c r="R134" s="12"/>
      <c r="S134" s="12"/>
      <c r="T134" s="12"/>
      <c r="U134" s="12"/>
    </row>
    <row r="135" spans="1:21" s="2" customFormat="1" ht="15.75" hidden="1" x14ac:dyDescent="0.25">
      <c r="A135" s="21"/>
      <c r="C135" s="86" t="s">
        <v>57</v>
      </c>
      <c r="D135" s="86" t="s">
        <v>74</v>
      </c>
      <c r="E135" s="86" t="s">
        <v>66</v>
      </c>
      <c r="F135" s="10">
        <v>42823</v>
      </c>
      <c r="G135" s="86" t="s">
        <v>252</v>
      </c>
      <c r="H135" s="86" t="s">
        <v>18</v>
      </c>
      <c r="I135" s="87">
        <v>13977.87</v>
      </c>
      <c r="J135" s="87">
        <v>7544.79</v>
      </c>
      <c r="K135" s="88">
        <f t="shared" si="0"/>
        <v>0.46023321149788921</v>
      </c>
      <c r="L135" s="87">
        <v>1178.74</v>
      </c>
      <c r="M135" s="88">
        <f t="shared" si="1"/>
        <v>8.4329014363418747E-2</v>
      </c>
      <c r="N135" s="11">
        <v>-427.53</v>
      </c>
      <c r="O135" s="11">
        <v>0</v>
      </c>
      <c r="P135" s="11" t="s">
        <v>253</v>
      </c>
      <c r="Q135" s="105"/>
      <c r="R135" s="12"/>
      <c r="S135" s="12"/>
      <c r="T135" s="12"/>
      <c r="U135" s="12"/>
    </row>
    <row r="136" spans="1:21" s="2" customFormat="1" ht="15.75" hidden="1" x14ac:dyDescent="0.25">
      <c r="A136" s="21"/>
      <c r="C136" s="86" t="s">
        <v>57</v>
      </c>
      <c r="D136" s="86" t="s">
        <v>225</v>
      </c>
      <c r="E136" s="86" t="s">
        <v>69</v>
      </c>
      <c r="F136" s="10">
        <v>42877</v>
      </c>
      <c r="G136" s="86" t="s">
        <v>254</v>
      </c>
      <c r="H136" s="86" t="s">
        <v>15</v>
      </c>
      <c r="I136" s="87">
        <v>7597.12</v>
      </c>
      <c r="J136" s="87">
        <v>3816.36</v>
      </c>
      <c r="K136" s="88">
        <f t="shared" si="0"/>
        <v>0.49765700686575964</v>
      </c>
      <c r="L136" s="87">
        <v>718.7</v>
      </c>
      <c r="M136" s="88">
        <f t="shared" si="1"/>
        <v>9.460163851564804E-2</v>
      </c>
      <c r="N136" s="11">
        <v>-58.78</v>
      </c>
      <c r="O136" s="11">
        <v>0</v>
      </c>
      <c r="P136" s="11"/>
      <c r="Q136" s="105"/>
      <c r="R136" s="12"/>
      <c r="S136" s="12"/>
      <c r="T136" s="12"/>
      <c r="U136" s="12"/>
    </row>
    <row r="137" spans="1:21" s="2" customFormat="1" ht="15.75" hidden="1" x14ac:dyDescent="0.25">
      <c r="A137" s="21"/>
      <c r="C137" s="86" t="s">
        <v>57</v>
      </c>
      <c r="D137" s="86" t="s">
        <v>121</v>
      </c>
      <c r="E137" s="86" t="s">
        <v>103</v>
      </c>
      <c r="F137" s="10">
        <v>42872</v>
      </c>
      <c r="G137" s="86" t="s">
        <v>255</v>
      </c>
      <c r="H137" s="86" t="s">
        <v>149</v>
      </c>
      <c r="I137" s="87">
        <v>5494.23</v>
      </c>
      <c r="J137" s="87">
        <v>3494.46</v>
      </c>
      <c r="K137" s="88">
        <f t="shared" si="0"/>
        <v>0.3639763897761833</v>
      </c>
      <c r="L137" s="87">
        <v>516.08000000000004</v>
      </c>
      <c r="M137" s="88">
        <f t="shared" si="1"/>
        <v>9.3931269713863466E-2</v>
      </c>
      <c r="N137" s="11">
        <v>357.63</v>
      </c>
      <c r="O137" s="11">
        <v>0</v>
      </c>
      <c r="P137" s="11"/>
      <c r="Q137" s="105"/>
      <c r="R137" s="12"/>
      <c r="S137" s="12"/>
      <c r="T137" s="12"/>
      <c r="U137" s="12"/>
    </row>
    <row r="138" spans="1:21" s="2" customFormat="1" ht="15.75" hidden="1" x14ac:dyDescent="0.25">
      <c r="A138" s="21"/>
      <c r="C138" s="86" t="s">
        <v>57</v>
      </c>
      <c r="D138" s="86" t="s">
        <v>74</v>
      </c>
      <c r="E138" s="86" t="s">
        <v>478</v>
      </c>
      <c r="F138" s="10">
        <v>42906</v>
      </c>
      <c r="G138" s="86" t="s">
        <v>256</v>
      </c>
      <c r="H138" s="86" t="s">
        <v>257</v>
      </c>
      <c r="I138" s="87">
        <v>999.88</v>
      </c>
      <c r="J138" s="87">
        <v>506.14</v>
      </c>
      <c r="K138" s="88">
        <f t="shared" si="0"/>
        <v>0.49379925591070928</v>
      </c>
      <c r="L138" s="87">
        <v>244.44</v>
      </c>
      <c r="M138" s="88">
        <f t="shared" si="1"/>
        <v>0.24446933632035844</v>
      </c>
      <c r="N138" s="11">
        <v>404.88</v>
      </c>
      <c r="O138" s="11">
        <v>0</v>
      </c>
      <c r="P138" s="11"/>
      <c r="Q138" s="105"/>
      <c r="R138" s="12"/>
      <c r="S138" s="12"/>
      <c r="T138" s="12"/>
      <c r="U138" s="12"/>
    </row>
    <row r="139" spans="1:21" s="2" customFormat="1" ht="15.75" hidden="1" x14ac:dyDescent="0.25">
      <c r="A139" s="21"/>
      <c r="C139" s="86" t="s">
        <v>480</v>
      </c>
      <c r="D139" s="86" t="s">
        <v>188</v>
      </c>
      <c r="E139" s="86" t="s">
        <v>464</v>
      </c>
      <c r="F139" s="10">
        <v>42877</v>
      </c>
      <c r="G139" s="86" t="s">
        <v>258</v>
      </c>
      <c r="H139" s="86" t="s">
        <v>15</v>
      </c>
      <c r="I139" s="87">
        <v>8050.26</v>
      </c>
      <c r="J139" s="87">
        <v>4196.55</v>
      </c>
      <c r="K139" s="88">
        <f t="shared" si="0"/>
        <v>0.4787062778096608</v>
      </c>
      <c r="L139" s="87">
        <v>1451.68</v>
      </c>
      <c r="M139" s="88">
        <f t="shared" si="1"/>
        <v>0.18032709502550229</v>
      </c>
      <c r="N139" s="11">
        <v>1712.88</v>
      </c>
      <c r="O139" s="11">
        <v>0</v>
      </c>
      <c r="P139" s="11" t="s">
        <v>259</v>
      </c>
      <c r="Q139" s="105"/>
      <c r="R139" s="12"/>
      <c r="S139" s="12"/>
      <c r="T139" s="12"/>
      <c r="U139" s="12"/>
    </row>
    <row r="140" spans="1:21" s="2" customFormat="1" ht="15.75" hidden="1" x14ac:dyDescent="0.25">
      <c r="A140" s="21"/>
      <c r="C140" s="86" t="s">
        <v>57</v>
      </c>
      <c r="D140" s="86" t="s">
        <v>68</v>
      </c>
      <c r="E140" s="86" t="s">
        <v>103</v>
      </c>
      <c r="F140" s="10">
        <v>42900</v>
      </c>
      <c r="G140" s="86" t="s">
        <v>260</v>
      </c>
      <c r="H140" s="86" t="s">
        <v>24</v>
      </c>
      <c r="I140" s="87">
        <v>12141.18</v>
      </c>
      <c r="J140" s="87">
        <v>4596.03</v>
      </c>
      <c r="K140" s="88">
        <f t="shared" si="0"/>
        <v>0.62145112748513742</v>
      </c>
      <c r="L140" s="87">
        <v>1111.23</v>
      </c>
      <c r="M140" s="88">
        <f t="shared" si="1"/>
        <v>9.1525700137877863E-2</v>
      </c>
      <c r="N140" s="11">
        <v>-152.22</v>
      </c>
      <c r="O140" s="11">
        <v>0</v>
      </c>
      <c r="P140" s="11"/>
      <c r="Q140" s="105"/>
      <c r="R140" s="12"/>
      <c r="S140" s="12"/>
      <c r="T140" s="12"/>
      <c r="U140" s="12"/>
    </row>
    <row r="141" spans="1:21" s="2" customFormat="1" ht="15.75" hidden="1" x14ac:dyDescent="0.25">
      <c r="A141" s="21"/>
      <c r="C141" s="86" t="s">
        <v>57</v>
      </c>
      <c r="D141" s="86" t="s">
        <v>121</v>
      </c>
      <c r="E141" s="86" t="s">
        <v>103</v>
      </c>
      <c r="F141" s="10">
        <v>42901</v>
      </c>
      <c r="G141" s="86" t="s">
        <v>240</v>
      </c>
      <c r="H141" s="86" t="s">
        <v>17</v>
      </c>
      <c r="I141" s="87">
        <v>5261.27</v>
      </c>
      <c r="J141" s="87">
        <v>2939.67</v>
      </c>
      <c r="K141" s="88">
        <f t="shared" si="0"/>
        <v>0.44126228078011587</v>
      </c>
      <c r="L141" s="87">
        <v>346.29</v>
      </c>
      <c r="M141" s="88">
        <f t="shared" si="1"/>
        <v>6.5818709170979622E-2</v>
      </c>
      <c r="N141" s="11">
        <v>-320.02999999999997</v>
      </c>
      <c r="O141" s="11">
        <v>0</v>
      </c>
      <c r="P141" s="11" t="s">
        <v>261</v>
      </c>
      <c r="Q141" s="105"/>
      <c r="R141" s="12"/>
      <c r="S141" s="12"/>
      <c r="T141" s="12"/>
      <c r="U141" s="12"/>
    </row>
    <row r="142" spans="1:21" s="2" customFormat="1" ht="15.75" hidden="1" x14ac:dyDescent="0.25">
      <c r="A142" s="21"/>
      <c r="C142" s="86" t="s">
        <v>57</v>
      </c>
      <c r="D142" s="86" t="s">
        <v>74</v>
      </c>
      <c r="E142" s="86" t="s">
        <v>477</v>
      </c>
      <c r="F142" s="10">
        <v>42912</v>
      </c>
      <c r="G142" s="86" t="s">
        <v>262</v>
      </c>
      <c r="H142" s="86" t="s">
        <v>14</v>
      </c>
      <c r="I142" s="87">
        <v>6057.08</v>
      </c>
      <c r="J142" s="87">
        <v>2661.05</v>
      </c>
      <c r="K142" s="88">
        <f t="shared" si="0"/>
        <v>0.5606711484741822</v>
      </c>
      <c r="L142" s="87">
        <v>673.04</v>
      </c>
      <c r="M142" s="88">
        <f t="shared" si="1"/>
        <v>0.11111624743275637</v>
      </c>
      <c r="N142" s="11">
        <v>212.08</v>
      </c>
      <c r="O142" s="11">
        <v>0</v>
      </c>
      <c r="P142" s="11"/>
      <c r="Q142" s="105"/>
      <c r="R142" s="12"/>
      <c r="S142" s="12"/>
      <c r="T142" s="12"/>
      <c r="U142" s="12"/>
    </row>
    <row r="143" spans="1:21" s="2" customFormat="1" ht="15.75" hidden="1" x14ac:dyDescent="0.25">
      <c r="A143" s="21"/>
      <c r="C143" s="86" t="s">
        <v>62</v>
      </c>
      <c r="D143" s="86" t="s">
        <v>109</v>
      </c>
      <c r="E143" s="86" t="s">
        <v>481</v>
      </c>
      <c r="F143" s="10">
        <v>42842</v>
      </c>
      <c r="G143" s="86" t="s">
        <v>263</v>
      </c>
      <c r="H143" s="86" t="s">
        <v>16</v>
      </c>
      <c r="I143" s="87">
        <v>16553.810000000001</v>
      </c>
      <c r="J143" s="87">
        <v>10892.86</v>
      </c>
      <c r="K143" s="88">
        <f t="shared" si="0"/>
        <v>0.34197263349041701</v>
      </c>
      <c r="L143" s="87">
        <v>581.19000000000005</v>
      </c>
      <c r="M143" s="88">
        <f t="shared" si="1"/>
        <v>3.5109138017169458E-2</v>
      </c>
      <c r="N143" s="11">
        <v>1680.49</v>
      </c>
      <c r="O143" s="11">
        <v>190.04</v>
      </c>
      <c r="P143" s="11" t="s">
        <v>264</v>
      </c>
      <c r="Q143" s="105"/>
      <c r="R143" s="12"/>
      <c r="S143" s="12"/>
      <c r="T143" s="12"/>
      <c r="U143" s="12"/>
    </row>
    <row r="144" spans="1:21" s="2" customFormat="1" ht="15.75" hidden="1" x14ac:dyDescent="0.25">
      <c r="A144" s="21"/>
      <c r="C144" s="86" t="s">
        <v>57</v>
      </c>
      <c r="D144" s="86" t="s">
        <v>188</v>
      </c>
      <c r="E144" s="86" t="s">
        <v>98</v>
      </c>
      <c r="F144" s="10">
        <v>42891</v>
      </c>
      <c r="G144" s="86" t="s">
        <v>265</v>
      </c>
      <c r="H144" s="86" t="s">
        <v>24</v>
      </c>
      <c r="I144" s="87">
        <v>5897.78</v>
      </c>
      <c r="J144" s="87">
        <v>2619.52</v>
      </c>
      <c r="K144" s="88">
        <f t="shared" si="0"/>
        <v>0.55584643713397242</v>
      </c>
      <c r="L144" s="87">
        <v>875.64</v>
      </c>
      <c r="M144" s="88">
        <f t="shared" si="1"/>
        <v>0.14846942408838582</v>
      </c>
      <c r="N144" s="11">
        <v>900.13</v>
      </c>
      <c r="O144" s="11">
        <v>0</v>
      </c>
      <c r="P144" s="11" t="s">
        <v>266</v>
      </c>
      <c r="Q144" s="105"/>
      <c r="R144" s="12"/>
      <c r="S144" s="12"/>
      <c r="T144" s="12"/>
      <c r="U144" s="12"/>
    </row>
    <row r="145" spans="1:21" s="2" customFormat="1" ht="15.75" hidden="1" x14ac:dyDescent="0.25">
      <c r="A145" s="21"/>
      <c r="C145" s="86" t="s">
        <v>57</v>
      </c>
      <c r="D145" s="86" t="s">
        <v>68</v>
      </c>
      <c r="E145" s="86" t="s">
        <v>66</v>
      </c>
      <c r="F145" s="10">
        <v>42910</v>
      </c>
      <c r="G145" s="86" t="s">
        <v>267</v>
      </c>
      <c r="H145" s="86" t="s">
        <v>18</v>
      </c>
      <c r="I145" s="87">
        <v>21881.84</v>
      </c>
      <c r="J145" s="87">
        <v>10126.01</v>
      </c>
      <c r="K145" s="88">
        <f t="shared" si="0"/>
        <v>0.5372413837227582</v>
      </c>
      <c r="L145" s="87">
        <v>2838.7</v>
      </c>
      <c r="M145" s="88">
        <f t="shared" si="1"/>
        <v>0.12972857858388506</v>
      </c>
      <c r="N145" s="11">
        <v>1687.54</v>
      </c>
      <c r="O145" s="11">
        <v>0</v>
      </c>
      <c r="P145" s="11"/>
      <c r="Q145" s="105"/>
      <c r="R145" s="12"/>
      <c r="S145" s="12"/>
      <c r="T145" s="12"/>
      <c r="U145" s="12"/>
    </row>
    <row r="146" spans="1:21" s="2" customFormat="1" ht="15.75" hidden="1" x14ac:dyDescent="0.25">
      <c r="A146" s="21"/>
      <c r="C146" s="86" t="s">
        <v>57</v>
      </c>
      <c r="D146" s="86" t="s">
        <v>63</v>
      </c>
      <c r="E146" s="86" t="s">
        <v>103</v>
      </c>
      <c r="F146" s="10">
        <v>42874</v>
      </c>
      <c r="G146" s="86" t="s">
        <v>268</v>
      </c>
      <c r="H146" s="86" t="s">
        <v>17</v>
      </c>
      <c r="I146" s="87">
        <v>11508.44</v>
      </c>
      <c r="J146" s="87">
        <v>5461.99</v>
      </c>
      <c r="K146" s="88">
        <f t="shared" si="0"/>
        <v>0.52539266833732468</v>
      </c>
      <c r="L146" s="87">
        <v>1192.04</v>
      </c>
      <c r="M146" s="88">
        <f t="shared" si="1"/>
        <v>0.10357963372968013</v>
      </c>
      <c r="N146" s="11">
        <v>146.74</v>
      </c>
      <c r="O146" s="11">
        <v>0</v>
      </c>
      <c r="P146" s="11"/>
      <c r="Q146" s="105"/>
      <c r="R146" s="12"/>
      <c r="S146" s="12"/>
      <c r="T146" s="12"/>
      <c r="U146" s="12"/>
    </row>
    <row r="147" spans="1:21" s="2" customFormat="1" ht="15.75" hidden="1" x14ac:dyDescent="0.25">
      <c r="A147" s="21"/>
      <c r="C147" s="86" t="s">
        <v>57</v>
      </c>
      <c r="D147" s="86" t="s">
        <v>74</v>
      </c>
      <c r="E147" s="86" t="s">
        <v>103</v>
      </c>
      <c r="F147" s="10">
        <v>42936</v>
      </c>
      <c r="G147" s="86" t="s">
        <v>269</v>
      </c>
      <c r="H147" s="86" t="s">
        <v>17</v>
      </c>
      <c r="I147" s="87">
        <v>3348.84</v>
      </c>
      <c r="J147" s="87">
        <v>1163.3</v>
      </c>
      <c r="K147" s="88">
        <f t="shared" si="0"/>
        <v>0.65262598392279114</v>
      </c>
      <c r="L147" s="87">
        <v>368.22</v>
      </c>
      <c r="M147" s="88">
        <f t="shared" si="1"/>
        <v>0.10995449170459025</v>
      </c>
      <c r="N147" s="11">
        <v>156.84</v>
      </c>
      <c r="O147" s="11">
        <v>0</v>
      </c>
      <c r="P147" s="11"/>
      <c r="Q147" s="105"/>
      <c r="R147" s="12"/>
      <c r="S147" s="12"/>
      <c r="T147" s="12"/>
      <c r="U147" s="12"/>
    </row>
    <row r="148" spans="1:21" s="2" customFormat="1" ht="15.75" hidden="1" x14ac:dyDescent="0.25">
      <c r="C148" s="86" t="s">
        <v>57</v>
      </c>
      <c r="D148" s="86" t="s">
        <v>188</v>
      </c>
      <c r="E148" s="86" t="s">
        <v>464</v>
      </c>
      <c r="F148" s="10">
        <v>42882</v>
      </c>
      <c r="G148" s="86" t="s">
        <v>270</v>
      </c>
      <c r="H148" s="86" t="s">
        <v>15</v>
      </c>
      <c r="I148" s="87">
        <v>10407.92</v>
      </c>
      <c r="J148" s="87">
        <v>3715.32</v>
      </c>
      <c r="K148" s="88">
        <f t="shared" si="0"/>
        <v>0.64302953904334392</v>
      </c>
      <c r="L148" s="87">
        <v>2920.98</v>
      </c>
      <c r="M148" s="88">
        <f t="shared" si="1"/>
        <v>0.28064973597029952</v>
      </c>
      <c r="N148" s="11">
        <v>4744.22</v>
      </c>
      <c r="O148" s="11">
        <v>0</v>
      </c>
      <c r="P148" s="11" t="s">
        <v>271</v>
      </c>
      <c r="Q148" s="105"/>
    </row>
    <row r="149" spans="1:21" s="2" customFormat="1" ht="15.75" hidden="1" x14ac:dyDescent="0.25">
      <c r="C149" s="86" t="s">
        <v>57</v>
      </c>
      <c r="D149" s="86" t="s">
        <v>225</v>
      </c>
      <c r="E149" s="86" t="s">
        <v>272</v>
      </c>
      <c r="F149" s="10">
        <v>42899</v>
      </c>
      <c r="G149" s="86" t="s">
        <v>273</v>
      </c>
      <c r="H149" s="86" t="s">
        <v>15</v>
      </c>
      <c r="I149" s="87">
        <v>10862.44</v>
      </c>
      <c r="J149" s="87">
        <v>5579.03</v>
      </c>
      <c r="K149" s="88">
        <f t="shared" ref="K149:K212" si="2">(I149-J149)/I149</f>
        <v>0.48639256005096465</v>
      </c>
      <c r="L149" s="87">
        <v>1087.3800000000001</v>
      </c>
      <c r="M149" s="88">
        <f t="shared" ref="M149:M212" si="3">L149/I149</f>
        <v>0.10010458055464519</v>
      </c>
      <c r="N149" s="11">
        <v>1077.8399999999999</v>
      </c>
      <c r="O149" s="11">
        <v>0</v>
      </c>
      <c r="P149" s="11" t="s">
        <v>274</v>
      </c>
      <c r="Q149" s="105"/>
    </row>
    <row r="150" spans="1:21" s="2" customFormat="1" ht="15.75" hidden="1" x14ac:dyDescent="0.25">
      <c r="C150" s="86" t="s">
        <v>77</v>
      </c>
      <c r="D150" s="86" t="s">
        <v>109</v>
      </c>
      <c r="E150" s="86" t="s">
        <v>464</v>
      </c>
      <c r="F150" s="10">
        <v>42822</v>
      </c>
      <c r="G150" s="86" t="s">
        <v>275</v>
      </c>
      <c r="H150" s="86" t="s">
        <v>54</v>
      </c>
      <c r="I150" s="87">
        <v>1212.24</v>
      </c>
      <c r="J150" s="87">
        <v>817.51</v>
      </c>
      <c r="K150" s="88">
        <f t="shared" si="2"/>
        <v>0.32562033920675776</v>
      </c>
      <c r="L150" s="87">
        <v>160.78</v>
      </c>
      <c r="M150" s="88">
        <f t="shared" si="3"/>
        <v>0.13263050221078335</v>
      </c>
      <c r="N150" s="11">
        <v>62.64</v>
      </c>
      <c r="O150" s="11">
        <v>0</v>
      </c>
      <c r="P150" s="11" t="s">
        <v>276</v>
      </c>
      <c r="Q150" s="105"/>
    </row>
    <row r="151" spans="1:21" s="2" customFormat="1" ht="15.75" hidden="1" x14ac:dyDescent="0.25">
      <c r="C151" s="86" t="s">
        <v>57</v>
      </c>
      <c r="D151" s="86" t="s">
        <v>109</v>
      </c>
      <c r="E151" s="86" t="s">
        <v>69</v>
      </c>
      <c r="F151" s="10">
        <v>42919</v>
      </c>
      <c r="G151" s="86" t="s">
        <v>268</v>
      </c>
      <c r="H151" s="86" t="s">
        <v>15</v>
      </c>
      <c r="I151" s="87">
        <v>1753.49</v>
      </c>
      <c r="J151" s="87">
        <v>703.91</v>
      </c>
      <c r="K151" s="88">
        <f t="shared" si="2"/>
        <v>0.598566287803181</v>
      </c>
      <c r="L151" s="87">
        <v>286.08999999999997</v>
      </c>
      <c r="M151" s="88">
        <f t="shared" si="3"/>
        <v>0.16315462306599979</v>
      </c>
      <c r="N151" s="11">
        <v>320.58999999999997</v>
      </c>
      <c r="O151" s="11">
        <v>0</v>
      </c>
      <c r="P151" s="11" t="s">
        <v>277</v>
      </c>
      <c r="Q151" s="105"/>
    </row>
    <row r="152" spans="1:21" s="2" customFormat="1" ht="15.75" hidden="1" x14ac:dyDescent="0.25">
      <c r="C152" s="86" t="s">
        <v>77</v>
      </c>
      <c r="D152" s="86" t="s">
        <v>74</v>
      </c>
      <c r="E152" s="86" t="s">
        <v>103</v>
      </c>
      <c r="F152" s="10">
        <v>42934</v>
      </c>
      <c r="G152" s="86" t="s">
        <v>278</v>
      </c>
      <c r="H152" s="86" t="s">
        <v>17</v>
      </c>
      <c r="I152" s="87">
        <v>4658.82</v>
      </c>
      <c r="J152" s="87">
        <v>1983.49</v>
      </c>
      <c r="K152" s="88">
        <f t="shared" si="2"/>
        <v>0.57425056130093033</v>
      </c>
      <c r="L152" s="87">
        <v>400.91</v>
      </c>
      <c r="M152" s="88">
        <f t="shared" si="3"/>
        <v>8.6053979333822736E-2</v>
      </c>
      <c r="N152" s="11">
        <v>-59.18</v>
      </c>
      <c r="O152" s="11">
        <v>0</v>
      </c>
      <c r="P152" s="11"/>
      <c r="Q152" s="105"/>
    </row>
    <row r="153" spans="1:21" s="2" customFormat="1" ht="15.75" hidden="1" x14ac:dyDescent="0.25">
      <c r="C153" s="86" t="s">
        <v>177</v>
      </c>
      <c r="D153" s="86" t="s">
        <v>68</v>
      </c>
      <c r="E153" s="86" t="s">
        <v>69</v>
      </c>
      <c r="F153" s="10">
        <v>42881</v>
      </c>
      <c r="G153" s="86" t="s">
        <v>279</v>
      </c>
      <c r="H153" s="86" t="s">
        <v>15</v>
      </c>
      <c r="I153" s="87">
        <v>8696.6</v>
      </c>
      <c r="J153" s="87">
        <v>4605.7</v>
      </c>
      <c r="K153" s="88">
        <f t="shared" si="2"/>
        <v>0.47040222615734889</v>
      </c>
      <c r="L153" s="87">
        <v>649.47</v>
      </c>
      <c r="M153" s="88">
        <f t="shared" si="3"/>
        <v>7.4680909780833887E-2</v>
      </c>
      <c r="N153" s="11">
        <v>-75.45</v>
      </c>
      <c r="O153" s="11">
        <v>0</v>
      </c>
      <c r="P153" s="11"/>
      <c r="Q153" s="105"/>
    </row>
    <row r="154" spans="1:21" s="2" customFormat="1" ht="15.75" hidden="1" x14ac:dyDescent="0.25">
      <c r="C154" s="86" t="s">
        <v>57</v>
      </c>
      <c r="D154" s="86" t="s">
        <v>74</v>
      </c>
      <c r="E154" s="86" t="s">
        <v>98</v>
      </c>
      <c r="F154" s="10">
        <v>42935</v>
      </c>
      <c r="G154" s="86" t="s">
        <v>280</v>
      </c>
      <c r="H154" s="86" t="s">
        <v>17</v>
      </c>
      <c r="I154" s="87">
        <v>6093.02</v>
      </c>
      <c r="J154" s="87">
        <v>3527.04</v>
      </c>
      <c r="K154" s="88">
        <f t="shared" si="2"/>
        <v>0.42113434717102527</v>
      </c>
      <c r="L154" s="87">
        <v>492.21</v>
      </c>
      <c r="M154" s="88">
        <f t="shared" si="3"/>
        <v>8.0782600418183415E-2</v>
      </c>
      <c r="N154" s="11">
        <v>-248.98</v>
      </c>
      <c r="O154" s="11">
        <v>0</v>
      </c>
      <c r="P154" s="11" t="s">
        <v>281</v>
      </c>
      <c r="Q154" s="105"/>
    </row>
    <row r="155" spans="1:21" s="2" customFormat="1" ht="15.75" hidden="1" x14ac:dyDescent="0.25">
      <c r="C155" s="86" t="s">
        <v>57</v>
      </c>
      <c r="D155" s="86" t="s">
        <v>74</v>
      </c>
      <c r="E155" s="86" t="s">
        <v>66</v>
      </c>
      <c r="F155" s="10">
        <v>42933</v>
      </c>
      <c r="G155" s="86" t="s">
        <v>282</v>
      </c>
      <c r="H155" s="86" t="s">
        <v>54</v>
      </c>
      <c r="I155" s="87">
        <v>7348.84</v>
      </c>
      <c r="J155" s="87">
        <v>3677.07</v>
      </c>
      <c r="K155" s="88">
        <f t="shared" si="2"/>
        <v>0.49963939887111436</v>
      </c>
      <c r="L155" s="87">
        <v>734.2</v>
      </c>
      <c r="M155" s="88">
        <f t="shared" si="3"/>
        <v>9.9906924085978205E-2</v>
      </c>
      <c r="N155" s="11">
        <v>72.040000000000006</v>
      </c>
      <c r="O155" s="11">
        <v>0</v>
      </c>
      <c r="P155" s="11"/>
      <c r="Q155" s="105"/>
    </row>
    <row r="156" spans="1:21" s="2" customFormat="1" ht="15.75" hidden="1" x14ac:dyDescent="0.25">
      <c r="C156" s="86" t="s">
        <v>57</v>
      </c>
      <c r="D156" s="86" t="s">
        <v>283</v>
      </c>
      <c r="E156" s="86" t="s">
        <v>477</v>
      </c>
      <c r="F156" s="10">
        <v>42940</v>
      </c>
      <c r="G156" s="86" t="s">
        <v>284</v>
      </c>
      <c r="H156" s="86" t="s">
        <v>17</v>
      </c>
      <c r="I156" s="87">
        <v>7906.98</v>
      </c>
      <c r="J156" s="87">
        <v>3387.68</v>
      </c>
      <c r="K156" s="88">
        <f t="shared" si="2"/>
        <v>0.57155829406423175</v>
      </c>
      <c r="L156" s="87">
        <v>902.05</v>
      </c>
      <c r="M156" s="88">
        <f t="shared" si="3"/>
        <v>0.11408274714239823</v>
      </c>
      <c r="N156" s="11">
        <v>394.13</v>
      </c>
      <c r="O156" s="11">
        <v>0</v>
      </c>
      <c r="P156" s="11" t="s">
        <v>285</v>
      </c>
      <c r="Q156" s="105"/>
    </row>
    <row r="157" spans="1:21" s="2" customFormat="1" ht="15.75" hidden="1" x14ac:dyDescent="0.25">
      <c r="C157" s="86" t="s">
        <v>286</v>
      </c>
      <c r="D157" s="86" t="s">
        <v>121</v>
      </c>
      <c r="E157" s="86" t="s">
        <v>64</v>
      </c>
      <c r="F157" s="10">
        <v>42913</v>
      </c>
      <c r="G157" s="86" t="s">
        <v>287</v>
      </c>
      <c r="H157" s="86" t="s">
        <v>13</v>
      </c>
      <c r="I157" s="87">
        <v>2575.6999999999998</v>
      </c>
      <c r="J157" s="87">
        <v>1256.5999999999999</v>
      </c>
      <c r="K157" s="88">
        <f t="shared" si="2"/>
        <v>0.51213262414101024</v>
      </c>
      <c r="L157" s="87">
        <v>196.13</v>
      </c>
      <c r="M157" s="88">
        <f t="shared" si="3"/>
        <v>7.6146290328842653E-2</v>
      </c>
      <c r="N157" s="11">
        <v>76.7</v>
      </c>
      <c r="O157" s="11">
        <v>0</v>
      </c>
      <c r="P157" s="11"/>
      <c r="Q157" s="105"/>
    </row>
    <row r="158" spans="1:21" s="2" customFormat="1" ht="15.75" hidden="1" x14ac:dyDescent="0.25">
      <c r="C158" s="86" t="s">
        <v>57</v>
      </c>
      <c r="D158" s="86" t="s">
        <v>63</v>
      </c>
      <c r="E158" s="86" t="s">
        <v>478</v>
      </c>
      <c r="F158" s="10">
        <v>42809</v>
      </c>
      <c r="G158" s="86" t="s">
        <v>288</v>
      </c>
      <c r="H158" s="86" t="s">
        <v>17</v>
      </c>
      <c r="I158" s="87">
        <v>9048.34</v>
      </c>
      <c r="J158" s="87">
        <v>4912.66</v>
      </c>
      <c r="K158" s="88">
        <f t="shared" si="2"/>
        <v>0.45706505281631771</v>
      </c>
      <c r="L158" s="87">
        <v>629.79999999999995</v>
      </c>
      <c r="M158" s="88">
        <f t="shared" si="3"/>
        <v>6.9603927350210093E-2</v>
      </c>
      <c r="N158" s="11">
        <v>-745.1</v>
      </c>
      <c r="O158" s="11">
        <v>100</v>
      </c>
      <c r="P158" s="11"/>
      <c r="Q158" s="105"/>
    </row>
    <row r="159" spans="1:21" s="2" customFormat="1" ht="15.75" hidden="1" x14ac:dyDescent="0.25">
      <c r="C159" s="86" t="s">
        <v>228</v>
      </c>
      <c r="D159" s="86" t="s">
        <v>188</v>
      </c>
      <c r="E159" s="86" t="s">
        <v>464</v>
      </c>
      <c r="F159" s="10">
        <v>42852</v>
      </c>
      <c r="G159" s="86" t="s">
        <v>114</v>
      </c>
      <c r="H159" s="86" t="s">
        <v>479</v>
      </c>
      <c r="I159" s="87">
        <v>16461.88</v>
      </c>
      <c r="J159" s="87">
        <v>7132.31</v>
      </c>
      <c r="K159" s="88">
        <f t="shared" si="2"/>
        <v>0.56673782095362124</v>
      </c>
      <c r="L159" s="87">
        <v>2983.04</v>
      </c>
      <c r="M159" s="88">
        <f t="shared" si="3"/>
        <v>0.18120895061803388</v>
      </c>
      <c r="N159" s="11">
        <v>3385.88</v>
      </c>
      <c r="O159" s="11">
        <v>0</v>
      </c>
      <c r="P159" s="11" t="s">
        <v>289</v>
      </c>
      <c r="Q159" s="105"/>
    </row>
    <row r="160" spans="1:21" s="2" customFormat="1" ht="15.75" hidden="1" x14ac:dyDescent="0.25">
      <c r="C160" s="86" t="s">
        <v>57</v>
      </c>
      <c r="D160" s="86" t="s">
        <v>74</v>
      </c>
      <c r="E160" s="86" t="s">
        <v>103</v>
      </c>
      <c r="F160" s="10">
        <v>42901</v>
      </c>
      <c r="G160" s="86" t="s">
        <v>290</v>
      </c>
      <c r="H160" s="86" t="s">
        <v>22</v>
      </c>
      <c r="I160" s="87">
        <v>8400</v>
      </c>
      <c r="J160" s="87">
        <v>3165.41</v>
      </c>
      <c r="K160" s="88">
        <f t="shared" si="2"/>
        <v>0.62316547619047624</v>
      </c>
      <c r="L160" s="87">
        <v>941.68</v>
      </c>
      <c r="M160" s="88">
        <f t="shared" si="3"/>
        <v>0.1121047619047619</v>
      </c>
      <c r="N160" s="11">
        <v>109.2</v>
      </c>
      <c r="O160" s="11">
        <v>0</v>
      </c>
      <c r="P160" s="11"/>
      <c r="Q160" s="105"/>
    </row>
    <row r="161" spans="3:17" s="2" customFormat="1" ht="15.75" hidden="1" x14ac:dyDescent="0.25">
      <c r="C161" s="86" t="s">
        <v>57</v>
      </c>
      <c r="D161" s="86" t="s">
        <v>74</v>
      </c>
      <c r="E161" s="86" t="s">
        <v>477</v>
      </c>
      <c r="F161" s="10">
        <v>42892</v>
      </c>
      <c r="G161" s="111" t="s">
        <v>291</v>
      </c>
      <c r="H161" s="86" t="s">
        <v>29</v>
      </c>
      <c r="I161" s="87">
        <v>22654.62</v>
      </c>
      <c r="J161" s="87">
        <v>7855.95</v>
      </c>
      <c r="K161" s="88">
        <f t="shared" si="2"/>
        <v>0.65322967235822094</v>
      </c>
      <c r="L161" s="87">
        <v>2661.87</v>
      </c>
      <c r="M161" s="88">
        <f t="shared" si="3"/>
        <v>0.11749788784804159</v>
      </c>
      <c r="N161" s="11">
        <v>1743.52</v>
      </c>
      <c r="O161" s="11">
        <v>0</v>
      </c>
      <c r="P161" s="11"/>
      <c r="Q161" s="105"/>
    </row>
    <row r="162" spans="3:17" s="2" customFormat="1" ht="15.75" hidden="1" x14ac:dyDescent="0.25">
      <c r="C162" s="86" t="s">
        <v>292</v>
      </c>
      <c r="D162" s="86" t="s">
        <v>74</v>
      </c>
      <c r="E162" s="86" t="s">
        <v>98</v>
      </c>
      <c r="F162" s="10">
        <v>42851</v>
      </c>
      <c r="G162" s="111" t="s">
        <v>293</v>
      </c>
      <c r="H162" s="86" t="s">
        <v>28</v>
      </c>
      <c r="I162" s="87">
        <v>42201.05</v>
      </c>
      <c r="J162" s="87">
        <v>20488.3</v>
      </c>
      <c r="K162" s="88">
        <f t="shared" si="2"/>
        <v>0.51450734045716873</v>
      </c>
      <c r="L162" s="87">
        <v>3646.02</v>
      </c>
      <c r="M162" s="88">
        <f t="shared" si="3"/>
        <v>8.6396428524882662E-2</v>
      </c>
      <c r="N162" s="11">
        <v>2106.87</v>
      </c>
      <c r="O162" s="11">
        <v>0</v>
      </c>
      <c r="P162" s="11" t="s">
        <v>285</v>
      </c>
      <c r="Q162" s="105"/>
    </row>
    <row r="163" spans="3:17" s="2" customFormat="1" ht="15.75" hidden="1" x14ac:dyDescent="0.25">
      <c r="C163" s="86" t="s">
        <v>386</v>
      </c>
      <c r="D163" s="86" t="s">
        <v>74</v>
      </c>
      <c r="E163" s="86" t="s">
        <v>66</v>
      </c>
      <c r="F163" s="10">
        <v>42954</v>
      </c>
      <c r="G163" s="111" t="s">
        <v>119</v>
      </c>
      <c r="H163" s="86" t="s">
        <v>18</v>
      </c>
      <c r="I163" s="87">
        <v>3462.2</v>
      </c>
      <c r="J163" s="87">
        <v>1369.18</v>
      </c>
      <c r="K163" s="88">
        <f t="shared" si="2"/>
        <v>0.60453468892611628</v>
      </c>
      <c r="L163" s="87">
        <v>512.66999999999996</v>
      </c>
      <c r="M163" s="88">
        <f t="shared" si="3"/>
        <v>0.14807636762752008</v>
      </c>
      <c r="N163" s="11">
        <v>507.9</v>
      </c>
      <c r="O163" s="11">
        <v>0</v>
      </c>
      <c r="P163" s="11"/>
      <c r="Q163" s="105"/>
    </row>
    <row r="164" spans="3:17" s="2" customFormat="1" ht="15.75" hidden="1" x14ac:dyDescent="0.25">
      <c r="C164" s="86" t="s">
        <v>386</v>
      </c>
      <c r="D164" s="86" t="s">
        <v>63</v>
      </c>
      <c r="E164" s="86" t="s">
        <v>98</v>
      </c>
      <c r="F164" s="10">
        <v>42898</v>
      </c>
      <c r="G164" s="111" t="s">
        <v>294</v>
      </c>
      <c r="H164" s="86" t="s">
        <v>14</v>
      </c>
      <c r="I164" s="87">
        <v>14495.1</v>
      </c>
      <c r="J164" s="87">
        <v>12408.59</v>
      </c>
      <c r="K164" s="88">
        <f t="shared" si="2"/>
        <v>0.14394588516119242</v>
      </c>
      <c r="L164" s="87">
        <v>371.65</v>
      </c>
      <c r="M164" s="88">
        <f t="shared" si="3"/>
        <v>2.5639698932742788E-2</v>
      </c>
      <c r="N164" s="11">
        <v>-5410.6</v>
      </c>
      <c r="O164" s="11">
        <v>2057.96</v>
      </c>
      <c r="P164" s="11" t="s">
        <v>295</v>
      </c>
      <c r="Q164" s="105"/>
    </row>
    <row r="165" spans="3:17" s="2" customFormat="1" ht="15.75" hidden="1" x14ac:dyDescent="0.25">
      <c r="C165" s="86" t="s">
        <v>57</v>
      </c>
      <c r="D165" s="86" t="s">
        <v>121</v>
      </c>
      <c r="E165" s="86" t="s">
        <v>66</v>
      </c>
      <c r="F165" s="10">
        <v>42924</v>
      </c>
      <c r="G165" s="111" t="s">
        <v>296</v>
      </c>
      <c r="H165" s="86" t="s">
        <v>18</v>
      </c>
      <c r="I165" s="87">
        <v>6277.08</v>
      </c>
      <c r="J165" s="87">
        <v>2545.17</v>
      </c>
      <c r="K165" s="88">
        <f t="shared" si="2"/>
        <v>0.5945296220535663</v>
      </c>
      <c r="L165" s="87">
        <v>777.44</v>
      </c>
      <c r="M165" s="88">
        <f t="shared" si="3"/>
        <v>0.12385376640093802</v>
      </c>
      <c r="N165" s="11">
        <v>435.58</v>
      </c>
      <c r="O165" s="11">
        <v>0</v>
      </c>
      <c r="P165" s="11"/>
      <c r="Q165" s="105"/>
    </row>
    <row r="166" spans="3:17" s="2" customFormat="1" ht="15.75" hidden="1" x14ac:dyDescent="0.25">
      <c r="C166" s="86" t="s">
        <v>286</v>
      </c>
      <c r="D166" s="86" t="s">
        <v>109</v>
      </c>
      <c r="E166" s="86" t="s">
        <v>481</v>
      </c>
      <c r="F166" s="10">
        <v>42916</v>
      </c>
      <c r="G166" s="111" t="s">
        <v>297</v>
      </c>
      <c r="H166" s="86" t="s">
        <v>16</v>
      </c>
      <c r="I166" s="87">
        <v>22029.84</v>
      </c>
      <c r="J166" s="87">
        <v>13551.24</v>
      </c>
      <c r="K166" s="88">
        <f t="shared" si="2"/>
        <v>0.38486888692791232</v>
      </c>
      <c r="L166" s="87">
        <v>1127.6099999999999</v>
      </c>
      <c r="M166" s="88">
        <f t="shared" si="3"/>
        <v>5.118557374906036E-2</v>
      </c>
      <c r="N166" s="11">
        <v>-1799.27</v>
      </c>
      <c r="O166" s="11">
        <v>0</v>
      </c>
      <c r="P166" s="11" t="s">
        <v>298</v>
      </c>
      <c r="Q166" s="105"/>
    </row>
    <row r="167" spans="3:17" s="2" customFormat="1" ht="15.75" hidden="1" x14ac:dyDescent="0.25">
      <c r="C167" s="86" t="s">
        <v>57</v>
      </c>
      <c r="D167" s="86" t="s">
        <v>109</v>
      </c>
      <c r="E167" s="86" t="s">
        <v>72</v>
      </c>
      <c r="F167" s="10">
        <v>42852</v>
      </c>
      <c r="G167" s="111" t="s">
        <v>299</v>
      </c>
      <c r="H167" s="86" t="s">
        <v>16</v>
      </c>
      <c r="I167" s="87">
        <v>56657.89</v>
      </c>
      <c r="J167" s="87">
        <v>32507.87</v>
      </c>
      <c r="K167" s="88">
        <f t="shared" si="2"/>
        <v>0.42624284102355381</v>
      </c>
      <c r="L167" s="87">
        <v>6206.89</v>
      </c>
      <c r="M167" s="88">
        <f t="shared" si="3"/>
        <v>0.10955032035255814</v>
      </c>
      <c r="N167" s="11">
        <v>2823.49</v>
      </c>
      <c r="O167" s="11">
        <v>0</v>
      </c>
      <c r="P167" s="11" t="s">
        <v>300</v>
      </c>
      <c r="Q167" s="105"/>
    </row>
    <row r="168" spans="3:17" s="2" customFormat="1" ht="15.75" hidden="1" x14ac:dyDescent="0.25">
      <c r="C168" s="86" t="s">
        <v>57</v>
      </c>
      <c r="D168" s="86" t="s">
        <v>188</v>
      </c>
      <c r="E168" s="86" t="s">
        <v>464</v>
      </c>
      <c r="F168" s="10">
        <v>42873</v>
      </c>
      <c r="G168" s="111" t="s">
        <v>301</v>
      </c>
      <c r="H168" s="86" t="s">
        <v>15</v>
      </c>
      <c r="I168" s="87">
        <v>18131.16</v>
      </c>
      <c r="J168" s="87">
        <v>8614.07</v>
      </c>
      <c r="K168" s="88">
        <f t="shared" si="2"/>
        <v>0.52490243315926832</v>
      </c>
      <c r="L168" s="87">
        <v>1647.12</v>
      </c>
      <c r="M168" s="88">
        <f t="shared" si="3"/>
        <v>9.0844711535279593E-2</v>
      </c>
      <c r="N168" s="11">
        <v>-371.24</v>
      </c>
      <c r="O168" s="11">
        <v>0</v>
      </c>
      <c r="P168" s="11"/>
      <c r="Q168" s="105"/>
    </row>
    <row r="169" spans="3:17" s="2" customFormat="1" ht="15.75" hidden="1" x14ac:dyDescent="0.25">
      <c r="C169" s="86" t="s">
        <v>57</v>
      </c>
      <c r="D169" s="86" t="s">
        <v>68</v>
      </c>
      <c r="E169" s="86" t="s">
        <v>69</v>
      </c>
      <c r="F169" s="10">
        <v>42913</v>
      </c>
      <c r="G169" s="111" t="s">
        <v>302</v>
      </c>
      <c r="H169" s="86" t="s">
        <v>15</v>
      </c>
      <c r="I169" s="87">
        <v>9695.98</v>
      </c>
      <c r="J169" s="87">
        <v>3703.14</v>
      </c>
      <c r="K169" s="88">
        <f t="shared" si="2"/>
        <v>0.61807470724980873</v>
      </c>
      <c r="L169" s="87">
        <v>993.37</v>
      </c>
      <c r="M169" s="88">
        <f t="shared" si="3"/>
        <v>0.10245173773048212</v>
      </c>
      <c r="N169" s="11">
        <v>120.68</v>
      </c>
      <c r="O169" s="11">
        <v>0</v>
      </c>
      <c r="P169" s="11"/>
      <c r="Q169" s="105"/>
    </row>
    <row r="170" spans="3:17" s="2" customFormat="1" ht="15.75" hidden="1" x14ac:dyDescent="0.25">
      <c r="C170" s="86" t="s">
        <v>57</v>
      </c>
      <c r="D170" s="86" t="s">
        <v>74</v>
      </c>
      <c r="E170" s="86" t="s">
        <v>477</v>
      </c>
      <c r="F170" s="10">
        <v>42833</v>
      </c>
      <c r="G170" s="111" t="s">
        <v>303</v>
      </c>
      <c r="H170" s="86" t="s">
        <v>28</v>
      </c>
      <c r="I170" s="87">
        <v>38509.74</v>
      </c>
      <c r="J170" s="87">
        <v>15043.63</v>
      </c>
      <c r="K170" s="88">
        <f t="shared" si="2"/>
        <v>0.60935519169955454</v>
      </c>
      <c r="L170" s="87">
        <v>5035.12</v>
      </c>
      <c r="M170" s="88">
        <f t="shared" si="3"/>
        <v>0.1307492597976512</v>
      </c>
      <c r="N170" s="11">
        <v>3518.62</v>
      </c>
      <c r="O170" s="11">
        <v>0</v>
      </c>
      <c r="P170" s="11"/>
      <c r="Q170" s="105"/>
    </row>
    <row r="171" spans="3:17" s="2" customFormat="1" ht="15.75" hidden="1" x14ac:dyDescent="0.25">
      <c r="C171" s="86" t="s">
        <v>57</v>
      </c>
      <c r="D171" s="86" t="s">
        <v>74</v>
      </c>
      <c r="E171" s="86" t="s">
        <v>66</v>
      </c>
      <c r="F171" s="10">
        <v>42955</v>
      </c>
      <c r="G171" s="111" t="s">
        <v>304</v>
      </c>
      <c r="H171" s="86" t="s">
        <v>54</v>
      </c>
      <c r="I171" s="87">
        <v>3627.91</v>
      </c>
      <c r="J171" s="87">
        <v>1469.66</v>
      </c>
      <c r="K171" s="88">
        <f t="shared" si="2"/>
        <v>0.59490174783828709</v>
      </c>
      <c r="L171" s="87">
        <v>278.95999999999998</v>
      </c>
      <c r="M171" s="88">
        <f t="shared" si="3"/>
        <v>7.6892756435523485E-2</v>
      </c>
      <c r="N171" s="11">
        <v>223.39</v>
      </c>
      <c r="O171" s="11">
        <v>0</v>
      </c>
      <c r="P171" s="11"/>
      <c r="Q171" s="105"/>
    </row>
    <row r="172" spans="3:17" s="2" customFormat="1" ht="15.75" hidden="1" x14ac:dyDescent="0.25">
      <c r="C172" s="86" t="s">
        <v>57</v>
      </c>
      <c r="D172" s="86" t="s">
        <v>188</v>
      </c>
      <c r="E172" s="86" t="s">
        <v>69</v>
      </c>
      <c r="F172" s="10">
        <v>42893</v>
      </c>
      <c r="G172" s="111" t="s">
        <v>305</v>
      </c>
      <c r="H172" s="86" t="s">
        <v>15</v>
      </c>
      <c r="I172" s="87">
        <v>7781.95</v>
      </c>
      <c r="J172" s="87">
        <v>2757.3</v>
      </c>
      <c r="K172" s="88">
        <f t="shared" si="2"/>
        <v>0.64568006733530792</v>
      </c>
      <c r="L172" s="87">
        <v>1227.28</v>
      </c>
      <c r="M172" s="88">
        <f t="shared" si="3"/>
        <v>0.15770854348845725</v>
      </c>
      <c r="N172" s="11">
        <v>1166.46</v>
      </c>
      <c r="O172" s="11">
        <v>0</v>
      </c>
      <c r="P172" s="11"/>
      <c r="Q172" s="105"/>
    </row>
    <row r="173" spans="3:17" s="2" customFormat="1" ht="15.75" hidden="1" x14ac:dyDescent="0.25">
      <c r="C173" s="86" t="s">
        <v>57</v>
      </c>
      <c r="D173" s="86" t="s">
        <v>188</v>
      </c>
      <c r="E173" s="86" t="s">
        <v>69</v>
      </c>
      <c r="F173" s="10">
        <v>42874</v>
      </c>
      <c r="G173" s="111" t="s">
        <v>306</v>
      </c>
      <c r="H173" s="86" t="s">
        <v>15</v>
      </c>
      <c r="I173" s="87">
        <v>9955.9699999999993</v>
      </c>
      <c r="J173" s="87">
        <v>5346.63</v>
      </c>
      <c r="K173" s="88">
        <f t="shared" si="2"/>
        <v>0.46297246777561601</v>
      </c>
      <c r="L173" s="87">
        <v>922.52</v>
      </c>
      <c r="M173" s="88">
        <f t="shared" si="3"/>
        <v>9.2659981900307054E-2</v>
      </c>
      <c r="N173" s="11">
        <v>332.05</v>
      </c>
      <c r="O173" s="11">
        <v>0</v>
      </c>
      <c r="P173" s="11" t="s">
        <v>307</v>
      </c>
      <c r="Q173" s="105"/>
    </row>
    <row r="174" spans="3:17" s="2" customFormat="1" ht="15.75" hidden="1" x14ac:dyDescent="0.25">
      <c r="C174" s="86" t="s">
        <v>386</v>
      </c>
      <c r="D174" s="86" t="s">
        <v>68</v>
      </c>
      <c r="E174" s="86" t="s">
        <v>64</v>
      </c>
      <c r="F174" s="10">
        <v>42903</v>
      </c>
      <c r="G174" s="111" t="s">
        <v>308</v>
      </c>
      <c r="H174" s="86" t="s">
        <v>18</v>
      </c>
      <c r="I174" s="87">
        <v>14345.55</v>
      </c>
      <c r="J174" s="87">
        <v>10877.21</v>
      </c>
      <c r="K174" s="88">
        <f t="shared" si="2"/>
        <v>0.24177114157351934</v>
      </c>
      <c r="L174" s="87">
        <v>747</v>
      </c>
      <c r="M174" s="88">
        <f t="shared" si="3"/>
        <v>5.2071896860001882E-2</v>
      </c>
      <c r="N174" s="11">
        <v>-2133.65</v>
      </c>
      <c r="O174" s="11">
        <v>507.83</v>
      </c>
      <c r="P174" s="11" t="s">
        <v>309</v>
      </c>
      <c r="Q174" s="105"/>
    </row>
    <row r="175" spans="3:17" s="2" customFormat="1" ht="15.75" x14ac:dyDescent="0.25">
      <c r="C175" s="86" t="s">
        <v>483</v>
      </c>
      <c r="D175" s="86" t="s">
        <v>121</v>
      </c>
      <c r="E175" s="86" t="s">
        <v>66</v>
      </c>
      <c r="F175" s="10">
        <v>42940</v>
      </c>
      <c r="G175" s="111" t="s">
        <v>310</v>
      </c>
      <c r="H175" s="86" t="s">
        <v>13</v>
      </c>
      <c r="I175" s="87">
        <v>2572.35</v>
      </c>
      <c r="J175" s="87">
        <v>1297.58</v>
      </c>
      <c r="K175" s="88">
        <f t="shared" si="2"/>
        <v>0.49556631096079462</v>
      </c>
      <c r="L175" s="87">
        <v>183.32</v>
      </c>
      <c r="M175" s="88">
        <f t="shared" si="3"/>
        <v>7.1265574280327329E-2</v>
      </c>
      <c r="N175" s="11">
        <v>76.75</v>
      </c>
      <c r="O175" s="11">
        <v>0</v>
      </c>
      <c r="P175" s="11"/>
      <c r="Q175" s="105"/>
    </row>
    <row r="176" spans="3:17" s="2" customFormat="1" ht="15.75" hidden="1" x14ac:dyDescent="0.25">
      <c r="C176" s="86" t="s">
        <v>57</v>
      </c>
      <c r="D176" s="86" t="s">
        <v>188</v>
      </c>
      <c r="E176" s="86" t="s">
        <v>464</v>
      </c>
      <c r="F176" s="10">
        <v>42891</v>
      </c>
      <c r="G176" s="111" t="s">
        <v>265</v>
      </c>
      <c r="H176" s="86" t="s">
        <v>479</v>
      </c>
      <c r="I176" s="87">
        <v>17693.32</v>
      </c>
      <c r="J176" s="87">
        <v>6705.56</v>
      </c>
      <c r="K176" s="88">
        <f t="shared" si="2"/>
        <v>0.62101177167428157</v>
      </c>
      <c r="L176" s="87">
        <v>3180.16</v>
      </c>
      <c r="M176" s="88">
        <f t="shared" si="3"/>
        <v>0.17973788977987171</v>
      </c>
      <c r="N176" s="11">
        <v>3570.82</v>
      </c>
      <c r="O176" s="11">
        <v>0</v>
      </c>
      <c r="P176" s="11"/>
      <c r="Q176" s="105"/>
    </row>
    <row r="177" spans="3:17" s="2" customFormat="1" ht="15.75" hidden="1" x14ac:dyDescent="0.25">
      <c r="C177" s="86" t="s">
        <v>286</v>
      </c>
      <c r="D177" s="86" t="s">
        <v>74</v>
      </c>
      <c r="E177" s="86" t="s">
        <v>98</v>
      </c>
      <c r="F177" s="10">
        <v>42945</v>
      </c>
      <c r="G177" s="111" t="s">
        <v>208</v>
      </c>
      <c r="H177" s="86" t="s">
        <v>14</v>
      </c>
      <c r="I177" s="87">
        <v>7884.09</v>
      </c>
      <c r="J177" s="87">
        <v>3261.43</v>
      </c>
      <c r="K177" s="88">
        <f t="shared" si="2"/>
        <v>0.58632765480860816</v>
      </c>
      <c r="L177" s="87">
        <v>1008.7</v>
      </c>
      <c r="M177" s="88">
        <f t="shared" si="3"/>
        <v>0.12794120818001825</v>
      </c>
      <c r="N177" s="11">
        <v>600.59</v>
      </c>
      <c r="O177" s="11">
        <v>0</v>
      </c>
      <c r="P177" s="11"/>
      <c r="Q177" s="105"/>
    </row>
    <row r="178" spans="3:17" s="2" customFormat="1" ht="15.75" hidden="1" x14ac:dyDescent="0.25">
      <c r="C178" s="86" t="s">
        <v>57</v>
      </c>
      <c r="D178" s="86" t="s">
        <v>74</v>
      </c>
      <c r="E178" s="86" t="s">
        <v>477</v>
      </c>
      <c r="F178" s="10">
        <v>42952</v>
      </c>
      <c r="G178" s="111" t="s">
        <v>311</v>
      </c>
      <c r="H178" s="86" t="s">
        <v>14</v>
      </c>
      <c r="I178" s="87">
        <v>7271.63</v>
      </c>
      <c r="J178" s="87">
        <v>3348.22</v>
      </c>
      <c r="K178" s="88">
        <f t="shared" si="2"/>
        <v>0.53955027964844204</v>
      </c>
      <c r="L178" s="87">
        <v>779.12</v>
      </c>
      <c r="M178" s="88">
        <f t="shared" si="3"/>
        <v>0.10714516552684886</v>
      </c>
      <c r="N178" s="11">
        <v>243.63</v>
      </c>
      <c r="O178" s="11">
        <v>0</v>
      </c>
      <c r="P178" s="11"/>
      <c r="Q178" s="105"/>
    </row>
    <row r="179" spans="3:17" s="2" customFormat="1" ht="15.75" hidden="1" x14ac:dyDescent="0.25">
      <c r="C179" s="86" t="s">
        <v>57</v>
      </c>
      <c r="D179" s="86" t="s">
        <v>74</v>
      </c>
      <c r="E179" s="86" t="s">
        <v>103</v>
      </c>
      <c r="F179" s="10">
        <v>42944</v>
      </c>
      <c r="G179" s="111" t="s">
        <v>312</v>
      </c>
      <c r="H179" s="86" t="s">
        <v>17</v>
      </c>
      <c r="I179" s="87">
        <v>3813.95</v>
      </c>
      <c r="J179" s="87">
        <v>1775.34</v>
      </c>
      <c r="K179" s="88">
        <f t="shared" si="2"/>
        <v>0.53451408644581078</v>
      </c>
      <c r="L179" s="87">
        <v>368.8</v>
      </c>
      <c r="M179" s="88">
        <f t="shared" si="3"/>
        <v>9.6697649418581791E-2</v>
      </c>
      <c r="N179" s="11">
        <v>81.55</v>
      </c>
      <c r="O179" s="11">
        <v>0</v>
      </c>
      <c r="P179" s="11"/>
      <c r="Q179" s="105"/>
    </row>
    <row r="180" spans="3:17" s="2" customFormat="1" ht="15.75" hidden="1" x14ac:dyDescent="0.25">
      <c r="C180" s="86" t="s">
        <v>57</v>
      </c>
      <c r="D180" s="86" t="s">
        <v>74</v>
      </c>
      <c r="E180" s="86" t="s">
        <v>103</v>
      </c>
      <c r="F180" s="10">
        <v>42905</v>
      </c>
      <c r="G180" s="111" t="s">
        <v>313</v>
      </c>
      <c r="H180" s="86" t="s">
        <v>22</v>
      </c>
      <c r="I180" s="87">
        <v>9100</v>
      </c>
      <c r="J180" s="87">
        <v>3761.43</v>
      </c>
      <c r="K180" s="88">
        <f t="shared" si="2"/>
        <v>0.58665604395604387</v>
      </c>
      <c r="L180" s="87">
        <v>954.24</v>
      </c>
      <c r="M180" s="88">
        <f t="shared" si="3"/>
        <v>0.10486153846153846</v>
      </c>
      <c r="N180" s="11">
        <v>366.1</v>
      </c>
      <c r="O180" s="11">
        <v>0</v>
      </c>
      <c r="P180" s="11" t="s">
        <v>285</v>
      </c>
      <c r="Q180" s="105"/>
    </row>
    <row r="181" spans="3:17" s="2" customFormat="1" ht="15.75" hidden="1" x14ac:dyDescent="0.25">
      <c r="C181" s="86" t="s">
        <v>57</v>
      </c>
      <c r="D181" s="86" t="s">
        <v>68</v>
      </c>
      <c r="E181" s="86" t="s">
        <v>69</v>
      </c>
      <c r="F181" s="10">
        <v>42962</v>
      </c>
      <c r="G181" s="111" t="s">
        <v>314</v>
      </c>
      <c r="H181" s="86" t="s">
        <v>15</v>
      </c>
      <c r="I181" s="87">
        <v>3942.33</v>
      </c>
      <c r="J181" s="87">
        <v>2248.27</v>
      </c>
      <c r="K181" s="88">
        <f t="shared" si="2"/>
        <v>0.42971034895607418</v>
      </c>
      <c r="L181" s="87">
        <v>329.16</v>
      </c>
      <c r="M181" s="88">
        <f t="shared" si="3"/>
        <v>8.3493771449878629E-2</v>
      </c>
      <c r="N181" s="11">
        <v>59.83</v>
      </c>
      <c r="O181" s="11">
        <v>0</v>
      </c>
      <c r="P181" s="11" t="s">
        <v>315</v>
      </c>
      <c r="Q181" s="105"/>
    </row>
    <row r="182" spans="3:17" s="2" customFormat="1" ht="15.75" hidden="1" x14ac:dyDescent="0.25">
      <c r="C182" s="86" t="s">
        <v>57</v>
      </c>
      <c r="D182" s="86" t="s">
        <v>188</v>
      </c>
      <c r="E182" s="86" t="s">
        <v>69</v>
      </c>
      <c r="F182" s="10">
        <v>42917</v>
      </c>
      <c r="G182" s="111" t="s">
        <v>316</v>
      </c>
      <c r="H182" s="86" t="s">
        <v>15</v>
      </c>
      <c r="I182" s="87">
        <v>8097.73</v>
      </c>
      <c r="J182" s="87">
        <v>3657.75</v>
      </c>
      <c r="K182" s="88">
        <f t="shared" si="2"/>
        <v>0.54829933820959698</v>
      </c>
      <c r="L182" s="87">
        <v>732.25</v>
      </c>
      <c r="M182" s="88">
        <f t="shared" si="3"/>
        <v>9.0426576336825257E-2</v>
      </c>
      <c r="N182" s="11">
        <v>-731.79</v>
      </c>
      <c r="O182" s="11">
        <v>232.69</v>
      </c>
      <c r="P182" s="11" t="s">
        <v>317</v>
      </c>
      <c r="Q182" s="105"/>
    </row>
    <row r="183" spans="3:17" s="2" customFormat="1" ht="15.75" hidden="1" x14ac:dyDescent="0.25">
      <c r="C183" s="86" t="s">
        <v>57</v>
      </c>
      <c r="D183" s="86" t="s">
        <v>188</v>
      </c>
      <c r="E183" s="86" t="s">
        <v>477</v>
      </c>
      <c r="F183" s="10">
        <v>42882</v>
      </c>
      <c r="G183" s="111" t="s">
        <v>318</v>
      </c>
      <c r="H183" s="86" t="s">
        <v>17</v>
      </c>
      <c r="I183" s="87">
        <v>10407.92</v>
      </c>
      <c r="J183" s="87">
        <v>3331.15</v>
      </c>
      <c r="K183" s="88">
        <f t="shared" si="2"/>
        <v>0.67994085273522475</v>
      </c>
      <c r="L183" s="87">
        <v>2636.08</v>
      </c>
      <c r="M183" s="88">
        <f t="shared" si="3"/>
        <v>0.25327635108648028</v>
      </c>
      <c r="N183" s="11">
        <v>4107.92</v>
      </c>
      <c r="O183" s="11">
        <v>0</v>
      </c>
      <c r="P183" s="11" t="s">
        <v>271</v>
      </c>
      <c r="Q183" s="105"/>
    </row>
    <row r="184" spans="3:17" s="2" customFormat="1" ht="15.75" hidden="1" x14ac:dyDescent="0.25">
      <c r="C184" s="86" t="s">
        <v>62</v>
      </c>
      <c r="D184" s="86" t="s">
        <v>58</v>
      </c>
      <c r="E184" s="86" t="s">
        <v>98</v>
      </c>
      <c r="F184" s="10">
        <v>42949</v>
      </c>
      <c r="G184" s="111" t="s">
        <v>319</v>
      </c>
      <c r="H184" s="86" t="s">
        <v>17</v>
      </c>
      <c r="I184" s="87">
        <v>7211.6346713205348</v>
      </c>
      <c r="J184" s="87">
        <v>4170.75</v>
      </c>
      <c r="K184" s="88">
        <f t="shared" si="2"/>
        <v>0.42166371563629323</v>
      </c>
      <c r="L184" s="87">
        <v>576.79733566026766</v>
      </c>
      <c r="M184" s="88">
        <f t="shared" si="3"/>
        <v>7.9981496837893656E-2</v>
      </c>
      <c r="N184" s="11">
        <v>-195.16532867946444</v>
      </c>
      <c r="O184" s="11">
        <v>0</v>
      </c>
      <c r="P184" s="11" t="s">
        <v>320</v>
      </c>
      <c r="Q184" s="105"/>
    </row>
    <row r="185" spans="3:17" s="2" customFormat="1" ht="15.75" hidden="1" x14ac:dyDescent="0.25">
      <c r="C185" s="86" t="s">
        <v>57</v>
      </c>
      <c r="D185" s="86" t="s">
        <v>58</v>
      </c>
      <c r="E185" s="86" t="s">
        <v>98</v>
      </c>
      <c r="F185" s="10">
        <v>42983</v>
      </c>
      <c r="G185" s="111" t="s">
        <v>321</v>
      </c>
      <c r="H185" s="86" t="s">
        <v>24</v>
      </c>
      <c r="I185" s="87">
        <v>4098.6000000000004</v>
      </c>
      <c r="J185" s="87">
        <v>1738.81</v>
      </c>
      <c r="K185" s="88">
        <f t="shared" si="2"/>
        <v>0.57575513590006344</v>
      </c>
      <c r="L185" s="87">
        <v>377.7</v>
      </c>
      <c r="M185" s="88">
        <f t="shared" si="3"/>
        <v>9.2153418240374749E-2</v>
      </c>
      <c r="N185" s="11">
        <v>24.6</v>
      </c>
      <c r="O185" s="11">
        <v>0</v>
      </c>
      <c r="P185" s="11"/>
      <c r="Q185" s="105"/>
    </row>
    <row r="186" spans="3:17" s="2" customFormat="1" ht="15.75" hidden="1" x14ac:dyDescent="0.25">
      <c r="C186" s="86" t="s">
        <v>62</v>
      </c>
      <c r="D186" s="86" t="s">
        <v>74</v>
      </c>
      <c r="E186" s="86" t="s">
        <v>477</v>
      </c>
      <c r="F186" s="10">
        <v>42895</v>
      </c>
      <c r="G186" s="86" t="s">
        <v>322</v>
      </c>
      <c r="H186" s="86" t="s">
        <v>257</v>
      </c>
      <c r="I186" s="87">
        <v>8563.1200000000008</v>
      </c>
      <c r="J186" s="87">
        <v>4178.7700000000004</v>
      </c>
      <c r="K186" s="88">
        <f t="shared" si="2"/>
        <v>0.51200380235241361</v>
      </c>
      <c r="L186" s="87">
        <v>995.48</v>
      </c>
      <c r="M186" s="88">
        <f t="shared" si="3"/>
        <v>0.11625202029166938</v>
      </c>
      <c r="N186" s="11">
        <v>688.12</v>
      </c>
      <c r="O186" s="11">
        <v>0</v>
      </c>
      <c r="P186" s="11" t="s">
        <v>323</v>
      </c>
      <c r="Q186" s="105"/>
    </row>
    <row r="187" spans="3:17" s="2" customFormat="1" ht="15.75" hidden="1" x14ac:dyDescent="0.25">
      <c r="C187" s="86" t="s">
        <v>57</v>
      </c>
      <c r="D187" s="86" t="s">
        <v>74</v>
      </c>
      <c r="E187" s="86" t="s">
        <v>98</v>
      </c>
      <c r="F187" s="10">
        <v>42926</v>
      </c>
      <c r="G187" s="86" t="s">
        <v>324</v>
      </c>
      <c r="H187" s="86" t="s">
        <v>14</v>
      </c>
      <c r="I187" s="87">
        <v>9023.26</v>
      </c>
      <c r="J187" s="87">
        <v>5237.41</v>
      </c>
      <c r="K187" s="88">
        <f t="shared" si="2"/>
        <v>0.41956565587160299</v>
      </c>
      <c r="L187" s="87">
        <v>662.4</v>
      </c>
      <c r="M187" s="88">
        <f t="shared" si="3"/>
        <v>7.3410275222037261E-2</v>
      </c>
      <c r="N187" s="11">
        <v>-28.44</v>
      </c>
      <c r="O187" s="11">
        <v>0</v>
      </c>
      <c r="P187" s="11" t="s">
        <v>325</v>
      </c>
      <c r="Q187" s="105"/>
    </row>
    <row r="188" spans="3:17" s="2" customFormat="1" ht="15.75" hidden="1" x14ac:dyDescent="0.25">
      <c r="C188" s="86" t="s">
        <v>153</v>
      </c>
      <c r="D188" s="86" t="s">
        <v>68</v>
      </c>
      <c r="E188" s="86" t="s">
        <v>66</v>
      </c>
      <c r="F188" s="10">
        <v>42864</v>
      </c>
      <c r="G188" s="86" t="s">
        <v>326</v>
      </c>
      <c r="H188" s="86" t="s">
        <v>13</v>
      </c>
      <c r="I188" s="87">
        <v>2500</v>
      </c>
      <c r="J188" s="87">
        <v>2152.0500000000002</v>
      </c>
      <c r="K188" s="88">
        <f t="shared" si="2"/>
        <v>0.13917999999999991</v>
      </c>
      <c r="L188" s="87">
        <v>11.47</v>
      </c>
      <c r="M188" s="88">
        <f t="shared" si="3"/>
        <v>4.5880000000000001E-3</v>
      </c>
      <c r="N188" s="11">
        <v>-372.15</v>
      </c>
      <c r="O188" s="11">
        <v>82.1</v>
      </c>
      <c r="P188" s="11" t="s">
        <v>327</v>
      </c>
      <c r="Q188" s="105"/>
    </row>
    <row r="189" spans="3:17" s="2" customFormat="1" ht="15.75" hidden="1" x14ac:dyDescent="0.25">
      <c r="C189" s="86" t="s">
        <v>57</v>
      </c>
      <c r="D189" s="86" t="s">
        <v>74</v>
      </c>
      <c r="E189" s="86" t="s">
        <v>98</v>
      </c>
      <c r="F189" s="10">
        <v>42968</v>
      </c>
      <c r="G189" s="86" t="s">
        <v>328</v>
      </c>
      <c r="H189" s="86" t="s">
        <v>17</v>
      </c>
      <c r="I189" s="87">
        <v>7610.1</v>
      </c>
      <c r="J189" s="87">
        <v>3367.87</v>
      </c>
      <c r="K189" s="88">
        <f t="shared" si="2"/>
        <v>0.55744733971958327</v>
      </c>
      <c r="L189" s="87">
        <v>858.47</v>
      </c>
      <c r="M189" s="88">
        <f t="shared" si="3"/>
        <v>0.11280666482700621</v>
      </c>
      <c r="N189" s="11">
        <v>514.9</v>
      </c>
      <c r="O189" s="11">
        <v>0</v>
      </c>
      <c r="P189" s="11"/>
      <c r="Q189" s="105"/>
    </row>
    <row r="190" spans="3:17" s="2" customFormat="1" ht="15.75" hidden="1" x14ac:dyDescent="0.25">
      <c r="C190" s="86" t="s">
        <v>57</v>
      </c>
      <c r="D190" s="86" t="s">
        <v>109</v>
      </c>
      <c r="E190" s="86" t="s">
        <v>69</v>
      </c>
      <c r="F190" s="10">
        <v>42851</v>
      </c>
      <c r="G190" s="86" t="s">
        <v>329</v>
      </c>
      <c r="H190" s="86" t="s">
        <v>479</v>
      </c>
      <c r="I190" s="87">
        <v>82840.13</v>
      </c>
      <c r="J190" s="87">
        <v>47278.75</v>
      </c>
      <c r="K190" s="88">
        <f t="shared" si="2"/>
        <v>0.42927721141915159</v>
      </c>
      <c r="L190" s="87">
        <v>6217.09</v>
      </c>
      <c r="M190" s="88">
        <f t="shared" si="3"/>
        <v>7.5049254509861343E-2</v>
      </c>
      <c r="N190" s="11">
        <v>-3023.92</v>
      </c>
      <c r="O190" s="11">
        <v>0</v>
      </c>
      <c r="P190" s="11" t="s">
        <v>330</v>
      </c>
      <c r="Q190" s="105"/>
    </row>
    <row r="191" spans="3:17" s="2" customFormat="1" ht="15.75" hidden="1" x14ac:dyDescent="0.25">
      <c r="C191" s="86" t="s">
        <v>331</v>
      </c>
      <c r="D191" s="86" t="s">
        <v>68</v>
      </c>
      <c r="E191" s="86" t="s">
        <v>69</v>
      </c>
      <c r="F191" s="10">
        <v>42968</v>
      </c>
      <c r="G191" s="86" t="s">
        <v>332</v>
      </c>
      <c r="H191" s="86" t="s">
        <v>15</v>
      </c>
      <c r="I191" s="87">
        <v>8717.42</v>
      </c>
      <c r="J191" s="87">
        <v>4550.29</v>
      </c>
      <c r="K191" s="88">
        <f t="shared" si="2"/>
        <v>0.47802331423746935</v>
      </c>
      <c r="L191" s="87">
        <v>868.44</v>
      </c>
      <c r="M191" s="88">
        <f t="shared" si="3"/>
        <v>9.9621218204468759E-2</v>
      </c>
      <c r="N191" s="11">
        <v>508.52</v>
      </c>
      <c r="O191" s="11">
        <v>0</v>
      </c>
      <c r="P191" s="11"/>
      <c r="Q191" s="105"/>
    </row>
    <row r="192" spans="3:17" s="2" customFormat="1" ht="15.75" hidden="1" x14ac:dyDescent="0.25">
      <c r="C192" s="86" t="s">
        <v>77</v>
      </c>
      <c r="D192" s="86" t="s">
        <v>74</v>
      </c>
      <c r="E192" s="86" t="s">
        <v>478</v>
      </c>
      <c r="F192" s="10">
        <v>42963</v>
      </c>
      <c r="G192" s="86" t="s">
        <v>333</v>
      </c>
      <c r="H192" s="86" t="s">
        <v>88</v>
      </c>
      <c r="I192" s="87">
        <v>7642.35</v>
      </c>
      <c r="J192" s="87">
        <v>2196.41</v>
      </c>
      <c r="K192" s="88">
        <f t="shared" si="2"/>
        <v>0.71260018188122765</v>
      </c>
      <c r="L192" s="87">
        <v>1003.68</v>
      </c>
      <c r="M192" s="88">
        <f t="shared" si="3"/>
        <v>0.13133133133133132</v>
      </c>
      <c r="N192" s="11">
        <v>642.35</v>
      </c>
      <c r="O192" s="11">
        <v>0</v>
      </c>
      <c r="P192" s="11"/>
      <c r="Q192" s="105"/>
    </row>
    <row r="193" spans="3:21" s="2" customFormat="1" ht="15.75" hidden="1" x14ac:dyDescent="0.25">
      <c r="C193" s="86" t="s">
        <v>57</v>
      </c>
      <c r="D193" s="86" t="s">
        <v>109</v>
      </c>
      <c r="E193" s="86" t="s">
        <v>464</v>
      </c>
      <c r="F193" s="10">
        <v>42889</v>
      </c>
      <c r="G193" s="86" t="s">
        <v>334</v>
      </c>
      <c r="H193" s="86" t="s">
        <v>15</v>
      </c>
      <c r="I193" s="87">
        <v>13169.73</v>
      </c>
      <c r="J193" s="87">
        <v>5401.9</v>
      </c>
      <c r="K193" s="88">
        <f t="shared" si="2"/>
        <v>0.58982454461860645</v>
      </c>
      <c r="L193" s="87">
        <v>1881.29</v>
      </c>
      <c r="M193" s="88">
        <f t="shared" si="3"/>
        <v>0.14284954968704749</v>
      </c>
      <c r="N193" s="11">
        <v>1454.53</v>
      </c>
      <c r="O193" s="11">
        <v>0</v>
      </c>
      <c r="P193" s="11" t="s">
        <v>285</v>
      </c>
      <c r="Q193" s="105"/>
    </row>
    <row r="194" spans="3:21" s="2" customFormat="1" ht="15.75" hidden="1" x14ac:dyDescent="0.25">
      <c r="C194" s="86" t="s">
        <v>57</v>
      </c>
      <c r="D194" s="86" t="s">
        <v>68</v>
      </c>
      <c r="E194" s="86" t="s">
        <v>464</v>
      </c>
      <c r="F194" s="10">
        <v>42985</v>
      </c>
      <c r="G194" s="86" t="s">
        <v>335</v>
      </c>
      <c r="H194" s="86" t="s">
        <v>15</v>
      </c>
      <c r="I194" s="87">
        <v>10692.66</v>
      </c>
      <c r="J194" s="87">
        <v>4540.6899999999996</v>
      </c>
      <c r="K194" s="88">
        <f t="shared" si="2"/>
        <v>0.57534514330391129</v>
      </c>
      <c r="L194" s="87">
        <v>1049.03</v>
      </c>
      <c r="M194" s="88">
        <f t="shared" si="3"/>
        <v>9.8107486818060238E-2</v>
      </c>
      <c r="N194" s="11">
        <v>-6.84</v>
      </c>
      <c r="O194" s="11">
        <v>0</v>
      </c>
      <c r="P194" s="11"/>
      <c r="Q194" s="105"/>
    </row>
    <row r="195" spans="3:21" s="2" customFormat="1" ht="15.75" hidden="1" x14ac:dyDescent="0.25">
      <c r="C195" s="86" t="s">
        <v>57</v>
      </c>
      <c r="D195" s="86" t="s">
        <v>74</v>
      </c>
      <c r="E195" s="86" t="s">
        <v>98</v>
      </c>
      <c r="F195" s="10">
        <v>42989</v>
      </c>
      <c r="G195" s="86" t="s">
        <v>336</v>
      </c>
      <c r="H195" s="86" t="s">
        <v>14</v>
      </c>
      <c r="I195" s="87">
        <v>6413.95</v>
      </c>
      <c r="J195" s="87">
        <v>3032.2</v>
      </c>
      <c r="K195" s="88">
        <f t="shared" si="2"/>
        <v>0.52724919901152956</v>
      </c>
      <c r="L195" s="87">
        <v>612.78</v>
      </c>
      <c r="M195" s="88">
        <f t="shared" si="3"/>
        <v>9.5538630641024636E-2</v>
      </c>
      <c r="N195" s="11">
        <v>134.94999999999999</v>
      </c>
      <c r="O195" s="11">
        <v>0</v>
      </c>
      <c r="P195" s="11"/>
      <c r="Q195" s="105"/>
    </row>
    <row r="196" spans="3:21" s="2" customFormat="1" ht="15.75" hidden="1" x14ac:dyDescent="0.25">
      <c r="C196" s="86" t="s">
        <v>62</v>
      </c>
      <c r="D196" s="86" t="s">
        <v>74</v>
      </c>
      <c r="E196" s="86" t="s">
        <v>66</v>
      </c>
      <c r="F196" s="10">
        <v>42972</v>
      </c>
      <c r="G196" s="86" t="s">
        <v>180</v>
      </c>
      <c r="H196" s="86" t="s">
        <v>54</v>
      </c>
      <c r="I196" s="87">
        <v>6143.11</v>
      </c>
      <c r="J196" s="87">
        <v>2994.75</v>
      </c>
      <c r="K196" s="88">
        <f t="shared" si="2"/>
        <v>0.51250262489195209</v>
      </c>
      <c r="L196" s="87">
        <v>646.89</v>
      </c>
      <c r="M196" s="88">
        <f t="shared" si="3"/>
        <v>0.10530333983926708</v>
      </c>
      <c r="N196" s="11">
        <v>142.71</v>
      </c>
      <c r="O196" s="11">
        <v>0</v>
      </c>
      <c r="P196" s="11"/>
      <c r="Q196" s="105"/>
    </row>
    <row r="197" spans="3:21" s="2" customFormat="1" ht="15.75" hidden="1" x14ac:dyDescent="0.25">
      <c r="C197" s="86" t="s">
        <v>331</v>
      </c>
      <c r="D197" s="86" t="s">
        <v>68</v>
      </c>
      <c r="E197" s="86" t="s">
        <v>69</v>
      </c>
      <c r="F197" s="10">
        <v>42977</v>
      </c>
      <c r="G197" s="86" t="s">
        <v>311</v>
      </c>
      <c r="H197" s="86" t="s">
        <v>15</v>
      </c>
      <c r="I197" s="87">
        <v>9984.67</v>
      </c>
      <c r="J197" s="87">
        <v>5382.12</v>
      </c>
      <c r="K197" s="88">
        <f t="shared" si="2"/>
        <v>0.46096165421591301</v>
      </c>
      <c r="L197" s="87">
        <v>808.81</v>
      </c>
      <c r="M197" s="88">
        <f t="shared" si="3"/>
        <v>8.1005180942384666E-2</v>
      </c>
      <c r="N197" s="11">
        <v>-60.23</v>
      </c>
      <c r="O197" s="11">
        <v>17.13</v>
      </c>
      <c r="P197" s="11" t="s">
        <v>337</v>
      </c>
      <c r="Q197" s="105"/>
    </row>
    <row r="198" spans="3:21" s="2" customFormat="1" ht="15.75" hidden="1" x14ac:dyDescent="0.25">
      <c r="C198" s="86" t="s">
        <v>57</v>
      </c>
      <c r="D198" s="86" t="s">
        <v>109</v>
      </c>
      <c r="E198" s="86" t="s">
        <v>464</v>
      </c>
      <c r="F198" s="10">
        <v>42936</v>
      </c>
      <c r="G198" s="86" t="s">
        <v>338</v>
      </c>
      <c r="H198" s="86" t="s">
        <v>479</v>
      </c>
      <c r="I198" s="87">
        <v>30094.31</v>
      </c>
      <c r="J198" s="87">
        <v>11919.41</v>
      </c>
      <c r="K198" s="88">
        <f t="shared" si="2"/>
        <v>0.60393144086041517</v>
      </c>
      <c r="L198" s="87">
        <v>3095.64</v>
      </c>
      <c r="M198" s="88">
        <f t="shared" si="3"/>
        <v>0.10286462789809767</v>
      </c>
      <c r="N198" s="11">
        <v>303.01</v>
      </c>
      <c r="O198" s="11">
        <v>0</v>
      </c>
      <c r="P198" s="11"/>
      <c r="Q198" s="105"/>
    </row>
    <row r="199" spans="3:21" s="2" customFormat="1" ht="15.75" hidden="1" x14ac:dyDescent="0.25">
      <c r="C199" s="86" t="s">
        <v>57</v>
      </c>
      <c r="D199" s="86" t="s">
        <v>58</v>
      </c>
      <c r="E199" s="86" t="s">
        <v>98</v>
      </c>
      <c r="F199" s="10">
        <v>42976</v>
      </c>
      <c r="G199" s="86" t="s">
        <v>104</v>
      </c>
      <c r="H199" s="86" t="s">
        <v>24</v>
      </c>
      <c r="I199" s="87">
        <v>4748.84</v>
      </c>
      <c r="J199" s="87">
        <v>3828.53</v>
      </c>
      <c r="K199" s="88">
        <f t="shared" si="2"/>
        <v>0.19379680090295734</v>
      </c>
      <c r="L199" s="87">
        <v>224.95</v>
      </c>
      <c r="M199" s="88">
        <f t="shared" si="3"/>
        <v>4.7369462858298024E-2</v>
      </c>
      <c r="N199" s="11">
        <v>-692.16</v>
      </c>
      <c r="O199" s="11">
        <v>157.33000000000001</v>
      </c>
      <c r="P199" s="11" t="s">
        <v>339</v>
      </c>
      <c r="Q199" s="105"/>
    </row>
    <row r="200" spans="3:21" s="2" customFormat="1" ht="15.75" hidden="1" x14ac:dyDescent="0.25">
      <c r="C200" s="86" t="s">
        <v>62</v>
      </c>
      <c r="D200" s="86" t="s">
        <v>74</v>
      </c>
      <c r="E200" s="86" t="s">
        <v>98</v>
      </c>
      <c r="F200" s="10">
        <v>42971</v>
      </c>
      <c r="G200" s="86" t="s">
        <v>340</v>
      </c>
      <c r="H200" s="86" t="s">
        <v>14</v>
      </c>
      <c r="I200" s="87">
        <v>6841.19</v>
      </c>
      <c r="J200" s="87">
        <v>4154.79</v>
      </c>
      <c r="K200" s="88">
        <f t="shared" si="2"/>
        <v>0.39268022083877219</v>
      </c>
      <c r="L200" s="87">
        <v>293.39</v>
      </c>
      <c r="M200" s="88">
        <f t="shared" si="3"/>
        <v>4.2885813725389882E-2</v>
      </c>
      <c r="N200" s="11">
        <v>-216.81</v>
      </c>
      <c r="O200" s="11">
        <v>0</v>
      </c>
      <c r="P200" s="11" t="s">
        <v>341</v>
      </c>
      <c r="Q200" s="105"/>
    </row>
    <row r="201" spans="3:21" s="2" customFormat="1" ht="15.75" hidden="1" x14ac:dyDescent="0.25">
      <c r="C201" s="86" t="s">
        <v>57</v>
      </c>
      <c r="D201" s="86" t="s">
        <v>63</v>
      </c>
      <c r="E201" s="86" t="s">
        <v>66</v>
      </c>
      <c r="F201" s="10">
        <v>42922</v>
      </c>
      <c r="G201" s="86" t="s">
        <v>342</v>
      </c>
      <c r="H201" s="86" t="s">
        <v>54</v>
      </c>
      <c r="I201" s="87">
        <v>4000</v>
      </c>
      <c r="J201" s="87">
        <v>1814.86</v>
      </c>
      <c r="K201" s="88">
        <f t="shared" si="2"/>
        <v>0.54628500000000013</v>
      </c>
      <c r="L201" s="87">
        <v>343.91</v>
      </c>
      <c r="M201" s="88">
        <f t="shared" si="3"/>
        <v>8.5977500000000012E-2</v>
      </c>
      <c r="N201" s="11">
        <v>188.5</v>
      </c>
      <c r="O201" s="11">
        <v>0</v>
      </c>
      <c r="P201" s="11"/>
      <c r="Q201" s="105"/>
    </row>
    <row r="202" spans="3:21" s="2" customFormat="1" ht="15.75" hidden="1" x14ac:dyDescent="0.25">
      <c r="C202" s="86" t="s">
        <v>57</v>
      </c>
      <c r="D202" s="86" t="s">
        <v>63</v>
      </c>
      <c r="E202" s="86" t="s">
        <v>478</v>
      </c>
      <c r="F202" s="10">
        <v>42845</v>
      </c>
      <c r="G202" s="86" t="s">
        <v>343</v>
      </c>
      <c r="H202" s="86" t="s">
        <v>88</v>
      </c>
      <c r="I202" s="87">
        <v>1751.89</v>
      </c>
      <c r="J202" s="87">
        <v>765.96</v>
      </c>
      <c r="K202" s="88">
        <f t="shared" si="2"/>
        <v>0.56278076819891665</v>
      </c>
      <c r="L202" s="87">
        <v>200.45</v>
      </c>
      <c r="M202" s="88">
        <f t="shared" si="3"/>
        <v>0.11441928431579607</v>
      </c>
      <c r="N202" s="11">
        <v>106.89</v>
      </c>
      <c r="O202" s="11">
        <v>0</v>
      </c>
      <c r="P202" s="11"/>
      <c r="Q202" s="105"/>
      <c r="U202" s="9"/>
    </row>
    <row r="203" spans="3:21" s="2" customFormat="1" ht="15.75" hidden="1" x14ac:dyDescent="0.25">
      <c r="C203" s="86" t="s">
        <v>62</v>
      </c>
      <c r="D203" s="86" t="s">
        <v>74</v>
      </c>
      <c r="E203" s="86" t="s">
        <v>477</v>
      </c>
      <c r="F203" s="10">
        <v>42926</v>
      </c>
      <c r="G203" s="86" t="s">
        <v>344</v>
      </c>
      <c r="H203" s="86" t="s">
        <v>27</v>
      </c>
      <c r="I203" s="87">
        <v>11388.9</v>
      </c>
      <c r="J203" s="87">
        <v>4883.62</v>
      </c>
      <c r="K203" s="88">
        <f t="shared" si="2"/>
        <v>0.57119475980999046</v>
      </c>
      <c r="L203" s="87">
        <v>922.83</v>
      </c>
      <c r="M203" s="88">
        <f t="shared" si="3"/>
        <v>8.1028896557174102E-2</v>
      </c>
      <c r="N203" s="11">
        <v>165.1</v>
      </c>
      <c r="O203" s="11">
        <v>0</v>
      </c>
      <c r="P203" s="11"/>
      <c r="Q203" s="105"/>
    </row>
    <row r="204" spans="3:21" s="2" customFormat="1" ht="15.75" hidden="1" x14ac:dyDescent="0.25">
      <c r="C204" s="86" t="s">
        <v>57</v>
      </c>
      <c r="D204" s="86" t="s">
        <v>74</v>
      </c>
      <c r="E204" s="86" t="s">
        <v>477</v>
      </c>
      <c r="F204" s="10">
        <v>42931</v>
      </c>
      <c r="G204" s="86" t="s">
        <v>345</v>
      </c>
      <c r="H204" s="86" t="s">
        <v>14</v>
      </c>
      <c r="I204" s="87">
        <v>9944.19</v>
      </c>
      <c r="J204" s="87">
        <v>4864.97</v>
      </c>
      <c r="K204" s="88">
        <f t="shared" si="2"/>
        <v>0.51077262200340101</v>
      </c>
      <c r="L204" s="87">
        <v>1044.54</v>
      </c>
      <c r="M204" s="88">
        <f t="shared" si="3"/>
        <v>0.10504022952095644</v>
      </c>
      <c r="N204" s="11">
        <v>373.79</v>
      </c>
      <c r="O204" s="11">
        <v>0</v>
      </c>
      <c r="P204" s="11"/>
      <c r="Q204" s="105"/>
    </row>
    <row r="205" spans="3:21" s="2" customFormat="1" ht="15.75" hidden="1" x14ac:dyDescent="0.25">
      <c r="C205" s="86" t="s">
        <v>57</v>
      </c>
      <c r="D205" s="86" t="s">
        <v>63</v>
      </c>
      <c r="E205" s="86" t="s">
        <v>477</v>
      </c>
      <c r="F205" s="10">
        <v>42928</v>
      </c>
      <c r="G205" s="86" t="s">
        <v>346</v>
      </c>
      <c r="H205" s="86" t="s">
        <v>28</v>
      </c>
      <c r="I205" s="87">
        <v>46511.63</v>
      </c>
      <c r="J205" s="87">
        <v>25137.84</v>
      </c>
      <c r="K205" s="88">
        <f t="shared" si="2"/>
        <v>0.45953646432085909</v>
      </c>
      <c r="L205" s="87">
        <v>2209.4899999999998</v>
      </c>
      <c r="M205" s="88">
        <f t="shared" si="3"/>
        <v>4.7504032862318517E-2</v>
      </c>
      <c r="N205" s="11">
        <v>-2576.67</v>
      </c>
      <c r="O205" s="11">
        <v>0</v>
      </c>
      <c r="P205" s="11" t="s">
        <v>347</v>
      </c>
      <c r="Q205" s="105"/>
    </row>
    <row r="206" spans="3:21" s="2" customFormat="1" ht="15.75" hidden="1" x14ac:dyDescent="0.25">
      <c r="C206" s="86" t="s">
        <v>292</v>
      </c>
      <c r="D206" s="86" t="s">
        <v>63</v>
      </c>
      <c r="E206" s="86" t="s">
        <v>64</v>
      </c>
      <c r="F206" s="10">
        <v>42914</v>
      </c>
      <c r="G206" s="86" t="s">
        <v>348</v>
      </c>
      <c r="H206" s="86" t="s">
        <v>18</v>
      </c>
      <c r="I206" s="87">
        <v>5008.74</v>
      </c>
      <c r="J206" s="87">
        <v>2788.84</v>
      </c>
      <c r="K206" s="88">
        <f t="shared" si="2"/>
        <v>0.44320527717549718</v>
      </c>
      <c r="L206" s="87">
        <v>471.13</v>
      </c>
      <c r="M206" s="88">
        <f t="shared" si="3"/>
        <v>9.4061580357535035E-2</v>
      </c>
      <c r="N206" s="11">
        <v>89.24</v>
      </c>
      <c r="O206" s="11">
        <v>0</v>
      </c>
      <c r="P206" s="11" t="s">
        <v>349</v>
      </c>
      <c r="Q206" s="105"/>
    </row>
    <row r="207" spans="3:21" s="2" customFormat="1" ht="15.75" hidden="1" x14ac:dyDescent="0.25">
      <c r="C207" s="86" t="s">
        <v>57</v>
      </c>
      <c r="D207" s="86" t="s">
        <v>74</v>
      </c>
      <c r="E207" s="86" t="s">
        <v>477</v>
      </c>
      <c r="F207" s="10">
        <v>43000</v>
      </c>
      <c r="G207" s="86" t="s">
        <v>350</v>
      </c>
      <c r="H207" s="86" t="s">
        <v>14</v>
      </c>
      <c r="I207" s="87">
        <v>17441.86</v>
      </c>
      <c r="J207" s="87">
        <v>8726</v>
      </c>
      <c r="K207" s="88">
        <f t="shared" si="2"/>
        <v>0.49970931999224855</v>
      </c>
      <c r="L207" s="87">
        <v>1696.71</v>
      </c>
      <c r="M207" s="88">
        <f t="shared" si="3"/>
        <v>9.7278042594081141E-2</v>
      </c>
      <c r="N207" s="11">
        <v>1514.06</v>
      </c>
      <c r="O207" s="11">
        <v>0</v>
      </c>
      <c r="P207" s="11"/>
      <c r="Q207" s="105"/>
    </row>
    <row r="208" spans="3:21" s="2" customFormat="1" ht="15.75" hidden="1" x14ac:dyDescent="0.25">
      <c r="C208" s="86" t="s">
        <v>57</v>
      </c>
      <c r="D208" s="86" t="s">
        <v>74</v>
      </c>
      <c r="E208" s="86" t="s">
        <v>477</v>
      </c>
      <c r="F208" s="10">
        <v>42997</v>
      </c>
      <c r="G208" s="86" t="s">
        <v>351</v>
      </c>
      <c r="H208" s="86" t="s">
        <v>14</v>
      </c>
      <c r="I208" s="87">
        <v>5581.4</v>
      </c>
      <c r="J208" s="87">
        <v>2176.81</v>
      </c>
      <c r="K208" s="88">
        <f t="shared" si="2"/>
        <v>0.60998853334288883</v>
      </c>
      <c r="L208" s="87">
        <v>782.4</v>
      </c>
      <c r="M208" s="88">
        <f t="shared" si="3"/>
        <v>0.14017988318343069</v>
      </c>
      <c r="N208" s="11">
        <v>604.4</v>
      </c>
      <c r="O208" s="11">
        <v>0</v>
      </c>
      <c r="P208" s="11"/>
      <c r="Q208" s="105"/>
    </row>
    <row r="209" spans="3:22" s="2" customFormat="1" ht="15.75" hidden="1" x14ac:dyDescent="0.25">
      <c r="C209" s="86" t="s">
        <v>57</v>
      </c>
      <c r="D209" s="86" t="s">
        <v>188</v>
      </c>
      <c r="E209" s="86" t="s">
        <v>464</v>
      </c>
      <c r="F209" s="10">
        <v>42997</v>
      </c>
      <c r="G209" s="86" t="s">
        <v>352</v>
      </c>
      <c r="H209" s="86" t="s">
        <v>15</v>
      </c>
      <c r="I209" s="87">
        <v>5476.17</v>
      </c>
      <c r="J209" s="87">
        <v>2158.8200000000002</v>
      </c>
      <c r="K209" s="88">
        <f t="shared" si="2"/>
        <v>0.60577922160926334</v>
      </c>
      <c r="L209" s="87">
        <v>777.1</v>
      </c>
      <c r="M209" s="88">
        <f t="shared" si="3"/>
        <v>0.14190574799540556</v>
      </c>
      <c r="N209" s="11">
        <v>617.47</v>
      </c>
      <c r="O209" s="11">
        <v>0</v>
      </c>
      <c r="P209" s="11"/>
      <c r="Q209" s="105"/>
    </row>
    <row r="210" spans="3:22" s="2" customFormat="1" ht="15.75" hidden="1" x14ac:dyDescent="0.25">
      <c r="C210" s="86" t="s">
        <v>57</v>
      </c>
      <c r="D210" s="86" t="s">
        <v>68</v>
      </c>
      <c r="E210" s="86" t="s">
        <v>477</v>
      </c>
      <c r="F210" s="10">
        <v>43018</v>
      </c>
      <c r="G210" s="86" t="s">
        <v>353</v>
      </c>
      <c r="H210" s="86" t="s">
        <v>27</v>
      </c>
      <c r="I210" s="87">
        <v>5890.87</v>
      </c>
      <c r="J210" s="87">
        <v>2373.11</v>
      </c>
      <c r="K210" s="88">
        <f t="shared" si="2"/>
        <v>0.59715457988378629</v>
      </c>
      <c r="L210" s="87">
        <v>1044.0899999999999</v>
      </c>
      <c r="M210" s="88">
        <f t="shared" si="3"/>
        <v>0.17723867612084462</v>
      </c>
      <c r="N210" s="11">
        <v>1181.27</v>
      </c>
      <c r="O210" s="11">
        <v>0</v>
      </c>
      <c r="P210" s="11"/>
      <c r="Q210" s="105"/>
    </row>
    <row r="211" spans="3:22" s="2" customFormat="1" ht="15.75" hidden="1" x14ac:dyDescent="0.25">
      <c r="C211" s="86" t="s">
        <v>386</v>
      </c>
      <c r="D211" s="86" t="s">
        <v>109</v>
      </c>
      <c r="E211" s="86" t="s">
        <v>72</v>
      </c>
      <c r="F211" s="10">
        <v>42913</v>
      </c>
      <c r="G211" s="86" t="s">
        <v>354</v>
      </c>
      <c r="H211" s="86" t="s">
        <v>479</v>
      </c>
      <c r="I211" s="87">
        <v>16895.556837853434</v>
      </c>
      <c r="J211" s="87">
        <v>7362.42</v>
      </c>
      <c r="K211" s="88">
        <f t="shared" si="2"/>
        <v>0.56423928073770491</v>
      </c>
      <c r="L211" s="87">
        <v>1789.5184189267161</v>
      </c>
      <c r="M211" s="88">
        <f t="shared" si="3"/>
        <v>0.10591651024590161</v>
      </c>
      <c r="N211" s="11">
        <v>395.15683785343208</v>
      </c>
      <c r="O211" s="11">
        <v>0</v>
      </c>
      <c r="P211" s="11"/>
      <c r="Q211" s="105"/>
    </row>
    <row r="212" spans="3:22" s="2" customFormat="1" ht="15.75" hidden="1" x14ac:dyDescent="0.25">
      <c r="C212" s="86" t="s">
        <v>355</v>
      </c>
      <c r="D212" s="86" t="s">
        <v>74</v>
      </c>
      <c r="E212" s="86" t="s">
        <v>66</v>
      </c>
      <c r="F212" s="10">
        <v>42993</v>
      </c>
      <c r="G212" s="86" t="s">
        <v>137</v>
      </c>
      <c r="H212" s="86" t="s">
        <v>13</v>
      </c>
      <c r="I212" s="87">
        <v>9514.85</v>
      </c>
      <c r="J212" s="87">
        <v>4255.8500000000004</v>
      </c>
      <c r="K212" s="88">
        <f t="shared" si="2"/>
        <v>0.55271496660483344</v>
      </c>
      <c r="L212" s="87">
        <v>852.23</v>
      </c>
      <c r="M212" s="88">
        <f t="shared" si="3"/>
        <v>8.9568411483102725E-2</v>
      </c>
      <c r="N212" s="11">
        <v>519.15</v>
      </c>
      <c r="O212" s="11">
        <v>0</v>
      </c>
      <c r="P212" s="11"/>
      <c r="Q212" s="105"/>
    </row>
    <row r="213" spans="3:22" s="2" customFormat="1" ht="15.75" hidden="1" x14ac:dyDescent="0.25">
      <c r="C213" s="86" t="s">
        <v>331</v>
      </c>
      <c r="D213" s="86" t="s">
        <v>68</v>
      </c>
      <c r="E213" s="86" t="s">
        <v>98</v>
      </c>
      <c r="F213" s="10">
        <v>42965</v>
      </c>
      <c r="G213" s="86" t="s">
        <v>356</v>
      </c>
      <c r="H213" s="86" t="s">
        <v>14</v>
      </c>
      <c r="I213" s="87">
        <v>9105.69</v>
      </c>
      <c r="J213" s="87">
        <v>5855.16</v>
      </c>
      <c r="K213" s="88">
        <f t="shared" ref="K213:K291" si="4">(I213-J213)/I213</f>
        <v>0.35697788964921939</v>
      </c>
      <c r="L213" s="87">
        <v>316.42</v>
      </c>
      <c r="M213" s="88">
        <f t="shared" ref="M213:M291" si="5">L213/I213</f>
        <v>3.4749700462018807E-2</v>
      </c>
      <c r="N213" s="11">
        <v>-1036.6099999999999</v>
      </c>
      <c r="O213" s="11">
        <v>8.7899999999999991</v>
      </c>
      <c r="P213" s="11" t="s">
        <v>357</v>
      </c>
      <c r="Q213" s="105"/>
    </row>
    <row r="214" spans="3:22" s="2" customFormat="1" ht="15.75" hidden="1" x14ac:dyDescent="0.25">
      <c r="C214" s="86" t="s">
        <v>57</v>
      </c>
      <c r="D214" s="86" t="s">
        <v>74</v>
      </c>
      <c r="E214" s="86" t="s">
        <v>66</v>
      </c>
      <c r="F214" s="10">
        <v>42968</v>
      </c>
      <c r="G214" s="86" t="s">
        <v>358</v>
      </c>
      <c r="H214" s="86" t="s">
        <v>54</v>
      </c>
      <c r="I214" s="87">
        <v>5206.8500000000004</v>
      </c>
      <c r="J214" s="87">
        <v>2226.1</v>
      </c>
      <c r="K214" s="88">
        <f t="shared" si="4"/>
        <v>0.57246703861259696</v>
      </c>
      <c r="L214" s="87">
        <v>503.27</v>
      </c>
      <c r="M214" s="88">
        <f t="shared" si="5"/>
        <v>9.665536744864936E-2</v>
      </c>
      <c r="N214" s="11">
        <v>17.72</v>
      </c>
      <c r="O214" s="11">
        <v>0</v>
      </c>
      <c r="P214" s="11"/>
      <c r="Q214" s="105"/>
    </row>
    <row r="215" spans="3:22" s="2" customFormat="1" ht="15.75" hidden="1" x14ac:dyDescent="0.25">
      <c r="C215" s="86" t="s">
        <v>57</v>
      </c>
      <c r="D215" s="86" t="s">
        <v>74</v>
      </c>
      <c r="E215" s="86" t="s">
        <v>477</v>
      </c>
      <c r="F215" s="10">
        <v>43024</v>
      </c>
      <c r="G215" s="86" t="s">
        <v>359</v>
      </c>
      <c r="H215" s="86" t="s">
        <v>14</v>
      </c>
      <c r="I215" s="87">
        <v>4557.21</v>
      </c>
      <c r="J215" s="87">
        <v>2398.2800000000002</v>
      </c>
      <c r="K215" s="88">
        <f t="shared" si="4"/>
        <v>0.47373941512460471</v>
      </c>
      <c r="L215" s="87">
        <v>564.29999999999995</v>
      </c>
      <c r="M215" s="88">
        <f t="shared" si="5"/>
        <v>0.12382576181479457</v>
      </c>
      <c r="N215" s="11">
        <v>315.20999999999998</v>
      </c>
      <c r="O215" s="11">
        <v>0</v>
      </c>
      <c r="P215" s="11" t="s">
        <v>360</v>
      </c>
      <c r="Q215" s="105"/>
    </row>
    <row r="216" spans="3:22" s="2" customFormat="1" ht="15.75" hidden="1" x14ac:dyDescent="0.25">
      <c r="C216" s="86" t="s">
        <v>57</v>
      </c>
      <c r="D216" s="86" t="s">
        <v>109</v>
      </c>
      <c r="E216" s="86" t="s">
        <v>464</v>
      </c>
      <c r="F216" s="10">
        <v>42954</v>
      </c>
      <c r="G216" s="86" t="s">
        <v>361</v>
      </c>
      <c r="H216" s="86" t="s">
        <v>16</v>
      </c>
      <c r="I216" s="87">
        <v>15092.09</v>
      </c>
      <c r="J216" s="87">
        <v>7345.92</v>
      </c>
      <c r="K216" s="88">
        <f t="shared" si="4"/>
        <v>0.51326025752563098</v>
      </c>
      <c r="L216" s="87">
        <v>1925.05</v>
      </c>
      <c r="M216" s="88">
        <f t="shared" si="5"/>
        <v>0.12755357276560106</v>
      </c>
      <c r="N216" s="11">
        <v>1127.0899999999999</v>
      </c>
      <c r="O216" s="11">
        <v>0</v>
      </c>
      <c r="P216" s="11" t="s">
        <v>285</v>
      </c>
      <c r="Q216" s="105"/>
    </row>
    <row r="217" spans="3:22" s="2" customFormat="1" ht="15.75" hidden="1" x14ac:dyDescent="0.25">
      <c r="C217" s="86" t="s">
        <v>57</v>
      </c>
      <c r="D217" s="86" t="s">
        <v>74</v>
      </c>
      <c r="E217" s="86" t="s">
        <v>66</v>
      </c>
      <c r="F217" s="10">
        <v>42976</v>
      </c>
      <c r="G217" s="86" t="s">
        <v>362</v>
      </c>
      <c r="H217" s="86" t="s">
        <v>18</v>
      </c>
      <c r="I217" s="87">
        <v>17669.77</v>
      </c>
      <c r="J217" s="87">
        <v>8127.79</v>
      </c>
      <c r="K217" s="88">
        <f t="shared" si="4"/>
        <v>0.54001721584378293</v>
      </c>
      <c r="L217" s="87">
        <v>1785.18</v>
      </c>
      <c r="M217" s="88">
        <f t="shared" si="5"/>
        <v>0.10103017752919251</v>
      </c>
      <c r="N217" s="11">
        <v>106.77</v>
      </c>
      <c r="O217" s="11">
        <v>0</v>
      </c>
      <c r="P217" s="11"/>
      <c r="Q217" s="105"/>
    </row>
    <row r="218" spans="3:22" s="2" customFormat="1" ht="15.75" hidden="1" x14ac:dyDescent="0.25">
      <c r="C218" s="86" t="s">
        <v>62</v>
      </c>
      <c r="D218" s="86" t="s">
        <v>74</v>
      </c>
      <c r="E218" s="86" t="s">
        <v>98</v>
      </c>
      <c r="F218" s="10">
        <v>42949</v>
      </c>
      <c r="G218" s="86" t="s">
        <v>363</v>
      </c>
      <c r="H218" s="86" t="s">
        <v>28</v>
      </c>
      <c r="I218" s="87">
        <v>25447.35</v>
      </c>
      <c r="J218" s="87">
        <v>13087.28</v>
      </c>
      <c r="K218" s="88">
        <f t="shared" si="4"/>
        <v>0.48571147879838172</v>
      </c>
      <c r="L218" s="87">
        <v>2051.1799999999998</v>
      </c>
      <c r="M218" s="88">
        <f t="shared" si="5"/>
        <v>8.0604856694311985E-2</v>
      </c>
      <c r="N218" s="11">
        <v>322.35000000000002</v>
      </c>
      <c r="O218" s="11">
        <v>0</v>
      </c>
      <c r="P218" s="11"/>
      <c r="Q218" s="105"/>
      <c r="V218" s="5"/>
    </row>
    <row r="219" spans="3:22" s="2" customFormat="1" ht="15.75" hidden="1" x14ac:dyDescent="0.25">
      <c r="C219" s="86" t="s">
        <v>482</v>
      </c>
      <c r="D219" s="86" t="s">
        <v>68</v>
      </c>
      <c r="E219" s="86" t="s">
        <v>66</v>
      </c>
      <c r="F219" s="10">
        <v>42997</v>
      </c>
      <c r="G219" s="86" t="s">
        <v>364</v>
      </c>
      <c r="H219" s="86" t="s">
        <v>18</v>
      </c>
      <c r="I219" s="87">
        <v>15612.71</v>
      </c>
      <c r="J219" s="87">
        <v>8884.49</v>
      </c>
      <c r="K219" s="88">
        <f t="shared" si="4"/>
        <v>0.43094504413391393</v>
      </c>
      <c r="L219" s="87">
        <v>833.79</v>
      </c>
      <c r="M219" s="88">
        <f t="shared" si="5"/>
        <v>5.3404565895350649E-2</v>
      </c>
      <c r="N219" s="11">
        <v>-945.79</v>
      </c>
      <c r="O219" s="11">
        <v>0</v>
      </c>
      <c r="P219" s="11" t="s">
        <v>365</v>
      </c>
      <c r="Q219" s="105"/>
    </row>
    <row r="220" spans="3:22" s="2" customFormat="1" ht="15.75" hidden="1" x14ac:dyDescent="0.25">
      <c r="C220" s="86" t="s">
        <v>57</v>
      </c>
      <c r="D220" s="86" t="s">
        <v>109</v>
      </c>
      <c r="E220" s="86" t="s">
        <v>464</v>
      </c>
      <c r="F220" s="10">
        <v>42962</v>
      </c>
      <c r="G220" s="86" t="s">
        <v>366</v>
      </c>
      <c r="H220" s="86" t="s">
        <v>16</v>
      </c>
      <c r="I220" s="87">
        <v>21894.880000000001</v>
      </c>
      <c r="J220" s="87">
        <v>14591.51</v>
      </c>
      <c r="K220" s="88">
        <f t="shared" si="4"/>
        <v>0.33356519880446939</v>
      </c>
      <c r="L220" s="87">
        <v>836.23</v>
      </c>
      <c r="M220" s="88">
        <f t="shared" si="5"/>
        <v>3.819294739226705E-2</v>
      </c>
      <c r="N220" s="11">
        <v>-1450.22</v>
      </c>
      <c r="O220" s="11">
        <v>0</v>
      </c>
      <c r="P220" s="11" t="s">
        <v>367</v>
      </c>
      <c r="Q220" s="105"/>
    </row>
    <row r="221" spans="3:22" s="2" customFormat="1" ht="15.75" hidden="1" x14ac:dyDescent="0.25">
      <c r="C221" s="86" t="s">
        <v>368</v>
      </c>
      <c r="D221" s="86" t="s">
        <v>68</v>
      </c>
      <c r="E221" s="86" t="s">
        <v>464</v>
      </c>
      <c r="F221" s="10">
        <v>43011</v>
      </c>
      <c r="G221" s="86" t="s">
        <v>369</v>
      </c>
      <c r="H221" s="86" t="s">
        <v>15</v>
      </c>
      <c r="I221" s="87">
        <v>5972</v>
      </c>
      <c r="J221" s="87">
        <v>2636.54</v>
      </c>
      <c r="K221" s="88">
        <f t="shared" si="4"/>
        <v>0.55851640991292695</v>
      </c>
      <c r="L221" s="87">
        <v>772.67000000000041</v>
      </c>
      <c r="M221" s="88">
        <f t="shared" si="5"/>
        <v>0.12938211654387147</v>
      </c>
      <c r="N221" s="11">
        <v>519.00000000000091</v>
      </c>
      <c r="O221" s="11">
        <v>0</v>
      </c>
      <c r="P221" s="11"/>
      <c r="Q221" s="105"/>
    </row>
    <row r="222" spans="3:22" s="2" customFormat="1" ht="15.75" hidden="1" x14ac:dyDescent="0.25">
      <c r="C222" s="86" t="s">
        <v>57</v>
      </c>
      <c r="D222" s="86" t="s">
        <v>109</v>
      </c>
      <c r="E222" s="86" t="s">
        <v>69</v>
      </c>
      <c r="F222" s="10">
        <v>42885</v>
      </c>
      <c r="G222" s="86" t="s">
        <v>370</v>
      </c>
      <c r="H222" s="86" t="s">
        <v>479</v>
      </c>
      <c r="I222" s="87">
        <v>29302.271403610946</v>
      </c>
      <c r="J222" s="87">
        <v>21160.080000000002</v>
      </c>
      <c r="K222" s="88">
        <f t="shared" si="4"/>
        <v>0.27786895054857674</v>
      </c>
      <c r="L222" s="87">
        <v>1738.1157018054732</v>
      </c>
      <c r="M222" s="88">
        <f t="shared" si="5"/>
        <v>5.9316756638575246E-2</v>
      </c>
      <c r="N222" s="11">
        <v>-2409.9285963890543</v>
      </c>
      <c r="O222" s="11">
        <v>0</v>
      </c>
      <c r="P222" s="11" t="s">
        <v>371</v>
      </c>
      <c r="Q222" s="105"/>
    </row>
    <row r="223" spans="3:22" s="2" customFormat="1" ht="15.75" hidden="1" x14ac:dyDescent="0.25">
      <c r="C223" s="86" t="s">
        <v>57</v>
      </c>
      <c r="D223" s="86" t="s">
        <v>68</v>
      </c>
      <c r="E223" s="86" t="s">
        <v>66</v>
      </c>
      <c r="F223" s="10">
        <v>43004</v>
      </c>
      <c r="G223" s="86" t="s">
        <v>372</v>
      </c>
      <c r="H223" s="86" t="s">
        <v>54</v>
      </c>
      <c r="I223" s="87">
        <v>2409.35</v>
      </c>
      <c r="J223" s="87">
        <v>1093.81</v>
      </c>
      <c r="K223" s="88">
        <f t="shared" si="4"/>
        <v>0.54601448523460683</v>
      </c>
      <c r="L223" s="87">
        <v>200.17499999999995</v>
      </c>
      <c r="M223" s="88">
        <f t="shared" si="5"/>
        <v>8.308257413825304E-2</v>
      </c>
      <c r="N223" s="11">
        <v>-40.650000000000091</v>
      </c>
      <c r="O223" s="11">
        <v>0</v>
      </c>
      <c r="P223" s="11"/>
      <c r="Q223" s="105"/>
    </row>
    <row r="224" spans="3:22" s="2" customFormat="1" ht="15.75" hidden="1" x14ac:dyDescent="0.25">
      <c r="C224" s="86" t="s">
        <v>57</v>
      </c>
      <c r="D224" s="86" t="s">
        <v>68</v>
      </c>
      <c r="E224" s="86" t="s">
        <v>477</v>
      </c>
      <c r="F224" s="10">
        <v>42898</v>
      </c>
      <c r="G224" s="86" t="s">
        <v>373</v>
      </c>
      <c r="H224" s="86" t="s">
        <v>17</v>
      </c>
      <c r="I224" s="87">
        <v>5098.1899999999996</v>
      </c>
      <c r="J224" s="87">
        <v>2286.75</v>
      </c>
      <c r="K224" s="88">
        <f t="shared" si="4"/>
        <v>0.55145845878635358</v>
      </c>
      <c r="L224" s="87">
        <v>683.65</v>
      </c>
      <c r="M224" s="88">
        <f t="shared" si="5"/>
        <v>0.13409661075793566</v>
      </c>
      <c r="N224" s="11">
        <v>539.58000000000004</v>
      </c>
      <c r="O224" s="11">
        <v>0</v>
      </c>
      <c r="P224" s="11"/>
      <c r="Q224" s="105"/>
    </row>
    <row r="225" spans="3:17" s="2" customFormat="1" ht="15.75" hidden="1" x14ac:dyDescent="0.25">
      <c r="C225" s="86" t="s">
        <v>228</v>
      </c>
      <c r="D225" s="86" t="s">
        <v>74</v>
      </c>
      <c r="E225" s="86" t="s">
        <v>477</v>
      </c>
      <c r="F225" s="10">
        <v>42984</v>
      </c>
      <c r="G225" s="86" t="s">
        <v>374</v>
      </c>
      <c r="H225" s="86" t="s">
        <v>28</v>
      </c>
      <c r="I225" s="87">
        <v>16475.3</v>
      </c>
      <c r="J225" s="87">
        <v>7849.77</v>
      </c>
      <c r="K225" s="88">
        <f t="shared" si="4"/>
        <v>0.52354312212827681</v>
      </c>
      <c r="L225" s="87">
        <v>1066.29</v>
      </c>
      <c r="M225" s="88">
        <f t="shared" si="5"/>
        <v>6.4720521022378949E-2</v>
      </c>
      <c r="N225" s="11">
        <v>-1103.0999999999999</v>
      </c>
      <c r="O225" s="11">
        <v>0</v>
      </c>
      <c r="P225" s="11"/>
      <c r="Q225" s="105"/>
    </row>
    <row r="226" spans="3:17" s="2" customFormat="1" ht="15.75" hidden="1" x14ac:dyDescent="0.25">
      <c r="C226" s="86" t="s">
        <v>57</v>
      </c>
      <c r="D226" s="86" t="s">
        <v>68</v>
      </c>
      <c r="E226" s="86" t="s">
        <v>66</v>
      </c>
      <c r="F226" s="10">
        <v>42962</v>
      </c>
      <c r="G226" s="86" t="s">
        <v>375</v>
      </c>
      <c r="H226" s="86" t="s">
        <v>233</v>
      </c>
      <c r="I226" s="87">
        <v>20847.400000000001</v>
      </c>
      <c r="J226" s="87">
        <v>11258.68</v>
      </c>
      <c r="K226" s="88">
        <f t="shared" si="4"/>
        <v>0.45994800310830131</v>
      </c>
      <c r="L226" s="87">
        <v>1319.96</v>
      </c>
      <c r="M226" s="88">
        <f t="shared" si="5"/>
        <v>6.3315329489528671E-2</v>
      </c>
      <c r="N226" s="11">
        <v>-1655.7</v>
      </c>
      <c r="O226" s="11">
        <v>0</v>
      </c>
      <c r="P226" s="11" t="s">
        <v>376</v>
      </c>
      <c r="Q226" s="105"/>
    </row>
    <row r="227" spans="3:17" s="2" customFormat="1" ht="15.75" hidden="1" x14ac:dyDescent="0.25">
      <c r="C227" s="86" t="s">
        <v>57</v>
      </c>
      <c r="D227" s="86" t="s">
        <v>68</v>
      </c>
      <c r="E227" s="86" t="s">
        <v>69</v>
      </c>
      <c r="F227" s="10">
        <v>43010</v>
      </c>
      <c r="G227" s="86" t="s">
        <v>377</v>
      </c>
      <c r="H227" s="86" t="s">
        <v>15</v>
      </c>
      <c r="I227" s="87">
        <v>8163.72</v>
      </c>
      <c r="J227" s="87">
        <v>3753.49</v>
      </c>
      <c r="K227" s="88">
        <f t="shared" si="4"/>
        <v>0.54022308457418922</v>
      </c>
      <c r="L227" s="87">
        <v>827.84</v>
      </c>
      <c r="M227" s="88">
        <f t="shared" si="5"/>
        <v>0.10140475175532723</v>
      </c>
      <c r="N227" s="11">
        <v>72.42</v>
      </c>
      <c r="O227" s="11">
        <v>0</v>
      </c>
      <c r="P227" s="11"/>
      <c r="Q227" s="105"/>
    </row>
    <row r="228" spans="3:17" s="2" customFormat="1" ht="15.75" hidden="1" x14ac:dyDescent="0.25">
      <c r="C228" s="86" t="s">
        <v>228</v>
      </c>
      <c r="D228" s="86" t="s">
        <v>74</v>
      </c>
      <c r="E228" s="86" t="s">
        <v>98</v>
      </c>
      <c r="F228" s="10">
        <v>43004</v>
      </c>
      <c r="G228" s="86" t="s">
        <v>378</v>
      </c>
      <c r="H228" s="86" t="s">
        <v>29</v>
      </c>
      <c r="I228" s="87">
        <v>21045.21</v>
      </c>
      <c r="J228" s="87">
        <v>8072.36</v>
      </c>
      <c r="K228" s="88">
        <f t="shared" si="4"/>
        <v>0.61642768116830382</v>
      </c>
      <c r="L228" s="87">
        <v>2340.39</v>
      </c>
      <c r="M228" s="88">
        <f t="shared" si="5"/>
        <v>0.11120772850449104</v>
      </c>
      <c r="N228" s="11">
        <v>1270.21</v>
      </c>
      <c r="O228" s="11">
        <v>0</v>
      </c>
      <c r="P228" s="11"/>
      <c r="Q228" s="105"/>
    </row>
    <row r="229" spans="3:17" s="2" customFormat="1" ht="15.75" hidden="1" x14ac:dyDescent="0.25">
      <c r="C229" s="86" t="s">
        <v>57</v>
      </c>
      <c r="D229" s="86" t="s">
        <v>109</v>
      </c>
      <c r="E229" s="86" t="s">
        <v>464</v>
      </c>
      <c r="F229" s="10">
        <v>42993</v>
      </c>
      <c r="G229" s="86" t="s">
        <v>379</v>
      </c>
      <c r="H229" s="86" t="s">
        <v>16</v>
      </c>
      <c r="I229" s="87">
        <v>30219.08</v>
      </c>
      <c r="J229" s="87">
        <v>16478.259999999998</v>
      </c>
      <c r="K229" s="88">
        <f t="shared" si="4"/>
        <v>0.45470676142357752</v>
      </c>
      <c r="L229" s="87">
        <v>2449</v>
      </c>
      <c r="M229" s="88">
        <f t="shared" si="5"/>
        <v>8.1041514169193765E-2</v>
      </c>
      <c r="N229" s="11">
        <v>-107.42</v>
      </c>
      <c r="O229" s="11">
        <v>0</v>
      </c>
      <c r="P229" s="11" t="s">
        <v>285</v>
      </c>
      <c r="Q229" s="105"/>
    </row>
    <row r="230" spans="3:17" s="2" customFormat="1" ht="15.75" hidden="1" x14ac:dyDescent="0.25">
      <c r="C230" s="86" t="s">
        <v>292</v>
      </c>
      <c r="D230" s="86" t="s">
        <v>74</v>
      </c>
      <c r="E230" s="86" t="s">
        <v>477</v>
      </c>
      <c r="F230" s="10">
        <v>42979</v>
      </c>
      <c r="G230" s="86" t="s">
        <v>380</v>
      </c>
      <c r="H230" s="86" t="s">
        <v>14</v>
      </c>
      <c r="I230" s="87">
        <v>23599.3</v>
      </c>
      <c r="J230" s="87">
        <v>11799.96</v>
      </c>
      <c r="K230" s="88">
        <f t="shared" si="4"/>
        <v>0.49998686401715309</v>
      </c>
      <c r="L230" s="87">
        <v>1719.65</v>
      </c>
      <c r="M230" s="88">
        <f t="shared" si="5"/>
        <v>7.2868686783082559E-2</v>
      </c>
      <c r="N230" s="11">
        <v>1423.3</v>
      </c>
      <c r="O230" s="11">
        <v>0</v>
      </c>
      <c r="P230" s="11"/>
      <c r="Q230" s="105"/>
    </row>
    <row r="231" spans="3:17" s="2" customFormat="1" ht="15.75" hidden="1" x14ac:dyDescent="0.25">
      <c r="C231" s="86" t="s">
        <v>57</v>
      </c>
      <c r="D231" s="86" t="s">
        <v>188</v>
      </c>
      <c r="E231" s="86" t="s">
        <v>69</v>
      </c>
      <c r="F231" s="10">
        <v>42996</v>
      </c>
      <c r="G231" s="86" t="s">
        <v>381</v>
      </c>
      <c r="H231" s="86" t="s">
        <v>15</v>
      </c>
      <c r="I231" s="87">
        <v>14260.26</v>
      </c>
      <c r="J231" s="87">
        <v>7210.8</v>
      </c>
      <c r="K231" s="88">
        <f t="shared" si="4"/>
        <v>0.49434302039373756</v>
      </c>
      <c r="L231" s="87">
        <v>1528.53</v>
      </c>
      <c r="M231" s="88">
        <f t="shared" si="5"/>
        <v>0.10718808773472573</v>
      </c>
      <c r="N231" s="11">
        <v>741.36</v>
      </c>
      <c r="O231" s="11">
        <v>0</v>
      </c>
      <c r="P231" s="11"/>
      <c r="Q231" s="105"/>
    </row>
    <row r="232" spans="3:17" s="2" customFormat="1" ht="15.75" hidden="1" x14ac:dyDescent="0.25">
      <c r="C232" s="86" t="s">
        <v>62</v>
      </c>
      <c r="D232" s="86" t="s">
        <v>68</v>
      </c>
      <c r="E232" s="86" t="s">
        <v>382</v>
      </c>
      <c r="F232" s="10">
        <v>43018</v>
      </c>
      <c r="G232" s="86" t="s">
        <v>383</v>
      </c>
      <c r="H232" s="86" t="s">
        <v>233</v>
      </c>
      <c r="I232" s="87">
        <v>5025.247236765561</v>
      </c>
      <c r="J232" s="87">
        <v>3075.84</v>
      </c>
      <c r="K232" s="88">
        <f t="shared" si="4"/>
        <v>0.38792265234302642</v>
      </c>
      <c r="L232" s="87">
        <v>404.06</v>
      </c>
      <c r="M232" s="88">
        <f t="shared" si="5"/>
        <v>8.0405994165586234E-2</v>
      </c>
      <c r="N232" s="11">
        <v>-297.25</v>
      </c>
      <c r="O232" s="11">
        <v>148.84</v>
      </c>
      <c r="P232" s="11" t="s">
        <v>384</v>
      </c>
      <c r="Q232" s="105"/>
    </row>
    <row r="233" spans="3:17" s="2" customFormat="1" ht="15.75" hidden="1" x14ac:dyDescent="0.25">
      <c r="C233" s="86" t="s">
        <v>57</v>
      </c>
      <c r="D233" s="86" t="s">
        <v>68</v>
      </c>
      <c r="E233" s="86" t="s">
        <v>98</v>
      </c>
      <c r="F233" s="10">
        <v>43046</v>
      </c>
      <c r="G233" s="86" t="s">
        <v>385</v>
      </c>
      <c r="H233" s="86" t="s">
        <v>17</v>
      </c>
      <c r="I233" s="87">
        <v>4117.0015116279073</v>
      </c>
      <c r="J233" s="87">
        <v>1970.34</v>
      </c>
      <c r="K233" s="88">
        <f t="shared" si="4"/>
        <v>0.52141382643774981</v>
      </c>
      <c r="L233" s="87">
        <v>509.54075581395387</v>
      </c>
      <c r="M233" s="88">
        <f t="shared" si="5"/>
        <v>0.12376501547906303</v>
      </c>
      <c r="N233" s="11">
        <v>288.35151162790771</v>
      </c>
      <c r="O233" s="11">
        <v>0</v>
      </c>
      <c r="P233" s="11"/>
      <c r="Q233" s="105"/>
    </row>
    <row r="234" spans="3:17" s="2" customFormat="1" ht="15.75" hidden="1" x14ac:dyDescent="0.25">
      <c r="C234" s="86" t="s">
        <v>386</v>
      </c>
      <c r="D234" s="86" t="s">
        <v>68</v>
      </c>
      <c r="E234" s="86" t="s">
        <v>477</v>
      </c>
      <c r="F234" s="10">
        <v>43003</v>
      </c>
      <c r="G234" s="86" t="s">
        <v>249</v>
      </c>
      <c r="H234" s="86" t="s">
        <v>479</v>
      </c>
      <c r="I234" s="87">
        <v>48571.08</v>
      </c>
      <c r="J234" s="87">
        <v>24082.29</v>
      </c>
      <c r="K234" s="88">
        <f t="shared" si="4"/>
        <v>0.50418458885410822</v>
      </c>
      <c r="L234" s="87">
        <v>4876.43</v>
      </c>
      <c r="M234" s="88">
        <f t="shared" si="5"/>
        <v>0.10039780873721564</v>
      </c>
      <c r="N234" s="11">
        <v>2929.28</v>
      </c>
      <c r="O234" s="11">
        <v>0</v>
      </c>
      <c r="P234" s="11"/>
      <c r="Q234" s="105"/>
    </row>
    <row r="235" spans="3:17" s="2" customFormat="1" ht="15.75" hidden="1" x14ac:dyDescent="0.25">
      <c r="C235" s="86" t="s">
        <v>228</v>
      </c>
      <c r="D235" s="86" t="s">
        <v>74</v>
      </c>
      <c r="E235" s="86" t="s">
        <v>66</v>
      </c>
      <c r="F235" s="10">
        <v>43020</v>
      </c>
      <c r="G235" s="86" t="s">
        <v>374</v>
      </c>
      <c r="H235" s="86" t="s">
        <v>13</v>
      </c>
      <c r="I235" s="87">
        <v>15032.295948326482</v>
      </c>
      <c r="J235" s="87">
        <v>6112.84</v>
      </c>
      <c r="K235" s="88">
        <f t="shared" si="4"/>
        <v>0.59335287031249995</v>
      </c>
      <c r="L235" s="87">
        <v>1587.5385741632419</v>
      </c>
      <c r="M235" s="88">
        <f t="shared" si="5"/>
        <v>0.10560852311718755</v>
      </c>
      <c r="N235" s="11">
        <v>1284.7159483264841</v>
      </c>
      <c r="O235" s="11">
        <v>0</v>
      </c>
      <c r="P235" s="11"/>
      <c r="Q235" s="105"/>
    </row>
    <row r="236" spans="3:17" s="2" customFormat="1" ht="15.75" hidden="1" x14ac:dyDescent="0.25">
      <c r="C236" s="86" t="s">
        <v>386</v>
      </c>
      <c r="D236" s="86" t="s">
        <v>74</v>
      </c>
      <c r="E236" s="86" t="s">
        <v>66</v>
      </c>
      <c r="F236" s="10">
        <v>43010</v>
      </c>
      <c r="G236" s="86" t="s">
        <v>387</v>
      </c>
      <c r="H236" s="86" t="s">
        <v>18</v>
      </c>
      <c r="I236" s="87">
        <v>23819.965377957302</v>
      </c>
      <c r="J236" s="87">
        <v>12319.18</v>
      </c>
      <c r="K236" s="88">
        <f t="shared" si="4"/>
        <v>0.48282124660852715</v>
      </c>
      <c r="L236" s="87">
        <v>2198.7399999999998</v>
      </c>
      <c r="M236" s="88">
        <f t="shared" si="5"/>
        <v>9.2306599321705401E-2</v>
      </c>
      <c r="N236" s="11">
        <v>-247.43</v>
      </c>
      <c r="O236" s="11">
        <v>0</v>
      </c>
      <c r="P236" s="11"/>
      <c r="Q236" s="105"/>
    </row>
    <row r="237" spans="3:17" s="2" customFormat="1" ht="15.75" hidden="1" x14ac:dyDescent="0.25">
      <c r="C237" s="86" t="s">
        <v>57</v>
      </c>
      <c r="D237" s="86" t="s">
        <v>109</v>
      </c>
      <c r="E237" s="86" t="s">
        <v>464</v>
      </c>
      <c r="F237" s="10">
        <v>42980</v>
      </c>
      <c r="G237" s="86" t="s">
        <v>388</v>
      </c>
      <c r="H237" s="86" t="s">
        <v>479</v>
      </c>
      <c r="I237" s="87">
        <v>14526.511627906977</v>
      </c>
      <c r="J237" s="87">
        <v>7382.02</v>
      </c>
      <c r="K237" s="88">
        <f t="shared" si="4"/>
        <v>0.49182431480532784</v>
      </c>
      <c r="L237" s="87">
        <v>1481.68</v>
      </c>
      <c r="M237" s="88">
        <f t="shared" si="5"/>
        <v>0.10199833504098361</v>
      </c>
      <c r="N237" s="11">
        <v>113.31</v>
      </c>
      <c r="O237" s="11">
        <v>0</v>
      </c>
      <c r="P237" s="11"/>
      <c r="Q237" s="105"/>
    </row>
    <row r="238" spans="3:17" s="2" customFormat="1" ht="15.75" hidden="1" x14ac:dyDescent="0.25">
      <c r="C238" s="86" t="s">
        <v>57</v>
      </c>
      <c r="D238" s="86" t="s">
        <v>68</v>
      </c>
      <c r="E238" s="86" t="s">
        <v>477</v>
      </c>
      <c r="F238" s="10">
        <v>43026</v>
      </c>
      <c r="G238" s="86" t="s">
        <v>389</v>
      </c>
      <c r="H238" s="86" t="s">
        <v>14</v>
      </c>
      <c r="I238" s="87">
        <v>6334.8837209302328</v>
      </c>
      <c r="J238" s="87">
        <v>2914.85</v>
      </c>
      <c r="K238" s="88">
        <f t="shared" si="4"/>
        <v>0.53987316446402356</v>
      </c>
      <c r="L238" s="87">
        <v>423.44186046511641</v>
      </c>
      <c r="M238" s="88">
        <f t="shared" si="5"/>
        <v>6.6842878120411175E-2</v>
      </c>
      <c r="N238" s="11">
        <v>-420.11627906976719</v>
      </c>
      <c r="O238" s="11">
        <v>0</v>
      </c>
      <c r="P238" s="11"/>
      <c r="Q238" s="105"/>
    </row>
    <row r="239" spans="3:17" s="2" customFormat="1" ht="15.75" hidden="1" x14ac:dyDescent="0.25">
      <c r="C239" s="86" t="s">
        <v>62</v>
      </c>
      <c r="D239" s="86" t="s">
        <v>427</v>
      </c>
      <c r="E239" s="86" t="s">
        <v>64</v>
      </c>
      <c r="F239" s="10">
        <v>42963</v>
      </c>
      <c r="G239" s="86" t="s">
        <v>390</v>
      </c>
      <c r="H239" s="86" t="s">
        <v>18</v>
      </c>
      <c r="I239" s="87">
        <v>24108.68</v>
      </c>
      <c r="J239" s="87">
        <v>11927.84</v>
      </c>
      <c r="K239" s="88">
        <f t="shared" si="4"/>
        <v>0.50524707283849635</v>
      </c>
      <c r="L239" s="87">
        <v>3324.92</v>
      </c>
      <c r="M239" s="88">
        <f t="shared" si="5"/>
        <v>0.13791381361401786</v>
      </c>
      <c r="N239" s="11">
        <v>2346.38</v>
      </c>
      <c r="O239" s="11">
        <v>0</v>
      </c>
      <c r="P239" s="11"/>
      <c r="Q239" s="105"/>
    </row>
    <row r="240" spans="3:17" s="2" customFormat="1" ht="15.75" hidden="1" x14ac:dyDescent="0.25">
      <c r="C240" s="86" t="s">
        <v>57</v>
      </c>
      <c r="D240" s="86" t="s">
        <v>68</v>
      </c>
      <c r="E240" s="86" t="s">
        <v>69</v>
      </c>
      <c r="F240" s="10">
        <v>43017</v>
      </c>
      <c r="G240" s="86" t="s">
        <v>391</v>
      </c>
      <c r="H240" s="86" t="s">
        <v>15</v>
      </c>
      <c r="I240" s="87">
        <v>6825.1162790697681</v>
      </c>
      <c r="J240" s="87">
        <v>3899.96</v>
      </c>
      <c r="K240" s="88">
        <f t="shared" si="4"/>
        <v>0.42858702466948351</v>
      </c>
      <c r="L240" s="87">
        <v>653.48</v>
      </c>
      <c r="M240" s="88">
        <f t="shared" si="5"/>
        <v>9.5746354095679428E-2</v>
      </c>
      <c r="N240" s="11">
        <v>619.87</v>
      </c>
      <c r="O240" s="11">
        <v>0</v>
      </c>
      <c r="P240" s="11" t="s">
        <v>392</v>
      </c>
      <c r="Q240" s="105"/>
    </row>
    <row r="241" spans="3:17" s="2" customFormat="1" ht="15.75" hidden="1" x14ac:dyDescent="0.25">
      <c r="C241" s="86" t="s">
        <v>57</v>
      </c>
      <c r="D241" s="86" t="s">
        <v>74</v>
      </c>
      <c r="E241" s="86" t="s">
        <v>66</v>
      </c>
      <c r="F241" s="10">
        <v>43026</v>
      </c>
      <c r="G241" s="86" t="s">
        <v>393</v>
      </c>
      <c r="H241" s="86" t="s">
        <v>18</v>
      </c>
      <c r="I241" s="87">
        <v>6139.54</v>
      </c>
      <c r="J241" s="87">
        <v>2976.16</v>
      </c>
      <c r="K241" s="88">
        <f t="shared" si="4"/>
        <v>0.51524707062744113</v>
      </c>
      <c r="L241" s="87">
        <v>718.75000000000034</v>
      </c>
      <c r="M241" s="88">
        <f t="shared" si="5"/>
        <v>0.11706903123035282</v>
      </c>
      <c r="N241" s="11">
        <v>323.24000000000069</v>
      </c>
      <c r="O241" s="11">
        <v>0</v>
      </c>
      <c r="P241" s="11"/>
      <c r="Q241" s="105"/>
    </row>
    <row r="242" spans="3:17" s="2" customFormat="1" ht="15.75" hidden="1" x14ac:dyDescent="0.25">
      <c r="C242" s="86" t="s">
        <v>57</v>
      </c>
      <c r="D242" s="86" t="s">
        <v>109</v>
      </c>
      <c r="E242" s="86" t="s">
        <v>464</v>
      </c>
      <c r="F242" s="10">
        <v>42986</v>
      </c>
      <c r="G242" s="86" t="s">
        <v>394</v>
      </c>
      <c r="H242" s="86" t="s">
        <v>16</v>
      </c>
      <c r="I242" s="87">
        <v>30251.16</v>
      </c>
      <c r="J242" s="87">
        <v>18097.98</v>
      </c>
      <c r="K242" s="88">
        <f t="shared" si="4"/>
        <v>0.40174261086186447</v>
      </c>
      <c r="L242" s="87">
        <v>1693.23</v>
      </c>
      <c r="M242" s="88">
        <f t="shared" si="5"/>
        <v>5.5972399074944564E-2</v>
      </c>
      <c r="N242" s="11">
        <v>-1845.51</v>
      </c>
      <c r="O242" s="11">
        <v>0</v>
      </c>
      <c r="P242" s="11" t="s">
        <v>395</v>
      </c>
      <c r="Q242" s="105"/>
    </row>
    <row r="243" spans="3:17" s="2" customFormat="1" ht="15.75" hidden="1" x14ac:dyDescent="0.25">
      <c r="C243" s="86" t="s">
        <v>396</v>
      </c>
      <c r="D243" s="86" t="s">
        <v>68</v>
      </c>
      <c r="E243" s="86" t="s">
        <v>464</v>
      </c>
      <c r="F243" s="10">
        <v>43027</v>
      </c>
      <c r="G243" s="86" t="s">
        <v>397</v>
      </c>
      <c r="H243" s="86" t="s">
        <v>15</v>
      </c>
      <c r="I243" s="87">
        <v>11933.448078026391</v>
      </c>
      <c r="J243" s="87">
        <v>6257.36</v>
      </c>
      <c r="K243" s="88">
        <f t="shared" si="4"/>
        <v>0.47564526538461543</v>
      </c>
      <c r="L243" s="87">
        <v>907.33403901319616</v>
      </c>
      <c r="M243" s="88">
        <f t="shared" si="5"/>
        <v>7.6032847596153891E-2</v>
      </c>
      <c r="N243" s="11">
        <v>-584.65192197360739</v>
      </c>
      <c r="O243" s="11">
        <v>0</v>
      </c>
      <c r="P243" s="11"/>
      <c r="Q243" s="105"/>
    </row>
    <row r="244" spans="3:17" s="2" customFormat="1" ht="15.75" hidden="1" x14ac:dyDescent="0.25">
      <c r="C244" s="86" t="s">
        <v>57</v>
      </c>
      <c r="D244" s="86" t="s">
        <v>109</v>
      </c>
      <c r="E244" s="86" t="s">
        <v>464</v>
      </c>
      <c r="F244" s="10">
        <v>43000</v>
      </c>
      <c r="G244" s="86" t="s">
        <v>398</v>
      </c>
      <c r="H244" s="86" t="s">
        <v>15</v>
      </c>
      <c r="I244" s="87">
        <v>12290.23</v>
      </c>
      <c r="J244" s="87">
        <v>4607.78</v>
      </c>
      <c r="K244" s="88">
        <f t="shared" si="4"/>
        <v>0.62508594224843639</v>
      </c>
      <c r="L244" s="87">
        <v>1602.26</v>
      </c>
      <c r="M244" s="88">
        <f t="shared" si="5"/>
        <v>0.13036859359019318</v>
      </c>
      <c r="N244" s="11">
        <v>1118.93</v>
      </c>
      <c r="O244" s="11">
        <v>0</v>
      </c>
      <c r="P244" s="11" t="s">
        <v>399</v>
      </c>
      <c r="Q244" s="105"/>
    </row>
    <row r="245" spans="3:17" s="2" customFormat="1" ht="15.75" hidden="1" x14ac:dyDescent="0.25">
      <c r="C245" s="86" t="s">
        <v>57</v>
      </c>
      <c r="D245" s="86" t="s">
        <v>109</v>
      </c>
      <c r="E245" s="86" t="s">
        <v>464</v>
      </c>
      <c r="F245" s="10">
        <v>43000</v>
      </c>
      <c r="G245" s="86" t="s">
        <v>400</v>
      </c>
      <c r="H245" s="86" t="s">
        <v>15</v>
      </c>
      <c r="I245" s="87">
        <v>14286.51</v>
      </c>
      <c r="J245" s="87">
        <v>5477.07</v>
      </c>
      <c r="K245" s="88">
        <f t="shared" si="4"/>
        <v>0.61662645390651738</v>
      </c>
      <c r="L245" s="87">
        <v>1886.63</v>
      </c>
      <c r="M245" s="88">
        <f t="shared" si="5"/>
        <v>0.13205674443933474</v>
      </c>
      <c r="N245" s="11">
        <v>1302.3699999999999</v>
      </c>
      <c r="O245" s="11">
        <v>0</v>
      </c>
      <c r="P245" s="11" t="s">
        <v>399</v>
      </c>
      <c r="Q245" s="105"/>
    </row>
    <row r="246" spans="3:17" s="2" customFormat="1" ht="15.75" hidden="1" x14ac:dyDescent="0.25">
      <c r="C246" s="86" t="s">
        <v>57</v>
      </c>
      <c r="D246" s="86" t="s">
        <v>188</v>
      </c>
      <c r="E246" s="86" t="s">
        <v>464</v>
      </c>
      <c r="F246" s="10">
        <v>43005</v>
      </c>
      <c r="G246" s="86" t="s">
        <v>401</v>
      </c>
      <c r="H246" s="86" t="s">
        <v>15</v>
      </c>
      <c r="I246" s="87">
        <v>11420</v>
      </c>
      <c r="J246" s="87">
        <v>4697.8100000000004</v>
      </c>
      <c r="K246" s="88">
        <f t="shared" si="4"/>
        <v>0.58863309982486867</v>
      </c>
      <c r="L246" s="87">
        <v>1081.31</v>
      </c>
      <c r="M246" s="88">
        <f t="shared" si="5"/>
        <v>9.4685639229422067E-2</v>
      </c>
      <c r="N246" s="11">
        <v>-107.97</v>
      </c>
      <c r="O246" s="11">
        <v>0</v>
      </c>
      <c r="P246" s="11"/>
      <c r="Q246" s="105"/>
    </row>
    <row r="247" spans="3:17" s="2" customFormat="1" ht="15.75" hidden="1" x14ac:dyDescent="0.25">
      <c r="C247" s="86" t="s">
        <v>62</v>
      </c>
      <c r="D247" s="86" t="s">
        <v>68</v>
      </c>
      <c r="E247" s="86" t="s">
        <v>402</v>
      </c>
      <c r="F247" s="10">
        <v>43056</v>
      </c>
      <c r="G247" s="86" t="s">
        <v>403</v>
      </c>
      <c r="H247" s="86" t="s">
        <v>404</v>
      </c>
      <c r="I247" s="87">
        <v>4167.5294117647063</v>
      </c>
      <c r="J247" s="87">
        <v>2290</v>
      </c>
      <c r="K247" s="88">
        <f t="shared" si="4"/>
        <v>0.4505137759710931</v>
      </c>
      <c r="L247" s="87">
        <v>377.51</v>
      </c>
      <c r="M247" s="88">
        <f t="shared" si="5"/>
        <v>9.0583643857271898E-2</v>
      </c>
      <c r="N247" s="11">
        <v>-287.47000000000003</v>
      </c>
      <c r="O247" s="11">
        <v>93.25</v>
      </c>
      <c r="P247" s="11" t="s">
        <v>405</v>
      </c>
      <c r="Q247" s="105"/>
    </row>
    <row r="248" spans="3:17" s="2" customFormat="1" ht="15.75" hidden="1" x14ac:dyDescent="0.25">
      <c r="C248" s="86" t="s">
        <v>57</v>
      </c>
      <c r="D248" s="86" t="s">
        <v>109</v>
      </c>
      <c r="E248" s="86" t="s">
        <v>69</v>
      </c>
      <c r="F248" s="10">
        <v>42991</v>
      </c>
      <c r="G248" s="86" t="s">
        <v>92</v>
      </c>
      <c r="H248" s="86" t="s">
        <v>16</v>
      </c>
      <c r="I248" s="87">
        <v>26245.96</v>
      </c>
      <c r="J248" s="87">
        <v>22311.41</v>
      </c>
      <c r="K248" s="88">
        <f t="shared" si="4"/>
        <v>0.14991069101682694</v>
      </c>
      <c r="L248" s="87">
        <v>1627.2</v>
      </c>
      <c r="M248" s="88">
        <f t="shared" si="5"/>
        <v>6.1998113233427167E-2</v>
      </c>
      <c r="N248" s="11">
        <v>-3331.14</v>
      </c>
      <c r="O248" s="11">
        <v>443.66</v>
      </c>
      <c r="P248" s="11" t="s">
        <v>406</v>
      </c>
      <c r="Q248" s="105"/>
    </row>
    <row r="249" spans="3:17" s="2" customFormat="1" ht="15.75" hidden="1" x14ac:dyDescent="0.25">
      <c r="C249" s="86" t="s">
        <v>57</v>
      </c>
      <c r="D249" s="86" t="s">
        <v>68</v>
      </c>
      <c r="E249" s="86" t="s">
        <v>69</v>
      </c>
      <c r="F249" s="10">
        <v>43046</v>
      </c>
      <c r="G249" s="86" t="s">
        <v>346</v>
      </c>
      <c r="H249" s="86" t="s">
        <v>15</v>
      </c>
      <c r="I249" s="87">
        <v>12447.14</v>
      </c>
      <c r="J249" s="87">
        <v>4789.0600000000004</v>
      </c>
      <c r="K249" s="88">
        <f t="shared" si="4"/>
        <v>0.61524816142503413</v>
      </c>
      <c r="L249" s="87">
        <v>1718.6849999999999</v>
      </c>
      <c r="M249" s="88">
        <f t="shared" si="5"/>
        <v>0.13807870723716453</v>
      </c>
      <c r="N249" s="11">
        <v>1296.93</v>
      </c>
      <c r="O249" s="11">
        <v>0</v>
      </c>
      <c r="P249" s="11"/>
      <c r="Q249" s="105"/>
    </row>
    <row r="250" spans="3:17" s="2" customFormat="1" ht="15.75" hidden="1" x14ac:dyDescent="0.25">
      <c r="C250" s="86" t="s">
        <v>407</v>
      </c>
      <c r="D250" s="86" t="s">
        <v>68</v>
      </c>
      <c r="E250" s="86" t="s">
        <v>66</v>
      </c>
      <c r="F250" s="10">
        <v>43041</v>
      </c>
      <c r="G250" s="86" t="s">
        <v>408</v>
      </c>
      <c r="H250" s="86" t="s">
        <v>18</v>
      </c>
      <c r="I250" s="87">
        <v>14814.82</v>
      </c>
      <c r="J250" s="87">
        <v>7383.1</v>
      </c>
      <c r="K250" s="88">
        <f t="shared" si="4"/>
        <v>0.50164092442567643</v>
      </c>
      <c r="L250" s="87">
        <v>1461.8900000000012</v>
      </c>
      <c r="M250" s="88">
        <f t="shared" si="5"/>
        <v>9.8677540462860924E-2</v>
      </c>
      <c r="N250" s="11">
        <v>325.52000000000226</v>
      </c>
      <c r="O250" s="11">
        <v>0</v>
      </c>
      <c r="P250" s="11"/>
      <c r="Q250" s="105"/>
    </row>
    <row r="251" spans="3:17" s="2" customFormat="1" ht="15.75" hidden="1" x14ac:dyDescent="0.25">
      <c r="C251" s="86" t="s">
        <v>57</v>
      </c>
      <c r="D251" s="86" t="s">
        <v>188</v>
      </c>
      <c r="E251" s="86" t="s">
        <v>464</v>
      </c>
      <c r="F251" s="10">
        <v>42968</v>
      </c>
      <c r="G251" s="86" t="s">
        <v>409</v>
      </c>
      <c r="H251" s="86" t="s">
        <v>479</v>
      </c>
      <c r="I251" s="86">
        <v>20940.34</v>
      </c>
      <c r="J251" s="86">
        <v>13916.86</v>
      </c>
      <c r="K251" s="88">
        <f t="shared" si="4"/>
        <v>0.3354042962053147</v>
      </c>
      <c r="L251" s="86">
        <v>987.88</v>
      </c>
      <c r="M251" s="88">
        <f t="shared" si="5"/>
        <v>4.7175929330660345E-2</v>
      </c>
      <c r="N251" s="11">
        <v>-2866.46</v>
      </c>
      <c r="O251" s="11">
        <v>894.41</v>
      </c>
      <c r="P251" s="11"/>
      <c r="Q251" s="105"/>
    </row>
    <row r="252" spans="3:17" s="2" customFormat="1" ht="15.75" hidden="1" x14ac:dyDescent="0.25">
      <c r="C252" s="86" t="s">
        <v>410</v>
      </c>
      <c r="D252" s="86" t="s">
        <v>427</v>
      </c>
      <c r="E252" s="86" t="s">
        <v>477</v>
      </c>
      <c r="F252" s="10">
        <v>43067</v>
      </c>
      <c r="G252" s="86" t="s">
        <v>411</v>
      </c>
      <c r="H252" s="86" t="s">
        <v>88</v>
      </c>
      <c r="I252" s="87">
        <v>4899.9961253111287</v>
      </c>
      <c r="J252" s="86">
        <v>2148</v>
      </c>
      <c r="K252" s="88">
        <f t="shared" si="4"/>
        <v>0.56163230642072981</v>
      </c>
      <c r="L252" s="87">
        <v>626.49806265556435</v>
      </c>
      <c r="M252" s="88">
        <f t="shared" si="5"/>
        <v>0.12785684858389237</v>
      </c>
      <c r="N252" s="11">
        <v>384.99612531112871</v>
      </c>
      <c r="O252" s="11">
        <v>0</v>
      </c>
      <c r="P252" s="11"/>
      <c r="Q252" s="105"/>
    </row>
    <row r="253" spans="3:17" s="2" customFormat="1" ht="15.75" hidden="1" x14ac:dyDescent="0.25">
      <c r="C253" s="86" t="s">
        <v>57</v>
      </c>
      <c r="D253" s="86" t="s">
        <v>74</v>
      </c>
      <c r="E253" s="86" t="s">
        <v>477</v>
      </c>
      <c r="F253" s="10">
        <v>43069</v>
      </c>
      <c r="G253" s="86" t="s">
        <v>412</v>
      </c>
      <c r="H253" s="86" t="s">
        <v>13</v>
      </c>
      <c r="I253" s="87">
        <v>1953.4883720930234</v>
      </c>
      <c r="J253" s="87">
        <v>784.84</v>
      </c>
      <c r="K253" s="88">
        <f t="shared" si="4"/>
        <v>0.59823666666666664</v>
      </c>
      <c r="L253" s="87">
        <v>204.08418604651169</v>
      </c>
      <c r="M253" s="88">
        <f t="shared" si="5"/>
        <v>0.1044716666666667</v>
      </c>
      <c r="N253" s="11">
        <v>196.48837209302337</v>
      </c>
      <c r="O253" s="11">
        <v>0</v>
      </c>
      <c r="P253" s="11"/>
      <c r="Q253" s="105"/>
    </row>
    <row r="254" spans="3:17" s="2" customFormat="1" ht="15.75" hidden="1" x14ac:dyDescent="0.25">
      <c r="C254" s="86" t="s">
        <v>62</v>
      </c>
      <c r="D254" s="86" t="s">
        <v>68</v>
      </c>
      <c r="E254" s="86" t="s">
        <v>98</v>
      </c>
      <c r="F254" s="10">
        <v>42991</v>
      </c>
      <c r="G254" s="86" t="s">
        <v>413</v>
      </c>
      <c r="H254" s="86" t="s">
        <v>14</v>
      </c>
      <c r="I254" s="87">
        <v>7548.58</v>
      </c>
      <c r="J254" s="87">
        <v>3994.66</v>
      </c>
      <c r="K254" s="88">
        <f t="shared" si="4"/>
        <v>0.47080642981858839</v>
      </c>
      <c r="L254" s="87">
        <v>650.29</v>
      </c>
      <c r="M254" s="88">
        <f t="shared" si="5"/>
        <v>8.614732837169374E-2</v>
      </c>
      <c r="N254" s="11">
        <v>68.58</v>
      </c>
      <c r="O254" s="11">
        <v>0</v>
      </c>
      <c r="P254" s="11" t="s">
        <v>414</v>
      </c>
      <c r="Q254" s="105"/>
    </row>
    <row r="255" spans="3:17" s="2" customFormat="1" ht="15.75" hidden="1" x14ac:dyDescent="0.25">
      <c r="C255" s="86" t="s">
        <v>57</v>
      </c>
      <c r="D255" s="86" t="s">
        <v>109</v>
      </c>
      <c r="E255" s="86" t="s">
        <v>415</v>
      </c>
      <c r="F255" s="10">
        <v>43000</v>
      </c>
      <c r="G255" s="86" t="s">
        <v>416</v>
      </c>
      <c r="H255" s="86" t="s">
        <v>16</v>
      </c>
      <c r="I255" s="87">
        <v>27681.86</v>
      </c>
      <c r="J255" s="87">
        <v>12836.08</v>
      </c>
      <c r="K255" s="88">
        <f t="shared" si="4"/>
        <v>0.53629994516264445</v>
      </c>
      <c r="L255" s="87">
        <v>2583.73</v>
      </c>
      <c r="M255" s="88">
        <f t="shared" si="5"/>
        <v>9.3336574926684832E-2</v>
      </c>
      <c r="N255" s="11">
        <v>1286.96</v>
      </c>
      <c r="O255" s="11">
        <v>0</v>
      </c>
      <c r="P255" s="11" t="s">
        <v>399</v>
      </c>
      <c r="Q255" s="105"/>
    </row>
    <row r="256" spans="3:17" s="2" customFormat="1" ht="15.75" hidden="1" x14ac:dyDescent="0.25">
      <c r="C256" s="86" t="s">
        <v>57</v>
      </c>
      <c r="D256" s="86" t="s">
        <v>74</v>
      </c>
      <c r="E256" s="86" t="s">
        <v>98</v>
      </c>
      <c r="F256" s="10">
        <v>43060</v>
      </c>
      <c r="G256" s="86" t="s">
        <v>417</v>
      </c>
      <c r="H256" s="86" t="s">
        <v>14</v>
      </c>
      <c r="I256" s="87">
        <v>6186.0465116279074</v>
      </c>
      <c r="J256" s="87">
        <v>3202.14</v>
      </c>
      <c r="K256" s="88">
        <f t="shared" si="4"/>
        <v>0.48236082706766925</v>
      </c>
      <c r="L256" s="87">
        <v>726.32325581395378</v>
      </c>
      <c r="M256" s="88">
        <f t="shared" si="5"/>
        <v>0.11741315789473689</v>
      </c>
      <c r="N256" s="11">
        <v>313.04651162790742</v>
      </c>
      <c r="O256" s="11">
        <v>0</v>
      </c>
      <c r="P256" s="11"/>
      <c r="Q256" s="105"/>
    </row>
    <row r="257" spans="3:17" s="2" customFormat="1" ht="15.75" hidden="1" x14ac:dyDescent="0.25">
      <c r="C257" s="86" t="s">
        <v>418</v>
      </c>
      <c r="D257" s="86" t="s">
        <v>74</v>
      </c>
      <c r="E257" s="86" t="s">
        <v>66</v>
      </c>
      <c r="F257" s="10">
        <v>43032</v>
      </c>
      <c r="G257" s="86" t="s">
        <v>419</v>
      </c>
      <c r="H257" s="86" t="s">
        <v>13</v>
      </c>
      <c r="I257" s="87">
        <v>8386.7210250436801</v>
      </c>
      <c r="J257" s="87">
        <v>3593.12</v>
      </c>
      <c r="K257" s="88">
        <f t="shared" si="4"/>
        <v>0.57157034444444443</v>
      </c>
      <c r="L257" s="87">
        <v>1155.4935125218403</v>
      </c>
      <c r="M257" s="88">
        <f t="shared" si="5"/>
        <v>0.13777655284722223</v>
      </c>
      <c r="N257" s="11">
        <v>1451.8210250436805</v>
      </c>
      <c r="O257" s="11">
        <v>0</v>
      </c>
      <c r="P257" s="11"/>
      <c r="Q257" s="105"/>
    </row>
    <row r="258" spans="3:17" s="2" customFormat="1" ht="15.75" hidden="1" x14ac:dyDescent="0.25">
      <c r="C258" s="86" t="s">
        <v>57</v>
      </c>
      <c r="D258" s="86" t="s">
        <v>420</v>
      </c>
      <c r="E258" s="86" t="s">
        <v>66</v>
      </c>
      <c r="F258" s="10">
        <v>43031</v>
      </c>
      <c r="G258" s="86" t="s">
        <v>421</v>
      </c>
      <c r="H258" s="86" t="s">
        <v>13</v>
      </c>
      <c r="I258" s="87">
        <v>7395.9567441860472</v>
      </c>
      <c r="J258" s="87">
        <v>3705.58</v>
      </c>
      <c r="K258" s="88">
        <f t="shared" si="4"/>
        <v>0.49897219140539839</v>
      </c>
      <c r="L258" s="87">
        <v>449.29237209302369</v>
      </c>
      <c r="M258" s="88">
        <f t="shared" si="5"/>
        <v>6.0748377476140848E-2</v>
      </c>
      <c r="N258" s="11">
        <v>-119.2432558139526</v>
      </c>
      <c r="O258" s="11">
        <v>0</v>
      </c>
      <c r="P258" s="11"/>
      <c r="Q258" s="105"/>
    </row>
    <row r="259" spans="3:17" s="2" customFormat="1" ht="15.75" hidden="1" x14ac:dyDescent="0.25">
      <c r="C259" s="86" t="s">
        <v>94</v>
      </c>
      <c r="D259" s="86" t="s">
        <v>68</v>
      </c>
      <c r="E259" s="86" t="s">
        <v>66</v>
      </c>
      <c r="F259" s="10">
        <v>43060</v>
      </c>
      <c r="G259" s="86" t="s">
        <v>422</v>
      </c>
      <c r="H259" s="86" t="s">
        <v>18</v>
      </c>
      <c r="I259" s="87">
        <v>8201.3700000000008</v>
      </c>
      <c r="J259" s="87">
        <v>4000.55</v>
      </c>
      <c r="K259" s="88">
        <f t="shared" si="4"/>
        <v>0.51220954547837738</v>
      </c>
      <c r="L259" s="87">
        <v>1092.505000000001</v>
      </c>
      <c r="M259" s="88">
        <f t="shared" si="5"/>
        <v>0.13321006124586512</v>
      </c>
      <c r="N259" s="11">
        <v>742.17000000000189</v>
      </c>
      <c r="O259" s="11">
        <v>0</v>
      </c>
      <c r="P259" s="11"/>
      <c r="Q259" s="105"/>
    </row>
    <row r="260" spans="3:17" s="2" customFormat="1" ht="15.75" hidden="1" x14ac:dyDescent="0.25">
      <c r="C260" s="86" t="s">
        <v>57</v>
      </c>
      <c r="D260" s="86" t="s">
        <v>420</v>
      </c>
      <c r="E260" s="86" t="s">
        <v>69</v>
      </c>
      <c r="F260" s="10">
        <v>43039</v>
      </c>
      <c r="G260" s="86" t="s">
        <v>423</v>
      </c>
      <c r="H260" s="86" t="s">
        <v>15</v>
      </c>
      <c r="I260" s="87">
        <v>13346.976744186048</v>
      </c>
      <c r="J260" s="87">
        <v>5486.93</v>
      </c>
      <c r="K260" s="88">
        <f t="shared" si="4"/>
        <v>0.58890090953442986</v>
      </c>
      <c r="L260" s="87">
        <v>1888.5053720930241</v>
      </c>
      <c r="M260" s="88">
        <f t="shared" si="5"/>
        <v>0.14149311925006974</v>
      </c>
      <c r="N260" s="11">
        <v>1513.4767441860477</v>
      </c>
      <c r="O260" s="11">
        <v>0</v>
      </c>
      <c r="P260" s="11"/>
      <c r="Q260" s="105"/>
    </row>
    <row r="261" spans="3:17" s="2" customFormat="1" ht="15.75" hidden="1" x14ac:dyDescent="0.25">
      <c r="C261" s="86" t="s">
        <v>57</v>
      </c>
      <c r="D261" s="86" t="s">
        <v>427</v>
      </c>
      <c r="E261" s="86" t="s">
        <v>69</v>
      </c>
      <c r="F261" s="10">
        <v>43031</v>
      </c>
      <c r="G261" s="86" t="s">
        <v>353</v>
      </c>
      <c r="H261" s="86" t="s">
        <v>15</v>
      </c>
      <c r="I261" s="87">
        <v>12264.186046511628</v>
      </c>
      <c r="J261" s="87">
        <v>5568.55</v>
      </c>
      <c r="K261" s="88">
        <f t="shared" si="4"/>
        <v>0.5459502996055825</v>
      </c>
      <c r="L261" s="87">
        <v>1521.8090232558152</v>
      </c>
      <c r="M261" s="88">
        <f t="shared" si="5"/>
        <v>0.12408561134708748</v>
      </c>
      <c r="N261" s="11">
        <v>782.22604651163056</v>
      </c>
      <c r="O261" s="11">
        <v>0</v>
      </c>
      <c r="P261" s="11"/>
      <c r="Q261" s="105"/>
    </row>
    <row r="262" spans="3:17" s="2" customFormat="1" ht="15.75" hidden="1" x14ac:dyDescent="0.25">
      <c r="C262" s="86" t="s">
        <v>62</v>
      </c>
      <c r="D262" s="86" t="s">
        <v>68</v>
      </c>
      <c r="E262" s="86" t="s">
        <v>424</v>
      </c>
      <c r="F262" s="10">
        <v>42949</v>
      </c>
      <c r="G262" s="86" t="s">
        <v>425</v>
      </c>
      <c r="H262" s="86" t="s">
        <v>404</v>
      </c>
      <c r="I262" s="87">
        <v>5398.49</v>
      </c>
      <c r="J262" s="87">
        <v>1700</v>
      </c>
      <c r="K262" s="88">
        <f t="shared" si="4"/>
        <v>0.68509712901200148</v>
      </c>
      <c r="L262" s="87">
        <v>1048.29</v>
      </c>
      <c r="M262" s="88">
        <f t="shared" si="5"/>
        <v>0.19418207684000527</v>
      </c>
      <c r="N262" s="11">
        <v>1314.86</v>
      </c>
      <c r="O262" s="11">
        <v>0</v>
      </c>
      <c r="P262" s="11"/>
      <c r="Q262" s="105"/>
    </row>
    <row r="263" spans="3:17" s="2" customFormat="1" ht="15.75" hidden="1" x14ac:dyDescent="0.25">
      <c r="C263" s="86" t="s">
        <v>57</v>
      </c>
      <c r="D263" s="86" t="s">
        <v>420</v>
      </c>
      <c r="E263" s="86" t="s">
        <v>476</v>
      </c>
      <c r="F263" s="10">
        <v>43053</v>
      </c>
      <c r="G263" s="86" t="s">
        <v>426</v>
      </c>
      <c r="H263" s="86" t="s">
        <v>15</v>
      </c>
      <c r="I263" s="87">
        <v>13287.441860465116</v>
      </c>
      <c r="J263" s="87">
        <v>5035.57</v>
      </c>
      <c r="K263" s="88">
        <f t="shared" si="4"/>
        <v>0.62102788084570149</v>
      </c>
      <c r="L263" s="87">
        <v>1779.0620927325583</v>
      </c>
      <c r="M263" s="88">
        <f t="shared" si="5"/>
        <v>0.13389048933684544</v>
      </c>
      <c r="N263" s="11">
        <v>1169.5447667151166</v>
      </c>
      <c r="O263" s="11">
        <v>0</v>
      </c>
      <c r="P263" s="11"/>
      <c r="Q263" s="105"/>
    </row>
    <row r="264" spans="3:17" s="2" customFormat="1" ht="15.75" hidden="1" x14ac:dyDescent="0.25">
      <c r="C264" s="86" t="s">
        <v>57</v>
      </c>
      <c r="D264" s="86" t="s">
        <v>427</v>
      </c>
      <c r="E264" s="86" t="s">
        <v>428</v>
      </c>
      <c r="F264" s="10">
        <v>43054</v>
      </c>
      <c r="G264" s="86" t="s">
        <v>429</v>
      </c>
      <c r="H264" s="86" t="s">
        <v>15</v>
      </c>
      <c r="I264" s="87">
        <v>4062.8272251308899</v>
      </c>
      <c r="J264" s="87">
        <v>2882.3</v>
      </c>
      <c r="K264" s="88">
        <f t="shared" si="4"/>
        <v>0.29056791237113394</v>
      </c>
      <c r="L264" s="87">
        <v>303.87</v>
      </c>
      <c r="M264" s="88">
        <f t="shared" si="5"/>
        <v>7.4792744845360831E-2</v>
      </c>
      <c r="N264" s="11">
        <v>-1111.57</v>
      </c>
      <c r="O264" s="11">
        <v>667.72</v>
      </c>
      <c r="P264" s="11" t="s">
        <v>430</v>
      </c>
      <c r="Q264" s="105"/>
    </row>
    <row r="265" spans="3:17" s="2" customFormat="1" ht="15.75" hidden="1" x14ac:dyDescent="0.25">
      <c r="C265" s="86" t="s">
        <v>386</v>
      </c>
      <c r="D265" s="86" t="s">
        <v>431</v>
      </c>
      <c r="E265" s="86" t="s">
        <v>464</v>
      </c>
      <c r="F265" s="10">
        <v>43057</v>
      </c>
      <c r="G265" s="86" t="s">
        <v>432</v>
      </c>
      <c r="H265" s="86" t="s">
        <v>15</v>
      </c>
      <c r="I265" s="87">
        <v>8210.9599999999991</v>
      </c>
      <c r="J265" s="87">
        <v>3634.18</v>
      </c>
      <c r="K265" s="88">
        <f t="shared" si="4"/>
        <v>0.55739889123805242</v>
      </c>
      <c r="L265" s="87">
        <v>1095.4743999999996</v>
      </c>
      <c r="M265" s="88">
        <f t="shared" si="5"/>
        <v>0.13341611699484587</v>
      </c>
      <c r="N265" s="11">
        <v>783.59599999999955</v>
      </c>
      <c r="O265" s="11">
        <v>0</v>
      </c>
      <c r="P265" s="11"/>
      <c r="Q265" s="105"/>
    </row>
    <row r="266" spans="3:17" s="2" customFormat="1" ht="15.75" hidden="1" x14ac:dyDescent="0.25">
      <c r="C266" s="86" t="s">
        <v>57</v>
      </c>
      <c r="D266" s="86" t="s">
        <v>74</v>
      </c>
      <c r="E266" s="86" t="s">
        <v>66</v>
      </c>
      <c r="F266" s="10">
        <v>43422</v>
      </c>
      <c r="G266" s="86" t="s">
        <v>433</v>
      </c>
      <c r="H266" s="86" t="s">
        <v>13</v>
      </c>
      <c r="I266" s="87">
        <v>6637.97</v>
      </c>
      <c r="J266" s="87">
        <v>2690.39</v>
      </c>
      <c r="K266" s="88">
        <f t="shared" si="4"/>
        <v>0.59469687268848759</v>
      </c>
      <c r="L266" s="87">
        <v>560.26680000000033</v>
      </c>
      <c r="M266" s="88">
        <f t="shared" si="5"/>
        <v>8.4403334151856718E-2</v>
      </c>
      <c r="N266" s="11">
        <v>262.23000000000047</v>
      </c>
      <c r="O266" s="11">
        <v>0</v>
      </c>
      <c r="P266" s="11"/>
      <c r="Q266" s="105"/>
    </row>
    <row r="267" spans="3:17" s="2" customFormat="1" ht="15.75" hidden="1" x14ac:dyDescent="0.25">
      <c r="C267" s="86" t="s">
        <v>228</v>
      </c>
      <c r="D267" s="86" t="s">
        <v>68</v>
      </c>
      <c r="E267" s="86" t="s">
        <v>66</v>
      </c>
      <c r="F267" s="10">
        <v>42951</v>
      </c>
      <c r="G267" s="86" t="s">
        <v>434</v>
      </c>
      <c r="H267" s="86" t="s">
        <v>18</v>
      </c>
      <c r="I267" s="87">
        <v>42972.639999999999</v>
      </c>
      <c r="J267" s="87">
        <v>27172.53</v>
      </c>
      <c r="K267" s="88">
        <f t="shared" si="4"/>
        <v>0.36767836465248588</v>
      </c>
      <c r="L267" s="87">
        <v>1204.56</v>
      </c>
      <c r="M267" s="88">
        <f t="shared" si="5"/>
        <v>2.8030858704515244E-2</v>
      </c>
      <c r="N267" s="11">
        <v>-7239.1</v>
      </c>
      <c r="O267" s="11">
        <v>173.44</v>
      </c>
      <c r="P267" s="11" t="s">
        <v>435</v>
      </c>
      <c r="Q267" s="105"/>
    </row>
    <row r="268" spans="3:17" s="2" customFormat="1" ht="15.75" hidden="1" x14ac:dyDescent="0.25">
      <c r="C268" s="86" t="s">
        <v>436</v>
      </c>
      <c r="D268" s="86" t="s">
        <v>420</v>
      </c>
      <c r="E268" s="86" t="s">
        <v>66</v>
      </c>
      <c r="F268" s="10">
        <v>43061</v>
      </c>
      <c r="G268" s="86" t="s">
        <v>437</v>
      </c>
      <c r="H268" s="86" t="s">
        <v>13</v>
      </c>
      <c r="I268" s="87">
        <v>15638.64</v>
      </c>
      <c r="J268" s="87">
        <v>9163.0300000000007</v>
      </c>
      <c r="K268" s="88">
        <f t="shared" si="4"/>
        <v>0.41407756684724495</v>
      </c>
      <c r="L268" s="87">
        <v>823.38</v>
      </c>
      <c r="M268" s="88">
        <f t="shared" si="5"/>
        <v>5.2650358343180742E-2</v>
      </c>
      <c r="N268" s="11">
        <v>1054.1400000000012</v>
      </c>
      <c r="O268" s="11">
        <v>163.04</v>
      </c>
      <c r="P268" s="11" t="s">
        <v>438</v>
      </c>
      <c r="Q268" s="105"/>
    </row>
    <row r="269" spans="3:17" s="2" customFormat="1" ht="15.75" hidden="1" x14ac:dyDescent="0.25">
      <c r="C269" s="86" t="s">
        <v>57</v>
      </c>
      <c r="D269" s="86" t="s">
        <v>420</v>
      </c>
      <c r="E269" s="86" t="s">
        <v>476</v>
      </c>
      <c r="F269" s="10">
        <v>43063</v>
      </c>
      <c r="G269" s="86" t="s">
        <v>439</v>
      </c>
      <c r="H269" s="86" t="s">
        <v>479</v>
      </c>
      <c r="I269" s="87">
        <v>19151.379767441864</v>
      </c>
      <c r="J269" s="87">
        <v>7464.24</v>
      </c>
      <c r="K269" s="88">
        <f t="shared" si="4"/>
        <v>0.61025053595931944</v>
      </c>
      <c r="L269" s="87">
        <v>2831.3354837209326</v>
      </c>
      <c r="M269" s="88">
        <f t="shared" si="5"/>
        <v>0.14783976497266896</v>
      </c>
      <c r="N269" s="11">
        <v>2334.2437674418652</v>
      </c>
      <c r="O269" s="11">
        <v>0</v>
      </c>
      <c r="P269" s="11"/>
      <c r="Q269" s="105"/>
    </row>
    <row r="270" spans="3:17" s="2" customFormat="1" ht="15.75" hidden="1" x14ac:dyDescent="0.25">
      <c r="C270" s="86" t="s">
        <v>62</v>
      </c>
      <c r="D270" s="86" t="s">
        <v>74</v>
      </c>
      <c r="E270" s="86" t="s">
        <v>477</v>
      </c>
      <c r="F270" s="10">
        <v>43068</v>
      </c>
      <c r="G270" s="86" t="s">
        <v>440</v>
      </c>
      <c r="H270" s="86" t="s">
        <v>27</v>
      </c>
      <c r="I270" s="87">
        <v>14706.224549156484</v>
      </c>
      <c r="J270" s="87">
        <v>5966.12</v>
      </c>
      <c r="K270" s="88">
        <f t="shared" si="4"/>
        <v>0.59431328006329098</v>
      </c>
      <c r="L270" s="87">
        <v>1874.5622745782423</v>
      </c>
      <c r="M270" s="88">
        <f t="shared" si="5"/>
        <v>0.1274672685917721</v>
      </c>
      <c r="N270" s="11">
        <v>1801.7245491564845</v>
      </c>
      <c r="O270" s="11">
        <v>0</v>
      </c>
      <c r="P270" s="11"/>
      <c r="Q270" s="105"/>
    </row>
    <row r="271" spans="3:17" s="2" customFormat="1" ht="15.75" hidden="1" x14ac:dyDescent="0.25">
      <c r="C271" s="86" t="s">
        <v>57</v>
      </c>
      <c r="D271" s="86" t="s">
        <v>420</v>
      </c>
      <c r="E271" s="86" t="s">
        <v>69</v>
      </c>
      <c r="F271" s="10">
        <v>43023</v>
      </c>
      <c r="G271" s="86" t="s">
        <v>441</v>
      </c>
      <c r="H271" s="86" t="s">
        <v>15</v>
      </c>
      <c r="I271" s="87">
        <v>10689.3</v>
      </c>
      <c r="J271" s="87">
        <f>6148.37-1400</f>
        <v>4748.37</v>
      </c>
      <c r="K271" s="88">
        <f t="shared" si="4"/>
        <v>0.55578288568942769</v>
      </c>
      <c r="L271" s="87">
        <v>1318.39</v>
      </c>
      <c r="M271" s="88">
        <f t="shared" si="5"/>
        <v>0.12333735604763645</v>
      </c>
      <c r="N271" s="11">
        <v>667.4</v>
      </c>
      <c r="O271" s="11">
        <v>0</v>
      </c>
      <c r="P271" s="11"/>
      <c r="Q271" s="105"/>
    </row>
    <row r="272" spans="3:17" s="2" customFormat="1" ht="15.75" hidden="1" x14ac:dyDescent="0.25">
      <c r="C272" s="86" t="s">
        <v>57</v>
      </c>
      <c r="D272" s="86" t="s">
        <v>74</v>
      </c>
      <c r="E272" s="86" t="s">
        <v>98</v>
      </c>
      <c r="F272" s="10">
        <v>43450</v>
      </c>
      <c r="G272" s="86" t="s">
        <v>442</v>
      </c>
      <c r="H272" s="86" t="s">
        <v>29</v>
      </c>
      <c r="I272" s="87">
        <v>18600</v>
      </c>
      <c r="J272" s="87">
        <v>9142.52</v>
      </c>
      <c r="K272" s="88">
        <f t="shared" si="4"/>
        <v>0.50846666666666662</v>
      </c>
      <c r="L272" s="87">
        <v>1906.0399999999993</v>
      </c>
      <c r="M272" s="88">
        <f t="shared" si="5"/>
        <v>0.10247526881720426</v>
      </c>
      <c r="N272" s="11">
        <v>1039.0999999999985</v>
      </c>
      <c r="O272" s="11">
        <v>0</v>
      </c>
      <c r="P272" s="11"/>
      <c r="Q272" s="105"/>
    </row>
    <row r="273" spans="3:17" s="2" customFormat="1" ht="15.75" hidden="1" x14ac:dyDescent="0.25">
      <c r="C273" s="86" t="s">
        <v>62</v>
      </c>
      <c r="D273" s="86" t="s">
        <v>109</v>
      </c>
      <c r="E273" s="86" t="s">
        <v>481</v>
      </c>
      <c r="F273" s="10">
        <v>43005</v>
      </c>
      <c r="G273" s="86" t="s">
        <v>443</v>
      </c>
      <c r="H273" s="86" t="s">
        <v>16</v>
      </c>
      <c r="I273" s="87">
        <v>61888.34</v>
      </c>
      <c r="J273" s="87">
        <v>27320.94</v>
      </c>
      <c r="K273" s="88">
        <f t="shared" si="4"/>
        <v>0.55854463053945214</v>
      </c>
      <c r="L273" s="87">
        <v>8602.09</v>
      </c>
      <c r="M273" s="88">
        <f t="shared" si="5"/>
        <v>0.13899371028533</v>
      </c>
      <c r="N273" s="11">
        <v>7397.34</v>
      </c>
      <c r="O273" s="11">
        <v>0</v>
      </c>
      <c r="P273" s="11"/>
      <c r="Q273" s="105"/>
    </row>
    <row r="274" spans="3:17" s="2" customFormat="1" ht="15.75" hidden="1" x14ac:dyDescent="0.25">
      <c r="C274" s="86" t="s">
        <v>57</v>
      </c>
      <c r="D274" s="86" t="s">
        <v>74</v>
      </c>
      <c r="E274" s="86" t="s">
        <v>66</v>
      </c>
      <c r="F274" s="10">
        <v>43375</v>
      </c>
      <c r="G274" s="86" t="s">
        <v>444</v>
      </c>
      <c r="H274" s="86" t="s">
        <v>54</v>
      </c>
      <c r="I274" s="87">
        <v>11069.77</v>
      </c>
      <c r="J274" s="87">
        <v>7291.58</v>
      </c>
      <c r="K274" s="88">
        <f t="shared" si="4"/>
        <v>0.34130700095846622</v>
      </c>
      <c r="L274" s="87">
        <v>878.62</v>
      </c>
      <c r="M274" s="88">
        <f t="shared" si="5"/>
        <v>7.9371116111716863E-2</v>
      </c>
      <c r="N274" s="11">
        <v>-439.63</v>
      </c>
      <c r="O274" s="11">
        <v>0</v>
      </c>
      <c r="P274" s="11" t="s">
        <v>445</v>
      </c>
      <c r="Q274" s="105"/>
    </row>
    <row r="275" spans="3:17" s="2" customFormat="1" ht="15.75" hidden="1" x14ac:dyDescent="0.25">
      <c r="C275" s="86" t="s">
        <v>77</v>
      </c>
      <c r="D275" s="86" t="s">
        <v>68</v>
      </c>
      <c r="E275" s="86" t="s">
        <v>66</v>
      </c>
      <c r="F275" s="10">
        <v>43052</v>
      </c>
      <c r="G275" s="86" t="s">
        <v>446</v>
      </c>
      <c r="H275" s="86" t="s">
        <v>18</v>
      </c>
      <c r="I275" s="87">
        <v>12230.43</v>
      </c>
      <c r="J275" s="87">
        <v>6681.92</v>
      </c>
      <c r="K275" s="88">
        <f t="shared" si="4"/>
        <v>0.45366434377205056</v>
      </c>
      <c r="L275" s="87">
        <v>759.92</v>
      </c>
      <c r="M275" s="88">
        <f t="shared" si="5"/>
        <v>6.2133547226058281E-2</v>
      </c>
      <c r="N275" s="11">
        <v>-896.57</v>
      </c>
      <c r="O275" s="11">
        <v>0</v>
      </c>
      <c r="P275" s="11" t="s">
        <v>447</v>
      </c>
      <c r="Q275" s="105"/>
    </row>
    <row r="276" spans="3:17" s="2" customFormat="1" ht="15.75" hidden="1" x14ac:dyDescent="0.25">
      <c r="C276" s="86" t="s">
        <v>57</v>
      </c>
      <c r="D276" s="86" t="s">
        <v>420</v>
      </c>
      <c r="E276" s="86" t="s">
        <v>69</v>
      </c>
      <c r="F276" s="10">
        <v>43039</v>
      </c>
      <c r="G276" s="86" t="s">
        <v>448</v>
      </c>
      <c r="H276" s="86" t="s">
        <v>479</v>
      </c>
      <c r="I276" s="87">
        <v>19984.781116279071</v>
      </c>
      <c r="J276" s="87">
        <v>9496.7999999999993</v>
      </c>
      <c r="K276" s="88">
        <f t="shared" si="4"/>
        <v>0.52479839810383722</v>
      </c>
      <c r="L276" s="87">
        <v>2444.1505581395368</v>
      </c>
      <c r="M276" s="88">
        <f t="shared" si="5"/>
        <v>0.12230059183128089</v>
      </c>
      <c r="N276" s="11">
        <v>1201.6811162790727</v>
      </c>
      <c r="O276" s="11">
        <v>0</v>
      </c>
      <c r="P276" s="11"/>
      <c r="Q276" s="105"/>
    </row>
    <row r="277" spans="3:17" s="2" customFormat="1" ht="15.75" hidden="1" x14ac:dyDescent="0.25">
      <c r="C277" s="86" t="s">
        <v>386</v>
      </c>
      <c r="D277" s="86" t="s">
        <v>109</v>
      </c>
      <c r="E277" s="86" t="s">
        <v>477</v>
      </c>
      <c r="F277" s="10">
        <v>43077</v>
      </c>
      <c r="G277" s="86" t="s">
        <v>249</v>
      </c>
      <c r="H277" s="86" t="s">
        <v>15</v>
      </c>
      <c r="I277" s="87">
        <v>9771.7253317945761</v>
      </c>
      <c r="J277" s="87">
        <v>7836.58</v>
      </c>
      <c r="K277" s="88">
        <f t="shared" si="4"/>
        <v>0.1980351745559335</v>
      </c>
      <c r="L277" s="87">
        <f>732.52+O277</f>
        <v>850.14</v>
      </c>
      <c r="M277" s="88">
        <f t="shared" si="5"/>
        <v>8.6999989370748293E-2</v>
      </c>
      <c r="N277" s="11">
        <v>-122.91</v>
      </c>
      <c r="O277" s="11">
        <v>117.62</v>
      </c>
      <c r="P277" s="11" t="s">
        <v>449</v>
      </c>
      <c r="Q277" s="105"/>
    </row>
    <row r="278" spans="3:17" s="2" customFormat="1" ht="15.75" hidden="1" x14ac:dyDescent="0.25">
      <c r="C278" s="86" t="s">
        <v>57</v>
      </c>
      <c r="D278" s="86" t="s">
        <v>225</v>
      </c>
      <c r="E278" s="86" t="s">
        <v>464</v>
      </c>
      <c r="F278" s="10">
        <v>43359</v>
      </c>
      <c r="G278" s="86" t="s">
        <v>450</v>
      </c>
      <c r="H278" s="86" t="s">
        <v>479</v>
      </c>
      <c r="I278" s="87">
        <v>16081.43</v>
      </c>
      <c r="J278" s="87">
        <v>5990.92</v>
      </c>
      <c r="K278" s="88">
        <f t="shared" si="4"/>
        <v>0.62746347806134162</v>
      </c>
      <c r="L278" s="87">
        <v>1602.07</v>
      </c>
      <c r="M278" s="88">
        <f t="shared" si="5"/>
        <v>9.9622359454352008E-2</v>
      </c>
      <c r="N278" s="11">
        <v>4033.73</v>
      </c>
      <c r="O278" s="11">
        <v>0</v>
      </c>
      <c r="P278" s="11" t="s">
        <v>451</v>
      </c>
      <c r="Q278" s="18"/>
    </row>
    <row r="279" spans="3:17" s="2" customFormat="1" ht="15.75" hidden="1" x14ac:dyDescent="0.25">
      <c r="C279" s="86" t="s">
        <v>228</v>
      </c>
      <c r="D279" s="86" t="s">
        <v>225</v>
      </c>
      <c r="E279" s="86" t="s">
        <v>476</v>
      </c>
      <c r="F279" s="10">
        <v>43025</v>
      </c>
      <c r="G279" s="86" t="s">
        <v>452</v>
      </c>
      <c r="H279" s="86" t="s">
        <v>15</v>
      </c>
      <c r="I279" s="87">
        <v>5920.463768115942</v>
      </c>
      <c r="J279" s="87">
        <v>2585.34</v>
      </c>
      <c r="K279" s="88">
        <f t="shared" si="4"/>
        <v>0.56332137122042925</v>
      </c>
      <c r="L279" s="87">
        <v>448.39</v>
      </c>
      <c r="M279" s="88">
        <f t="shared" si="5"/>
        <v>7.5735620985430047E-2</v>
      </c>
      <c r="N279" s="11">
        <v>805.56376811594237</v>
      </c>
      <c r="O279" s="11">
        <v>0</v>
      </c>
      <c r="P279" s="11" t="s">
        <v>453</v>
      </c>
      <c r="Q279" s="18"/>
    </row>
    <row r="280" spans="3:17" s="2" customFormat="1" ht="15.75" hidden="1" x14ac:dyDescent="0.25">
      <c r="C280" s="86" t="s">
        <v>436</v>
      </c>
      <c r="D280" s="86" t="s">
        <v>68</v>
      </c>
      <c r="E280" s="86" t="s">
        <v>66</v>
      </c>
      <c r="F280" s="10">
        <v>43048</v>
      </c>
      <c r="G280" s="86" t="s">
        <v>454</v>
      </c>
      <c r="H280" s="86" t="s">
        <v>13</v>
      </c>
      <c r="I280" s="87">
        <v>8584.35</v>
      </c>
      <c r="J280" s="87">
        <v>4423.8599999999997</v>
      </c>
      <c r="K280" s="88">
        <f t="shared" si="4"/>
        <v>0.48465987523807863</v>
      </c>
      <c r="L280" s="87">
        <v>886.15</v>
      </c>
      <c r="M280" s="88">
        <f t="shared" si="5"/>
        <v>0.1032285496281023</v>
      </c>
      <c r="N280" s="11">
        <v>1247.4799999999996</v>
      </c>
      <c r="O280" s="11">
        <v>0</v>
      </c>
      <c r="P280" s="11"/>
      <c r="Q280" s="18"/>
    </row>
    <row r="281" spans="3:17" s="2" customFormat="1" ht="15.75" hidden="1" x14ac:dyDescent="0.25">
      <c r="C281" s="86" t="s">
        <v>110</v>
      </c>
      <c r="D281" s="86" t="s">
        <v>420</v>
      </c>
      <c r="E281" s="86" t="s">
        <v>464</v>
      </c>
      <c r="F281" s="10">
        <v>43044</v>
      </c>
      <c r="G281" s="86" t="s">
        <v>455</v>
      </c>
      <c r="H281" s="86" t="s">
        <v>479</v>
      </c>
      <c r="I281" s="87">
        <v>21086.71</v>
      </c>
      <c r="J281" s="87">
        <v>11691.38</v>
      </c>
      <c r="K281" s="88">
        <f t="shared" si="4"/>
        <v>0.44555694084093728</v>
      </c>
      <c r="L281" s="87">
        <v>1773.77</v>
      </c>
      <c r="M281" s="88">
        <f t="shared" si="5"/>
        <v>8.4117911234137518E-2</v>
      </c>
      <c r="N281" s="11">
        <v>247.25</v>
      </c>
      <c r="O281" s="11">
        <v>0</v>
      </c>
      <c r="P281" s="11" t="s">
        <v>456</v>
      </c>
      <c r="Q281" s="18"/>
    </row>
    <row r="282" spans="3:17" s="2" customFormat="1" ht="15.75" hidden="1" x14ac:dyDescent="0.25">
      <c r="C282" s="86" t="s">
        <v>57</v>
      </c>
      <c r="D282" s="86" t="s">
        <v>68</v>
      </c>
      <c r="E282" s="86" t="s">
        <v>98</v>
      </c>
      <c r="F282" s="10">
        <v>43099</v>
      </c>
      <c r="G282" s="86" t="s">
        <v>457</v>
      </c>
      <c r="H282" s="86" t="s">
        <v>14</v>
      </c>
      <c r="I282" s="87">
        <v>9353.0793604651171</v>
      </c>
      <c r="J282" s="87">
        <v>5217.33</v>
      </c>
      <c r="K282" s="88">
        <f t="shared" si="4"/>
        <v>0.44218050559334199</v>
      </c>
      <c r="L282" s="87">
        <v>681.21968023255886</v>
      </c>
      <c r="M282" s="88">
        <f t="shared" si="5"/>
        <v>7.2833732504401907E-2</v>
      </c>
      <c r="N282" s="11">
        <v>-337.72063953488214</v>
      </c>
      <c r="O282" s="11">
        <v>0</v>
      </c>
      <c r="P282" s="11" t="s">
        <v>458</v>
      </c>
      <c r="Q282" s="18"/>
    </row>
    <row r="283" spans="3:17" s="2" customFormat="1" ht="15.75" hidden="1" x14ac:dyDescent="0.25">
      <c r="C283" s="86" t="s">
        <v>57</v>
      </c>
      <c r="D283" s="86" t="s">
        <v>74</v>
      </c>
      <c r="E283" s="86" t="s">
        <v>98</v>
      </c>
      <c r="F283" s="10">
        <v>42927</v>
      </c>
      <c r="G283" s="86" t="s">
        <v>459</v>
      </c>
      <c r="H283" s="86" t="s">
        <v>27</v>
      </c>
      <c r="I283" s="87">
        <v>30697.67</v>
      </c>
      <c r="J283" s="87">
        <v>13895.03</v>
      </c>
      <c r="K283" s="88">
        <f t="shared" si="4"/>
        <v>0.54735880605922205</v>
      </c>
      <c r="L283" s="87">
        <v>2865.74</v>
      </c>
      <c r="M283" s="88">
        <f t="shared" si="5"/>
        <v>9.3353664952421464E-2</v>
      </c>
      <c r="N283" s="11">
        <v>1083.47</v>
      </c>
      <c r="O283" s="11">
        <v>0</v>
      </c>
      <c r="P283" s="11"/>
      <c r="Q283" s="18"/>
    </row>
    <row r="284" spans="3:17" s="2" customFormat="1" ht="15.75" hidden="1" x14ac:dyDescent="0.25">
      <c r="C284" s="86" t="s">
        <v>57</v>
      </c>
      <c r="D284" s="86" t="s">
        <v>109</v>
      </c>
      <c r="E284" s="86" t="s">
        <v>69</v>
      </c>
      <c r="F284" s="10">
        <v>43083</v>
      </c>
      <c r="G284" s="86" t="s">
        <v>460</v>
      </c>
      <c r="H284" s="86" t="s">
        <v>15</v>
      </c>
      <c r="I284" s="87">
        <v>11710.697674418605</v>
      </c>
      <c r="J284" s="87">
        <v>6309.24</v>
      </c>
      <c r="K284" s="88">
        <f t="shared" si="4"/>
        <v>0.46124132178886335</v>
      </c>
      <c r="L284" s="87">
        <v>1729.9688372093019</v>
      </c>
      <c r="M284" s="88">
        <f t="shared" si="5"/>
        <v>0.147725514337914</v>
      </c>
      <c r="N284" s="11">
        <v>1440.9976744186042</v>
      </c>
      <c r="O284" s="11">
        <v>0</v>
      </c>
      <c r="P284" s="11" t="s">
        <v>461</v>
      </c>
      <c r="Q284" s="18"/>
    </row>
    <row r="285" spans="3:17" s="2" customFormat="1" ht="15.75" hidden="1" x14ac:dyDescent="0.25">
      <c r="C285" s="86" t="s">
        <v>57</v>
      </c>
      <c r="D285" s="86" t="s">
        <v>109</v>
      </c>
      <c r="E285" s="86" t="s">
        <v>476</v>
      </c>
      <c r="F285" s="10">
        <v>43098</v>
      </c>
      <c r="G285" s="86" t="s">
        <v>462</v>
      </c>
      <c r="H285" s="86" t="s">
        <v>479</v>
      </c>
      <c r="I285" s="87">
        <v>25387.906976744187</v>
      </c>
      <c r="J285" s="87">
        <v>8857.25</v>
      </c>
      <c r="K285" s="88">
        <f t="shared" si="4"/>
        <v>0.6511232687234354</v>
      </c>
      <c r="L285" s="87">
        <v>3077.216288372093</v>
      </c>
      <c r="M285" s="88">
        <f t="shared" si="5"/>
        <v>0.12120795507841126</v>
      </c>
      <c r="N285" s="11">
        <v>1546.0014767441862</v>
      </c>
      <c r="O285" s="11">
        <v>0</v>
      </c>
      <c r="P285" s="11"/>
      <c r="Q285" s="18"/>
    </row>
    <row r="286" spans="3:17" s="2" customFormat="1" ht="15.75" hidden="1" x14ac:dyDescent="0.25">
      <c r="C286" s="86" t="s">
        <v>57</v>
      </c>
      <c r="D286" s="86" t="s">
        <v>420</v>
      </c>
      <c r="E286" s="86" t="s">
        <v>464</v>
      </c>
      <c r="F286" s="10">
        <v>43082</v>
      </c>
      <c r="G286" s="86" t="s">
        <v>95</v>
      </c>
      <c r="H286" s="86" t="s">
        <v>15</v>
      </c>
      <c r="I286" s="87">
        <v>10335.813953488372</v>
      </c>
      <c r="J286" s="87">
        <v>4700.1499999999996</v>
      </c>
      <c r="K286" s="88">
        <f t="shared" si="4"/>
        <v>0.54525594005940059</v>
      </c>
      <c r="L286" s="87">
        <v>1110.71</v>
      </c>
      <c r="M286" s="88">
        <f t="shared" si="5"/>
        <v>0.10746226712267123</v>
      </c>
      <c r="N286" s="11">
        <v>-263.41804651162602</v>
      </c>
      <c r="O286" s="11">
        <v>200</v>
      </c>
      <c r="P286" s="11" t="s">
        <v>463</v>
      </c>
      <c r="Q286" s="18"/>
    </row>
    <row r="287" spans="3:17" s="2" customFormat="1" ht="15.75" hidden="1" x14ac:dyDescent="0.25">
      <c r="C287" s="86" t="s">
        <v>57</v>
      </c>
      <c r="D287" s="86" t="s">
        <v>431</v>
      </c>
      <c r="E287" s="86" t="s">
        <v>464</v>
      </c>
      <c r="F287" s="10">
        <v>43025</v>
      </c>
      <c r="G287" s="86" t="s">
        <v>114</v>
      </c>
      <c r="H287" s="86" t="s">
        <v>479</v>
      </c>
      <c r="I287" s="87">
        <v>19560</v>
      </c>
      <c r="J287" s="87">
        <v>10043.719999999999</v>
      </c>
      <c r="K287" s="88">
        <f t="shared" si="4"/>
        <v>0.48651738241308795</v>
      </c>
      <c r="L287" s="87">
        <v>2002.02</v>
      </c>
      <c r="M287" s="88">
        <f t="shared" si="5"/>
        <v>0.10235276073619631</v>
      </c>
      <c r="N287" s="11">
        <v>158.80000000000001</v>
      </c>
      <c r="O287" s="11">
        <v>0</v>
      </c>
      <c r="P287" s="11" t="s">
        <v>465</v>
      </c>
      <c r="Q287" s="18"/>
    </row>
    <row r="288" spans="3:17" s="2" customFormat="1" ht="15.75" hidden="1" x14ac:dyDescent="0.25">
      <c r="C288" s="86" t="s">
        <v>57</v>
      </c>
      <c r="D288" s="86" t="s">
        <v>109</v>
      </c>
      <c r="E288" s="86" t="s">
        <v>481</v>
      </c>
      <c r="F288" s="10">
        <v>43095</v>
      </c>
      <c r="G288" s="86" t="s">
        <v>466</v>
      </c>
      <c r="H288" s="86" t="s">
        <v>16</v>
      </c>
      <c r="I288" s="87">
        <v>28394.418604651164</v>
      </c>
      <c r="J288" s="87">
        <v>19940.52</v>
      </c>
      <c r="K288" s="88">
        <f t="shared" si="4"/>
        <v>0.29773099855851137</v>
      </c>
      <c r="L288" s="87">
        <v>1599.4</v>
      </c>
      <c r="M288" s="88">
        <f t="shared" si="5"/>
        <v>5.6327971432315556E-2</v>
      </c>
      <c r="N288" s="11">
        <v>-830.27</v>
      </c>
      <c r="O288" s="11">
        <v>0</v>
      </c>
      <c r="P288" s="11" t="s">
        <v>467</v>
      </c>
      <c r="Q288" s="18"/>
    </row>
    <row r="289" spans="3:17" s="2" customFormat="1" ht="15.75" hidden="1" x14ac:dyDescent="0.25">
      <c r="C289" s="86" t="s">
        <v>57</v>
      </c>
      <c r="D289" s="86" t="s">
        <v>109</v>
      </c>
      <c r="E289" s="86" t="s">
        <v>476</v>
      </c>
      <c r="F289" s="10">
        <v>43098</v>
      </c>
      <c r="G289" s="86" t="s">
        <v>468</v>
      </c>
      <c r="H289" s="86" t="s">
        <v>15</v>
      </c>
      <c r="I289" s="87">
        <v>14515.348837209303</v>
      </c>
      <c r="J289" s="87">
        <v>5821.11</v>
      </c>
      <c r="K289" s="88">
        <f t="shared" si="4"/>
        <v>0.59896864586003595</v>
      </c>
      <c r="L289" s="87">
        <v>2158.23</v>
      </c>
      <c r="M289" s="88">
        <f t="shared" si="5"/>
        <v>0.14868605806203536</v>
      </c>
      <c r="N289" s="11">
        <v>724.15183720930145</v>
      </c>
      <c r="O289" s="11">
        <v>500</v>
      </c>
      <c r="P289" s="11"/>
      <c r="Q289" s="18"/>
    </row>
    <row r="290" spans="3:17" s="2" customFormat="1" ht="15.75" hidden="1" x14ac:dyDescent="0.25">
      <c r="C290" s="86" t="s">
        <v>407</v>
      </c>
      <c r="D290" s="86" t="s">
        <v>68</v>
      </c>
      <c r="E290" s="86" t="s">
        <v>69</v>
      </c>
      <c r="F290" s="10">
        <v>43039</v>
      </c>
      <c r="G290" s="86" t="s">
        <v>469</v>
      </c>
      <c r="H290" s="86" t="s">
        <v>479</v>
      </c>
      <c r="I290" s="87">
        <v>17075</v>
      </c>
      <c r="J290" s="87">
        <v>10611.72</v>
      </c>
      <c r="K290" s="88">
        <f t="shared" si="4"/>
        <v>0.37852298682284047</v>
      </c>
      <c r="L290" s="87">
        <v>1732.5900000000011</v>
      </c>
      <c r="M290" s="88">
        <f t="shared" si="5"/>
        <v>0.10146939970717429</v>
      </c>
      <c r="N290" s="11">
        <v>637.60000000000218</v>
      </c>
      <c r="O290" s="11">
        <v>0</v>
      </c>
      <c r="P290" s="11" t="s">
        <v>470</v>
      </c>
      <c r="Q290" s="18"/>
    </row>
    <row r="291" spans="3:17" s="2" customFormat="1" ht="15.75" hidden="1" x14ac:dyDescent="0.25">
      <c r="C291" s="86" t="s">
        <v>292</v>
      </c>
      <c r="D291" s="86" t="s">
        <v>74</v>
      </c>
      <c r="E291" s="86" t="s">
        <v>66</v>
      </c>
      <c r="F291" s="10">
        <v>42987</v>
      </c>
      <c r="G291" s="86" t="s">
        <v>471</v>
      </c>
      <c r="H291" s="86" t="s">
        <v>18</v>
      </c>
      <c r="I291" s="87">
        <v>41467.68</v>
      </c>
      <c r="J291" s="87">
        <v>23952.45</v>
      </c>
      <c r="K291" s="88">
        <f t="shared" si="4"/>
        <v>0.42238268453889871</v>
      </c>
      <c r="L291" s="87">
        <v>4735.76</v>
      </c>
      <c r="M291" s="88">
        <f t="shared" si="5"/>
        <v>0.11420364003966463</v>
      </c>
      <c r="N291" s="11">
        <v>2052.7800000000002</v>
      </c>
      <c r="O291" s="11">
        <v>0</v>
      </c>
      <c r="P291" s="11" t="s">
        <v>472</v>
      </c>
      <c r="Q291" s="18"/>
    </row>
    <row r="292" spans="3:17" s="2" customFormat="1" ht="15.75" x14ac:dyDescent="0.25">
      <c r="C292" s="3"/>
      <c r="D292" s="3"/>
      <c r="E292" s="3"/>
      <c r="F292" s="3"/>
      <c r="G292" s="20"/>
      <c r="H292" s="3"/>
      <c r="I292" s="17"/>
      <c r="J292" s="17"/>
      <c r="K292" s="15"/>
      <c r="L292" s="17"/>
      <c r="M292" s="15"/>
      <c r="N292" s="18"/>
      <c r="O292" s="18"/>
      <c r="P292" s="18"/>
      <c r="Q292" s="8"/>
    </row>
    <row r="293" spans="3:17" s="2" customFormat="1" ht="15.75" x14ac:dyDescent="0.25">
      <c r="C293" s="3"/>
      <c r="D293" s="3"/>
      <c r="E293" s="3"/>
      <c r="F293" s="3"/>
      <c r="G293" s="20"/>
      <c r="H293" s="3"/>
      <c r="I293" s="17"/>
      <c r="J293" s="17"/>
      <c r="K293" s="15"/>
      <c r="L293" s="17"/>
      <c r="M293" s="15"/>
      <c r="N293" s="18"/>
      <c r="O293" s="18"/>
      <c r="P293" s="18"/>
      <c r="Q293" s="8"/>
    </row>
    <row r="294" spans="3:17" s="2" customFormat="1" ht="15.75" x14ac:dyDescent="0.25">
      <c r="C294" s="3"/>
      <c r="D294" s="3"/>
      <c r="E294" s="3"/>
      <c r="F294" s="3"/>
      <c r="G294" s="20"/>
      <c r="H294" s="3"/>
      <c r="I294" s="17"/>
      <c r="J294" s="17"/>
      <c r="K294" s="15"/>
      <c r="L294" s="17"/>
      <c r="M294" s="15"/>
      <c r="N294" s="18"/>
      <c r="O294" s="18"/>
      <c r="P294" s="18"/>
      <c r="Q294" s="8"/>
    </row>
    <row r="295" spans="3:17" s="2" customFormat="1" ht="15.75" x14ac:dyDescent="0.25">
      <c r="C295" s="3"/>
      <c r="D295" s="3"/>
      <c r="E295" s="3"/>
      <c r="F295" s="3"/>
      <c r="G295" s="20"/>
      <c r="H295" s="3"/>
      <c r="I295" s="17"/>
      <c r="J295" s="17"/>
      <c r="K295" s="15"/>
      <c r="L295" s="17"/>
      <c r="M295" s="15"/>
      <c r="N295" s="18"/>
      <c r="O295" s="18"/>
      <c r="P295" s="18"/>
      <c r="Q295" s="8"/>
    </row>
    <row r="296" spans="3:17" s="2" customFormat="1" ht="15.75" x14ac:dyDescent="0.25">
      <c r="C296" s="3"/>
      <c r="D296" s="3"/>
      <c r="E296" s="3"/>
      <c r="F296" s="3"/>
      <c r="G296" s="20"/>
      <c r="H296" s="3"/>
      <c r="I296" s="17"/>
      <c r="J296" s="17"/>
      <c r="K296" s="15"/>
      <c r="L296" s="17"/>
      <c r="M296" s="15"/>
      <c r="N296" s="18"/>
      <c r="O296" s="18"/>
      <c r="P296" s="18"/>
      <c r="Q296" s="8"/>
    </row>
    <row r="297" spans="3:17" s="2" customFormat="1" ht="15.75" x14ac:dyDescent="0.25">
      <c r="C297" s="3"/>
      <c r="D297" s="3"/>
      <c r="E297" s="3"/>
      <c r="F297" s="3"/>
      <c r="G297" s="20"/>
      <c r="H297" s="3"/>
      <c r="I297" s="17"/>
      <c r="J297" s="17"/>
      <c r="K297" s="15"/>
      <c r="L297" s="17"/>
      <c r="M297" s="15"/>
      <c r="N297" s="18"/>
      <c r="O297" s="18"/>
      <c r="P297" s="18"/>
      <c r="Q297" s="8"/>
    </row>
    <row r="298" spans="3:17" s="2" customFormat="1" ht="15.75" x14ac:dyDescent="0.25">
      <c r="C298" s="3"/>
      <c r="D298" s="3"/>
      <c r="E298" s="3"/>
      <c r="F298" s="3"/>
      <c r="G298" s="20"/>
      <c r="H298" s="3"/>
      <c r="I298" s="17"/>
      <c r="J298" s="17"/>
      <c r="K298" s="15"/>
      <c r="L298" s="17"/>
      <c r="M298" s="15"/>
      <c r="N298" s="18"/>
      <c r="O298" s="18"/>
      <c r="P298" s="18"/>
      <c r="Q298" s="8"/>
    </row>
    <row r="299" spans="3:17" s="2" customFormat="1" ht="15.75" x14ac:dyDescent="0.25">
      <c r="C299" s="3"/>
      <c r="D299" s="3"/>
      <c r="E299" s="3"/>
      <c r="F299" s="3"/>
      <c r="G299" s="20"/>
      <c r="H299" s="3"/>
      <c r="I299" s="17"/>
      <c r="J299" s="17"/>
      <c r="K299" s="15"/>
      <c r="L299" s="17"/>
      <c r="M299" s="15"/>
      <c r="N299" s="18"/>
      <c r="O299" s="18"/>
      <c r="P299" s="18"/>
      <c r="Q299" s="8"/>
    </row>
    <row r="300" spans="3:17" s="2" customFormat="1" ht="15.75" x14ac:dyDescent="0.25">
      <c r="C300" s="3"/>
      <c r="D300" s="3"/>
      <c r="E300" s="3"/>
      <c r="F300" s="3"/>
      <c r="G300" s="20"/>
      <c r="H300" s="3"/>
      <c r="I300" s="17"/>
      <c r="J300" s="17"/>
      <c r="K300" s="15"/>
      <c r="L300" s="17"/>
      <c r="M300" s="15"/>
      <c r="N300" s="18"/>
      <c r="O300" s="18"/>
      <c r="P300" s="18"/>
      <c r="Q300" s="8"/>
    </row>
    <row r="301" spans="3:17" s="2" customFormat="1" ht="15.75" x14ac:dyDescent="0.25">
      <c r="C301" s="3"/>
      <c r="D301" s="3"/>
      <c r="E301" s="3"/>
      <c r="F301" s="3"/>
      <c r="G301" s="20"/>
      <c r="H301" s="3"/>
      <c r="I301" s="17"/>
      <c r="J301" s="17"/>
      <c r="K301" s="15"/>
      <c r="L301" s="17"/>
      <c r="M301" s="15"/>
      <c r="N301" s="18"/>
      <c r="O301" s="18"/>
      <c r="P301" s="18"/>
      <c r="Q301" s="8"/>
    </row>
    <row r="302" spans="3:17" s="2" customFormat="1" ht="15.75" x14ac:dyDescent="0.25">
      <c r="C302" s="3"/>
      <c r="D302" s="3"/>
      <c r="E302" s="3"/>
      <c r="F302" s="3"/>
      <c r="G302" s="20"/>
      <c r="H302" s="3"/>
      <c r="I302" s="17"/>
      <c r="J302" s="17"/>
      <c r="K302" s="15"/>
      <c r="L302" s="17"/>
      <c r="M302" s="15"/>
      <c r="N302" s="18"/>
      <c r="O302" s="18"/>
      <c r="P302" s="18"/>
      <c r="Q302" s="8"/>
    </row>
    <row r="303" spans="3:17" s="2" customFormat="1" ht="15.75" x14ac:dyDescent="0.25">
      <c r="C303" s="3"/>
      <c r="D303" s="3"/>
      <c r="E303" s="3"/>
      <c r="F303" s="3"/>
      <c r="G303" s="20"/>
      <c r="H303" s="3"/>
      <c r="I303" s="17"/>
      <c r="J303" s="17"/>
      <c r="K303" s="15"/>
      <c r="L303" s="17"/>
      <c r="M303" s="15"/>
      <c r="N303" s="18"/>
      <c r="O303" s="18"/>
      <c r="P303" s="18"/>
      <c r="Q303" s="8"/>
    </row>
    <row r="304" spans="3:17" s="2" customFormat="1" ht="15.75" x14ac:dyDescent="0.25">
      <c r="C304" s="3"/>
      <c r="D304" s="3"/>
      <c r="E304" s="3"/>
      <c r="F304" s="3"/>
      <c r="G304" s="20"/>
      <c r="H304" s="3"/>
      <c r="I304" s="17"/>
      <c r="J304" s="17"/>
      <c r="K304" s="15"/>
      <c r="L304" s="17"/>
      <c r="M304" s="15"/>
      <c r="N304" s="18"/>
      <c r="O304" s="18"/>
      <c r="P304" s="18"/>
      <c r="Q304" s="8"/>
    </row>
    <row r="305" spans="3:17" s="2" customFormat="1" ht="15.75" x14ac:dyDescent="0.25">
      <c r="C305" s="3"/>
      <c r="D305" s="3"/>
      <c r="E305" s="3"/>
      <c r="F305" s="3"/>
      <c r="G305" s="20"/>
      <c r="H305" s="3"/>
      <c r="I305" s="17"/>
      <c r="J305" s="17"/>
      <c r="K305" s="15"/>
      <c r="L305" s="17"/>
      <c r="M305" s="15"/>
      <c r="N305" s="18"/>
      <c r="O305" s="18"/>
      <c r="P305" s="18"/>
      <c r="Q305" s="8"/>
    </row>
    <row r="306" spans="3:17" s="2" customFormat="1" ht="15.75" x14ac:dyDescent="0.25">
      <c r="C306" s="3"/>
      <c r="D306" s="3"/>
      <c r="E306" s="3"/>
      <c r="F306" s="3"/>
      <c r="G306" s="20"/>
      <c r="H306" s="3"/>
      <c r="I306" s="17"/>
      <c r="J306" s="17"/>
      <c r="K306" s="15"/>
      <c r="L306" s="17"/>
      <c r="M306" s="15"/>
      <c r="N306" s="18"/>
      <c r="O306" s="18"/>
      <c r="P306" s="18"/>
      <c r="Q306" s="8"/>
    </row>
    <row r="307" spans="3:17" s="2" customFormat="1" ht="15.75" x14ac:dyDescent="0.25">
      <c r="C307" s="3"/>
      <c r="D307" s="3"/>
      <c r="E307" s="3"/>
      <c r="F307" s="3"/>
      <c r="G307" s="20"/>
      <c r="H307" s="3"/>
      <c r="I307" s="17"/>
      <c r="J307" s="17"/>
      <c r="K307" s="15"/>
      <c r="L307" s="17"/>
      <c r="M307" s="15"/>
      <c r="N307" s="18"/>
      <c r="O307" s="18"/>
      <c r="P307" s="18"/>
      <c r="Q307" s="8"/>
    </row>
    <row r="308" spans="3:17" s="2" customFormat="1" ht="15.75" x14ac:dyDescent="0.25">
      <c r="C308" s="3"/>
      <c r="D308" s="3"/>
      <c r="E308" s="3"/>
      <c r="F308" s="3"/>
      <c r="G308" s="20"/>
      <c r="H308" s="3"/>
      <c r="I308" s="17"/>
      <c r="J308" s="17"/>
      <c r="K308" s="15"/>
      <c r="L308" s="17"/>
      <c r="M308" s="15"/>
      <c r="N308" s="18"/>
      <c r="O308" s="18"/>
      <c r="P308" s="18"/>
      <c r="Q308" s="8"/>
    </row>
    <row r="309" spans="3:17" s="2" customFormat="1" ht="15.75" x14ac:dyDescent="0.25">
      <c r="C309" s="3"/>
      <c r="D309" s="3"/>
      <c r="E309" s="3"/>
      <c r="F309" s="3"/>
      <c r="G309" s="20"/>
      <c r="H309" s="3"/>
      <c r="I309" s="17"/>
      <c r="J309" s="17"/>
      <c r="K309" s="15"/>
      <c r="L309" s="17"/>
      <c r="M309" s="15"/>
      <c r="N309" s="18"/>
      <c r="O309" s="18"/>
      <c r="P309" s="18"/>
      <c r="Q309" s="8"/>
    </row>
    <row r="310" spans="3:17" s="2" customFormat="1" ht="15.75" x14ac:dyDescent="0.25">
      <c r="C310" s="3"/>
      <c r="D310" s="3"/>
      <c r="E310" s="3"/>
      <c r="F310" s="3"/>
      <c r="G310" s="20"/>
      <c r="H310" s="3"/>
      <c r="I310" s="17"/>
      <c r="J310" s="17"/>
      <c r="K310" s="15"/>
      <c r="L310" s="17"/>
      <c r="M310" s="15"/>
      <c r="N310" s="18"/>
      <c r="O310" s="18"/>
      <c r="P310" s="18"/>
      <c r="Q310" s="8"/>
    </row>
    <row r="311" spans="3:17" s="2" customFormat="1" ht="15.75" x14ac:dyDescent="0.25">
      <c r="C311" s="3"/>
      <c r="D311" s="3"/>
      <c r="E311" s="3"/>
      <c r="F311" s="3"/>
      <c r="G311" s="20"/>
      <c r="H311" s="3"/>
      <c r="I311" s="17"/>
      <c r="J311" s="17"/>
      <c r="K311" s="15"/>
      <c r="L311" s="17"/>
      <c r="M311" s="15"/>
      <c r="N311" s="18"/>
      <c r="O311" s="18"/>
      <c r="P311" s="18"/>
      <c r="Q311" s="8"/>
    </row>
    <row r="312" spans="3:17" s="2" customFormat="1" ht="15.75" x14ac:dyDescent="0.25">
      <c r="C312" s="3"/>
      <c r="D312" s="3"/>
      <c r="E312" s="3"/>
      <c r="F312" s="3"/>
      <c r="G312" s="20"/>
      <c r="H312" s="3"/>
      <c r="I312" s="17"/>
      <c r="J312" s="17"/>
      <c r="K312" s="15"/>
      <c r="L312" s="17"/>
      <c r="M312" s="15"/>
      <c r="N312" s="18"/>
      <c r="O312" s="18"/>
      <c r="P312" s="18"/>
      <c r="Q312" s="8"/>
    </row>
    <row r="313" spans="3:17" s="2" customFormat="1" ht="15.75" x14ac:dyDescent="0.25">
      <c r="C313" s="3"/>
      <c r="D313" s="3"/>
      <c r="E313" s="3"/>
      <c r="F313" s="3"/>
      <c r="G313" s="20"/>
      <c r="H313" s="3"/>
      <c r="I313" s="17"/>
      <c r="J313" s="17"/>
      <c r="K313" s="15"/>
      <c r="L313" s="17"/>
      <c r="M313" s="15"/>
      <c r="N313" s="18"/>
      <c r="O313" s="18"/>
      <c r="P313" s="18"/>
      <c r="Q313" s="8"/>
    </row>
    <row r="314" spans="3:17" s="2" customFormat="1" ht="15.75" x14ac:dyDescent="0.25">
      <c r="C314" s="3"/>
      <c r="D314" s="3"/>
      <c r="E314" s="3"/>
      <c r="F314" s="3"/>
      <c r="G314" s="20"/>
      <c r="H314" s="3"/>
      <c r="I314" s="17"/>
      <c r="J314" s="17"/>
      <c r="K314" s="15"/>
      <c r="L314" s="17"/>
      <c r="M314" s="15"/>
      <c r="N314" s="18"/>
      <c r="O314" s="18"/>
      <c r="P314" s="18"/>
      <c r="Q314" s="8"/>
    </row>
    <row r="315" spans="3:17" s="2" customFormat="1" ht="15.75" x14ac:dyDescent="0.25">
      <c r="C315" s="3"/>
      <c r="D315" s="3"/>
      <c r="E315" s="3"/>
      <c r="F315" s="3"/>
      <c r="G315" s="20"/>
      <c r="H315" s="3"/>
      <c r="I315" s="17"/>
      <c r="J315" s="17"/>
      <c r="K315" s="15"/>
      <c r="L315" s="17"/>
      <c r="M315" s="15"/>
      <c r="N315" s="18"/>
      <c r="O315" s="18"/>
      <c r="P315" s="18"/>
      <c r="Q315" s="8"/>
    </row>
    <row r="316" spans="3:17" s="2" customFormat="1" ht="15.75" x14ac:dyDescent="0.25">
      <c r="C316" s="3"/>
      <c r="D316" s="3"/>
      <c r="E316" s="3"/>
      <c r="F316" s="3"/>
      <c r="G316" s="20"/>
      <c r="H316" s="3"/>
      <c r="I316" s="17"/>
      <c r="J316" s="17"/>
      <c r="K316" s="15"/>
      <c r="L316" s="17"/>
      <c r="M316" s="15"/>
      <c r="N316" s="18"/>
      <c r="O316" s="18"/>
      <c r="P316" s="18"/>
      <c r="Q316" s="8"/>
    </row>
    <row r="317" spans="3:17" s="2" customFormat="1" ht="15.75" x14ac:dyDescent="0.25">
      <c r="C317" s="3"/>
      <c r="D317" s="3"/>
      <c r="E317" s="3"/>
      <c r="F317" s="3"/>
      <c r="G317" s="20"/>
      <c r="H317" s="3"/>
      <c r="I317" s="17"/>
      <c r="J317" s="17"/>
      <c r="K317" s="15"/>
      <c r="L317" s="17"/>
      <c r="M317" s="15"/>
      <c r="N317" s="18"/>
      <c r="O317" s="18"/>
      <c r="P317" s="18"/>
      <c r="Q317" s="8"/>
    </row>
    <row r="318" spans="3:17" s="2" customFormat="1" ht="15.75" x14ac:dyDescent="0.25">
      <c r="C318" s="3"/>
      <c r="D318" s="3"/>
      <c r="E318" s="3"/>
      <c r="F318" s="3"/>
      <c r="G318" s="20"/>
      <c r="H318" s="3"/>
      <c r="I318" s="17"/>
      <c r="J318" s="17"/>
      <c r="K318" s="15"/>
      <c r="L318" s="17"/>
      <c r="M318" s="15"/>
      <c r="N318" s="18"/>
      <c r="O318" s="18"/>
      <c r="P318" s="18"/>
      <c r="Q318" s="8"/>
    </row>
    <row r="319" spans="3:17" s="2" customFormat="1" ht="15.75" x14ac:dyDescent="0.25">
      <c r="C319" s="3"/>
      <c r="D319" s="3"/>
      <c r="E319" s="3"/>
      <c r="F319" s="3"/>
      <c r="G319" s="20"/>
      <c r="H319" s="3"/>
      <c r="I319" s="17"/>
      <c r="J319" s="17"/>
      <c r="K319" s="15"/>
      <c r="L319" s="17"/>
      <c r="M319" s="15"/>
      <c r="N319" s="18"/>
      <c r="O319" s="18"/>
      <c r="P319" s="18"/>
      <c r="Q319" s="8"/>
    </row>
    <row r="320" spans="3:17" s="2" customFormat="1" ht="15.75" x14ac:dyDescent="0.25">
      <c r="C320" s="3"/>
      <c r="D320" s="3"/>
      <c r="E320" s="3"/>
      <c r="F320" s="3"/>
      <c r="G320" s="20"/>
      <c r="H320" s="3"/>
      <c r="I320" s="17"/>
      <c r="J320" s="17"/>
      <c r="K320" s="15"/>
      <c r="L320" s="17"/>
      <c r="M320" s="15"/>
      <c r="N320" s="18"/>
      <c r="O320" s="18"/>
      <c r="P320" s="18"/>
      <c r="Q320" s="8"/>
    </row>
    <row r="321" spans="3:19" s="2" customFormat="1" ht="15.75" x14ac:dyDescent="0.25">
      <c r="C321" s="3"/>
      <c r="D321" s="3"/>
      <c r="E321" s="3"/>
      <c r="F321" s="3"/>
      <c r="G321" s="20"/>
      <c r="H321" s="3"/>
      <c r="I321" s="17"/>
      <c r="J321" s="17"/>
      <c r="K321" s="15"/>
      <c r="L321" s="17"/>
      <c r="M321" s="15"/>
      <c r="N321" s="18"/>
      <c r="O321" s="18"/>
      <c r="P321" s="18"/>
      <c r="Q321" s="8"/>
    </row>
    <row r="322" spans="3:19" s="2" customFormat="1" ht="15.75" x14ac:dyDescent="0.25">
      <c r="C322" s="3"/>
      <c r="D322" s="3"/>
      <c r="E322" s="3"/>
      <c r="F322" s="3"/>
      <c r="G322" s="20"/>
      <c r="H322" s="3"/>
      <c r="I322" s="17"/>
      <c r="J322" s="17"/>
      <c r="K322" s="15"/>
      <c r="L322" s="17"/>
      <c r="M322" s="15"/>
      <c r="N322" s="18"/>
      <c r="O322" s="18"/>
      <c r="P322" s="18"/>
      <c r="Q322" s="8"/>
    </row>
    <row r="323" spans="3:19" s="2" customFormat="1" ht="15.75" x14ac:dyDescent="0.25">
      <c r="C323" s="3"/>
      <c r="D323" s="3"/>
      <c r="E323" s="3"/>
      <c r="F323" s="3"/>
      <c r="G323" s="20"/>
      <c r="H323" s="3"/>
      <c r="I323" s="17"/>
      <c r="J323" s="17"/>
      <c r="K323" s="15"/>
      <c r="L323" s="17"/>
      <c r="M323" s="15"/>
      <c r="N323" s="18"/>
      <c r="O323" s="18"/>
      <c r="P323" s="18"/>
      <c r="Q323" s="8"/>
    </row>
    <row r="324" spans="3:19" s="2" customFormat="1" ht="15.75" x14ac:dyDescent="0.25">
      <c r="C324" s="3"/>
      <c r="D324" s="3"/>
      <c r="E324" s="3"/>
      <c r="F324" s="3"/>
      <c r="G324" s="20"/>
      <c r="H324" s="3"/>
      <c r="I324" s="17"/>
      <c r="J324" s="17"/>
      <c r="K324" s="15"/>
      <c r="L324" s="17"/>
      <c r="M324" s="15"/>
      <c r="N324" s="18"/>
      <c r="O324" s="18"/>
      <c r="P324" s="18"/>
      <c r="Q324" s="8"/>
    </row>
    <row r="325" spans="3:19" s="2" customFormat="1" ht="15.75" x14ac:dyDescent="0.25">
      <c r="C325" s="3"/>
      <c r="D325" s="3"/>
      <c r="E325" s="3"/>
      <c r="F325" s="3"/>
      <c r="G325" s="20"/>
      <c r="H325" s="3"/>
      <c r="I325" s="17"/>
      <c r="J325" s="17"/>
      <c r="K325" s="15"/>
      <c r="L325" s="17"/>
      <c r="M325" s="15"/>
      <c r="N325" s="18"/>
      <c r="O325" s="18"/>
      <c r="P325" s="18"/>
      <c r="Q325" s="8"/>
      <c r="S325" s="2" t="e">
        <f>(#REF!/2)-#REF!</f>
        <v>#REF!</v>
      </c>
    </row>
    <row r="326" spans="3:19" s="2" customFormat="1" ht="15.75" x14ac:dyDescent="0.25">
      <c r="C326" s="3"/>
      <c r="D326" s="3"/>
      <c r="E326" s="3"/>
      <c r="F326" s="3"/>
      <c r="G326" s="20"/>
      <c r="H326" s="3"/>
      <c r="I326" s="17"/>
      <c r="J326" s="17"/>
      <c r="K326" s="15"/>
      <c r="L326" s="17"/>
      <c r="M326" s="15"/>
      <c r="N326" s="18"/>
      <c r="O326" s="18"/>
      <c r="P326" s="18"/>
      <c r="Q326" s="8"/>
    </row>
    <row r="327" spans="3:19" s="2" customFormat="1" ht="15.75" x14ac:dyDescent="0.25">
      <c r="C327" s="3"/>
      <c r="D327" s="3"/>
      <c r="E327" s="3"/>
      <c r="F327" s="3"/>
      <c r="G327" s="20"/>
      <c r="H327" s="3"/>
      <c r="I327" s="17"/>
      <c r="J327" s="17"/>
      <c r="K327" s="15"/>
      <c r="L327" s="17"/>
      <c r="M327" s="15"/>
      <c r="N327" s="18"/>
      <c r="O327" s="18"/>
      <c r="P327" s="18"/>
      <c r="Q327" s="8"/>
    </row>
    <row r="328" spans="3:19" s="2" customFormat="1" ht="15.75" x14ac:dyDescent="0.25">
      <c r="C328" s="3"/>
      <c r="D328" s="3"/>
      <c r="E328" s="3"/>
      <c r="F328" s="3"/>
      <c r="G328" s="20"/>
      <c r="H328" s="3"/>
      <c r="I328" s="17"/>
      <c r="J328" s="17"/>
      <c r="K328" s="15"/>
      <c r="L328" s="17"/>
      <c r="M328" s="15"/>
      <c r="N328" s="18"/>
      <c r="O328" s="18"/>
      <c r="P328" s="18"/>
      <c r="Q328" s="8"/>
    </row>
    <row r="329" spans="3:19" s="2" customFormat="1" ht="15.75" x14ac:dyDescent="0.25">
      <c r="C329" s="3"/>
      <c r="D329" s="3"/>
      <c r="E329" s="3"/>
      <c r="F329" s="3"/>
      <c r="G329" s="20"/>
      <c r="H329" s="3"/>
      <c r="I329" s="17"/>
      <c r="J329" s="17"/>
      <c r="K329" s="15"/>
      <c r="L329" s="17"/>
      <c r="M329" s="15"/>
      <c r="N329" s="18"/>
      <c r="O329" s="18"/>
      <c r="P329" s="18"/>
      <c r="Q329" s="8"/>
    </row>
    <row r="330" spans="3:19" s="2" customFormat="1" ht="15.75" x14ac:dyDescent="0.25">
      <c r="C330" s="3"/>
      <c r="D330" s="3"/>
      <c r="E330" s="3"/>
      <c r="F330" s="3"/>
      <c r="G330" s="20"/>
      <c r="H330" s="3"/>
      <c r="I330" s="17"/>
      <c r="J330" s="17"/>
      <c r="K330" s="15"/>
      <c r="L330" s="17"/>
      <c r="M330" s="15"/>
      <c r="N330" s="18"/>
      <c r="O330" s="18"/>
      <c r="P330" s="18"/>
      <c r="Q330" s="8"/>
    </row>
    <row r="331" spans="3:19" s="2" customFormat="1" ht="15.75" x14ac:dyDescent="0.25">
      <c r="C331" s="3"/>
      <c r="D331" s="3"/>
      <c r="E331" s="3"/>
      <c r="F331" s="3"/>
      <c r="G331" s="20"/>
      <c r="H331" s="3"/>
      <c r="I331" s="17"/>
      <c r="J331" s="17"/>
      <c r="K331" s="15"/>
      <c r="L331" s="17"/>
      <c r="M331" s="15"/>
      <c r="N331" s="18"/>
      <c r="O331" s="18"/>
      <c r="P331" s="18"/>
      <c r="Q331" s="8"/>
    </row>
    <row r="332" spans="3:19" s="2" customFormat="1" ht="15.75" x14ac:dyDescent="0.25">
      <c r="C332" s="3"/>
      <c r="D332" s="3"/>
      <c r="E332" s="3"/>
      <c r="F332" s="3"/>
      <c r="G332" s="20"/>
      <c r="H332" s="3"/>
      <c r="I332" s="17"/>
      <c r="J332" s="17"/>
      <c r="K332" s="15"/>
      <c r="L332" s="17"/>
      <c r="M332" s="15"/>
      <c r="N332" s="18"/>
      <c r="O332" s="18"/>
      <c r="P332" s="18"/>
      <c r="Q332" s="8"/>
    </row>
    <row r="333" spans="3:19" s="2" customFormat="1" ht="15.75" x14ac:dyDescent="0.25">
      <c r="C333" s="3"/>
      <c r="D333" s="3"/>
      <c r="E333" s="3"/>
      <c r="F333" s="3"/>
      <c r="G333" s="20"/>
      <c r="H333" s="3"/>
      <c r="I333" s="17"/>
      <c r="J333" s="17"/>
      <c r="K333" s="15"/>
      <c r="L333" s="17"/>
      <c r="M333" s="15"/>
      <c r="N333" s="18"/>
      <c r="O333" s="18"/>
      <c r="P333" s="18"/>
      <c r="Q333" s="8"/>
    </row>
    <row r="334" spans="3:19" s="2" customFormat="1" ht="15.75" x14ac:dyDescent="0.25">
      <c r="C334" s="3"/>
      <c r="D334" s="3"/>
      <c r="E334" s="3"/>
      <c r="F334" s="3"/>
      <c r="G334" s="20"/>
      <c r="H334" s="3"/>
      <c r="I334" s="17"/>
      <c r="J334" s="17"/>
      <c r="K334" s="15"/>
      <c r="L334" s="17"/>
      <c r="M334" s="15"/>
      <c r="N334" s="18"/>
      <c r="O334" s="18"/>
      <c r="P334" s="18"/>
      <c r="Q334" s="8"/>
    </row>
    <row r="335" spans="3:19" s="2" customFormat="1" ht="15.75" x14ac:dyDescent="0.25">
      <c r="C335" s="3"/>
      <c r="D335" s="3"/>
      <c r="E335" s="3"/>
      <c r="F335" s="3"/>
      <c r="G335" s="20"/>
      <c r="H335" s="3"/>
      <c r="I335" s="17"/>
      <c r="J335" s="17"/>
      <c r="K335" s="15"/>
      <c r="L335" s="17"/>
      <c r="M335" s="15"/>
      <c r="N335" s="18"/>
      <c r="O335" s="18"/>
      <c r="P335" s="18"/>
      <c r="Q335" s="8"/>
    </row>
    <row r="336" spans="3:19" s="2" customFormat="1" ht="15.75" x14ac:dyDescent="0.25">
      <c r="C336" s="3"/>
      <c r="D336" s="3"/>
      <c r="E336" s="3"/>
      <c r="F336" s="3"/>
      <c r="G336" s="20"/>
      <c r="H336" s="3"/>
      <c r="I336" s="17"/>
      <c r="J336" s="17"/>
      <c r="K336" s="15"/>
      <c r="L336" s="17"/>
      <c r="M336" s="15"/>
      <c r="N336" s="18"/>
      <c r="O336" s="18"/>
      <c r="P336" s="18"/>
      <c r="Q336" s="8"/>
    </row>
    <row r="337" spans="3:17" s="2" customFormat="1" ht="15.75" x14ac:dyDescent="0.25">
      <c r="C337" s="3"/>
      <c r="D337" s="3"/>
      <c r="E337" s="3"/>
      <c r="F337" s="3"/>
      <c r="G337" s="20"/>
      <c r="H337" s="3"/>
      <c r="I337" s="17"/>
      <c r="J337" s="17"/>
      <c r="K337" s="15"/>
      <c r="L337" s="17"/>
      <c r="M337" s="15"/>
      <c r="N337" s="18"/>
      <c r="O337" s="18"/>
      <c r="P337" s="18"/>
      <c r="Q337" s="8"/>
    </row>
    <row r="338" spans="3:17" s="2" customFormat="1" ht="15.75" x14ac:dyDescent="0.25">
      <c r="C338" s="3"/>
      <c r="D338" s="3"/>
      <c r="E338" s="3"/>
      <c r="F338" s="3"/>
      <c r="G338" s="20"/>
      <c r="H338" s="3"/>
      <c r="I338" s="17"/>
      <c r="J338" s="17"/>
      <c r="K338" s="15"/>
      <c r="L338" s="17"/>
      <c r="M338" s="15"/>
      <c r="N338" s="18"/>
      <c r="O338" s="18"/>
      <c r="P338" s="18"/>
      <c r="Q338" s="8"/>
    </row>
    <row r="339" spans="3:17" s="2" customFormat="1" ht="15.75" x14ac:dyDescent="0.25">
      <c r="C339" s="3"/>
      <c r="D339" s="3"/>
      <c r="E339" s="3"/>
      <c r="F339" s="3"/>
      <c r="G339" s="20"/>
      <c r="H339" s="3"/>
      <c r="I339" s="17"/>
      <c r="J339" s="17"/>
      <c r="K339" s="15"/>
      <c r="L339" s="17"/>
      <c r="M339" s="15"/>
      <c r="N339" s="18"/>
      <c r="O339" s="18"/>
      <c r="P339" s="18"/>
      <c r="Q339" s="8"/>
    </row>
    <row r="340" spans="3:17" s="2" customFormat="1" ht="15.75" x14ac:dyDescent="0.25">
      <c r="C340" s="3"/>
      <c r="D340" s="3"/>
      <c r="E340" s="3"/>
      <c r="F340" s="3"/>
      <c r="G340" s="20"/>
      <c r="H340" s="3"/>
      <c r="I340" s="17"/>
      <c r="J340" s="17"/>
      <c r="K340" s="15"/>
      <c r="L340" s="17"/>
      <c r="M340" s="15"/>
      <c r="N340" s="18"/>
      <c r="O340" s="18"/>
      <c r="P340" s="18"/>
      <c r="Q340" s="8"/>
    </row>
    <row r="341" spans="3:17" s="2" customFormat="1" ht="15.75" x14ac:dyDescent="0.25">
      <c r="C341" s="3"/>
      <c r="D341" s="3"/>
      <c r="E341" s="3"/>
      <c r="F341" s="3"/>
      <c r="G341" s="20"/>
      <c r="H341" s="3"/>
      <c r="I341" s="17"/>
      <c r="J341" s="17"/>
      <c r="K341" s="15"/>
      <c r="L341" s="17"/>
      <c r="M341" s="15"/>
      <c r="N341" s="18"/>
      <c r="O341" s="18"/>
      <c r="P341" s="18"/>
      <c r="Q341" s="8"/>
    </row>
    <row r="342" spans="3:17" s="2" customFormat="1" ht="15.75" x14ac:dyDescent="0.25">
      <c r="C342" s="3"/>
      <c r="D342" s="3"/>
      <c r="E342" s="3"/>
      <c r="F342" s="3"/>
      <c r="G342" s="20"/>
      <c r="H342" s="3"/>
      <c r="I342" s="17"/>
      <c r="J342" s="17"/>
      <c r="K342" s="15"/>
      <c r="L342" s="17"/>
      <c r="M342" s="15"/>
      <c r="N342" s="18"/>
      <c r="O342" s="18"/>
      <c r="P342" s="18"/>
      <c r="Q342" s="8"/>
    </row>
    <row r="343" spans="3:17" s="2" customFormat="1" ht="15.75" x14ac:dyDescent="0.25">
      <c r="C343" s="3"/>
      <c r="D343" s="3"/>
      <c r="E343" s="3"/>
      <c r="F343" s="3"/>
      <c r="G343" s="20"/>
      <c r="H343" s="3"/>
      <c r="I343" s="17"/>
      <c r="J343" s="17"/>
      <c r="K343" s="15"/>
      <c r="L343" s="17"/>
      <c r="M343" s="15"/>
      <c r="N343" s="18"/>
      <c r="O343" s="18"/>
      <c r="P343" s="18"/>
      <c r="Q343" s="8"/>
    </row>
    <row r="344" spans="3:17" s="2" customFormat="1" ht="15.75" x14ac:dyDescent="0.25">
      <c r="C344" s="3"/>
      <c r="D344" s="3"/>
      <c r="E344" s="3"/>
      <c r="F344" s="3"/>
      <c r="G344" s="20"/>
      <c r="H344" s="3"/>
      <c r="I344" s="17"/>
      <c r="J344" s="17"/>
      <c r="K344" s="15"/>
      <c r="L344" s="17"/>
      <c r="M344" s="15"/>
      <c r="N344" s="18"/>
      <c r="O344" s="18"/>
      <c r="P344" s="18"/>
      <c r="Q344" s="8"/>
    </row>
    <row r="345" spans="3:17" s="2" customFormat="1" ht="15.75" x14ac:dyDescent="0.25">
      <c r="C345" s="3"/>
      <c r="D345" s="3"/>
      <c r="E345" s="3"/>
      <c r="F345" s="3"/>
      <c r="G345" s="20"/>
      <c r="H345" s="3"/>
      <c r="I345" s="17"/>
      <c r="J345" s="17"/>
      <c r="K345" s="15"/>
      <c r="L345" s="17"/>
      <c r="M345" s="15"/>
      <c r="N345" s="18"/>
      <c r="O345" s="18"/>
      <c r="P345" s="18"/>
      <c r="Q345" s="8"/>
    </row>
    <row r="346" spans="3:17" s="2" customFormat="1" ht="15.75" x14ac:dyDescent="0.25">
      <c r="C346" s="3"/>
      <c r="D346" s="3"/>
      <c r="E346" s="3"/>
      <c r="F346" s="3"/>
      <c r="G346" s="20"/>
      <c r="H346" s="3"/>
      <c r="I346" s="17"/>
      <c r="J346" s="17"/>
      <c r="K346" s="15"/>
      <c r="L346" s="17"/>
      <c r="M346" s="15"/>
      <c r="N346" s="18"/>
      <c r="O346" s="18"/>
      <c r="P346" s="18"/>
      <c r="Q346" s="8"/>
    </row>
    <row r="347" spans="3:17" s="2" customFormat="1" ht="15.75" x14ac:dyDescent="0.25">
      <c r="C347" s="3"/>
      <c r="D347" s="3"/>
      <c r="E347" s="3"/>
      <c r="F347" s="3"/>
      <c r="G347" s="20"/>
      <c r="H347" s="3"/>
      <c r="I347" s="17"/>
      <c r="J347" s="17"/>
      <c r="K347" s="15"/>
      <c r="L347" s="17"/>
      <c r="M347" s="15"/>
      <c r="N347" s="18"/>
      <c r="O347" s="18"/>
      <c r="P347" s="18"/>
      <c r="Q347" s="8"/>
    </row>
    <row r="348" spans="3:17" s="2" customFormat="1" ht="15.75" x14ac:dyDescent="0.25">
      <c r="C348" s="3"/>
      <c r="D348" s="3"/>
      <c r="E348" s="3"/>
      <c r="F348" s="3"/>
      <c r="G348" s="20"/>
      <c r="H348" s="3"/>
      <c r="I348" s="17"/>
      <c r="J348" s="17"/>
      <c r="K348" s="15"/>
      <c r="L348" s="17"/>
      <c r="M348" s="15"/>
      <c r="N348" s="18"/>
      <c r="O348" s="18"/>
      <c r="P348" s="18"/>
      <c r="Q348" s="8"/>
    </row>
    <row r="349" spans="3:17" s="2" customFormat="1" ht="15.75" x14ac:dyDescent="0.25">
      <c r="C349" s="3"/>
      <c r="D349" s="3"/>
      <c r="E349" s="3"/>
      <c r="F349" s="3"/>
      <c r="G349" s="20"/>
      <c r="H349" s="3"/>
      <c r="I349" s="17"/>
      <c r="J349" s="17"/>
      <c r="K349" s="15"/>
      <c r="L349" s="17"/>
      <c r="M349" s="15"/>
      <c r="N349" s="18"/>
      <c r="O349" s="18"/>
      <c r="P349" s="18"/>
      <c r="Q349" s="8"/>
    </row>
    <row r="350" spans="3:17" s="2" customFormat="1" ht="15.75" x14ac:dyDescent="0.25">
      <c r="C350" s="3"/>
      <c r="D350" s="3"/>
      <c r="E350" s="3"/>
      <c r="F350" s="3"/>
      <c r="G350" s="20"/>
      <c r="H350" s="3"/>
      <c r="I350" s="17"/>
      <c r="J350" s="17"/>
      <c r="K350" s="15"/>
      <c r="L350" s="17"/>
      <c r="M350" s="15"/>
      <c r="N350" s="18"/>
      <c r="O350" s="18"/>
      <c r="P350" s="18"/>
      <c r="Q350" s="8"/>
    </row>
    <row r="351" spans="3:17" s="2" customFormat="1" ht="15.75" x14ac:dyDescent="0.25">
      <c r="C351" s="3"/>
      <c r="D351" s="3"/>
      <c r="E351" s="3"/>
      <c r="F351" s="3"/>
      <c r="G351" s="20"/>
      <c r="H351" s="3"/>
      <c r="I351" s="17"/>
      <c r="J351" s="17"/>
      <c r="K351" s="15"/>
      <c r="L351" s="17"/>
      <c r="M351" s="15"/>
      <c r="N351" s="18"/>
      <c r="O351" s="18"/>
      <c r="P351" s="18"/>
      <c r="Q351" s="8"/>
    </row>
    <row r="352" spans="3:17" s="2" customFormat="1" ht="15.75" x14ac:dyDescent="0.25">
      <c r="C352" s="3"/>
      <c r="D352" s="3"/>
      <c r="E352" s="3"/>
      <c r="F352" s="3"/>
      <c r="G352" s="20"/>
      <c r="H352" s="3"/>
      <c r="I352" s="17"/>
      <c r="J352" s="17"/>
      <c r="K352" s="15"/>
      <c r="L352" s="17"/>
      <c r="M352" s="15"/>
      <c r="N352" s="18"/>
      <c r="O352" s="18"/>
      <c r="P352" s="18"/>
      <c r="Q352" s="8"/>
    </row>
    <row r="353" spans="3:17" s="2" customFormat="1" ht="15.75" x14ac:dyDescent="0.25">
      <c r="C353" s="3"/>
      <c r="D353" s="3"/>
      <c r="E353" s="3"/>
      <c r="F353" s="3"/>
      <c r="G353" s="20"/>
      <c r="H353" s="3"/>
      <c r="I353" s="17"/>
      <c r="J353" s="17"/>
      <c r="K353" s="15"/>
      <c r="L353" s="17"/>
      <c r="M353" s="15"/>
      <c r="N353" s="18"/>
      <c r="O353" s="18"/>
      <c r="P353" s="18"/>
      <c r="Q353" s="8"/>
    </row>
    <row r="354" spans="3:17" s="2" customFormat="1" ht="15.75" x14ac:dyDescent="0.25">
      <c r="C354" s="3"/>
      <c r="D354" s="3"/>
      <c r="E354" s="3"/>
      <c r="F354" s="3"/>
      <c r="G354" s="20"/>
      <c r="H354" s="3"/>
      <c r="I354" s="17"/>
      <c r="J354" s="17"/>
      <c r="K354" s="15"/>
      <c r="L354" s="17"/>
      <c r="M354" s="15"/>
      <c r="N354" s="18"/>
      <c r="O354" s="18"/>
      <c r="P354" s="18"/>
      <c r="Q354" s="8"/>
    </row>
    <row r="355" spans="3:17" s="2" customFormat="1" ht="15.75" x14ac:dyDescent="0.25">
      <c r="C355" s="3"/>
      <c r="D355" s="3"/>
      <c r="E355" s="3"/>
      <c r="F355" s="3"/>
      <c r="G355" s="20"/>
      <c r="H355" s="3"/>
      <c r="I355" s="17"/>
      <c r="J355" s="17"/>
      <c r="K355" s="15"/>
      <c r="L355" s="17"/>
      <c r="M355" s="15"/>
      <c r="N355" s="18"/>
      <c r="O355" s="18"/>
      <c r="P355" s="18"/>
      <c r="Q355" s="8"/>
    </row>
    <row r="356" spans="3:17" s="2" customFormat="1" ht="15.75" x14ac:dyDescent="0.25">
      <c r="C356" s="1"/>
      <c r="D356" s="1"/>
      <c r="E356" s="1"/>
      <c r="F356" s="1"/>
      <c r="G356" s="14"/>
      <c r="H356" s="1"/>
      <c r="I356" s="19"/>
      <c r="J356" s="19"/>
      <c r="K356" s="13"/>
      <c r="L356" s="19"/>
      <c r="M356" s="13"/>
      <c r="N356" s="16"/>
      <c r="O356" s="16"/>
      <c r="P356" s="16"/>
      <c r="Q356" s="7"/>
    </row>
    <row r="357" spans="3:17" s="2" customFormat="1" ht="15.75" x14ac:dyDescent="0.25">
      <c r="C357" s="1"/>
      <c r="D357" s="1"/>
      <c r="E357" s="1"/>
      <c r="F357" s="1"/>
      <c r="G357" s="14"/>
      <c r="H357" s="1"/>
      <c r="I357" s="19"/>
      <c r="J357" s="19"/>
      <c r="K357" s="13"/>
      <c r="L357" s="19"/>
      <c r="M357" s="13"/>
      <c r="N357" s="16"/>
      <c r="O357" s="16"/>
      <c r="P357" s="16"/>
      <c r="Q357" s="7"/>
    </row>
    <row r="358" spans="3:17" s="2" customFormat="1" ht="15.75" x14ac:dyDescent="0.25">
      <c r="C358" s="1"/>
      <c r="D358" s="1"/>
      <c r="E358" s="1"/>
      <c r="F358" s="1"/>
      <c r="G358" s="14"/>
      <c r="H358" s="1"/>
      <c r="I358" s="19"/>
      <c r="J358" s="19"/>
      <c r="K358" s="13"/>
      <c r="L358" s="19"/>
      <c r="M358" s="13"/>
      <c r="N358" s="16"/>
      <c r="O358" s="16"/>
      <c r="P358" s="16"/>
      <c r="Q358" s="7"/>
    </row>
    <row r="359" spans="3:17" s="2" customFormat="1" ht="15.75" x14ac:dyDescent="0.25">
      <c r="C359" s="1"/>
      <c r="D359" s="1"/>
      <c r="E359" s="1"/>
      <c r="F359" s="1"/>
      <c r="G359" s="14"/>
      <c r="H359" s="1"/>
      <c r="I359" s="19"/>
      <c r="J359" s="19"/>
      <c r="K359" s="13"/>
      <c r="L359" s="19"/>
      <c r="M359" s="13"/>
      <c r="N359" s="16"/>
      <c r="O359" s="16"/>
      <c r="P359" s="16"/>
      <c r="Q359" s="7"/>
    </row>
    <row r="360" spans="3:17" s="2" customFormat="1" ht="15.75" x14ac:dyDescent="0.25">
      <c r="C360" s="1"/>
      <c r="D360" s="1"/>
      <c r="E360" s="1"/>
      <c r="F360" s="1"/>
      <c r="G360" s="14"/>
      <c r="H360" s="1"/>
      <c r="I360" s="19"/>
      <c r="J360" s="19"/>
      <c r="K360" s="13"/>
      <c r="L360" s="19"/>
      <c r="M360" s="13"/>
      <c r="N360" s="16"/>
      <c r="O360" s="16"/>
      <c r="P360" s="16"/>
      <c r="Q360" s="7"/>
    </row>
    <row r="361" spans="3:17" s="2" customFormat="1" ht="15.75" x14ac:dyDescent="0.25">
      <c r="C361" s="1"/>
      <c r="D361" s="1"/>
      <c r="E361" s="1"/>
      <c r="F361" s="1"/>
      <c r="G361" s="14"/>
      <c r="H361" s="1"/>
      <c r="I361" s="19"/>
      <c r="J361" s="19"/>
      <c r="K361" s="13"/>
      <c r="L361" s="19"/>
      <c r="M361" s="13"/>
      <c r="N361" s="16"/>
      <c r="O361" s="16"/>
      <c r="P361" s="16"/>
      <c r="Q361" s="7"/>
    </row>
    <row r="362" spans="3:17" s="2" customFormat="1" ht="15.75" x14ac:dyDescent="0.25">
      <c r="C362" s="1"/>
      <c r="D362" s="1"/>
      <c r="E362" s="1"/>
      <c r="F362" s="1"/>
      <c r="G362" s="14"/>
      <c r="H362" s="1"/>
      <c r="I362" s="19"/>
      <c r="J362" s="19"/>
      <c r="K362" s="13"/>
      <c r="L362" s="19"/>
      <c r="M362" s="13"/>
      <c r="N362" s="16"/>
      <c r="O362" s="16"/>
      <c r="P362" s="16"/>
      <c r="Q362" s="7"/>
    </row>
    <row r="363" spans="3:17" s="2" customFormat="1" ht="15.75" x14ac:dyDescent="0.25">
      <c r="C363" s="1"/>
      <c r="D363" s="1"/>
      <c r="E363" s="1"/>
      <c r="F363" s="1"/>
      <c r="G363" s="14"/>
      <c r="H363" s="1"/>
      <c r="I363" s="19"/>
      <c r="J363" s="19"/>
      <c r="K363" s="13"/>
      <c r="L363" s="19"/>
      <c r="M363" s="13"/>
      <c r="N363" s="16"/>
      <c r="O363" s="16"/>
      <c r="P363" s="16"/>
      <c r="Q363" s="7"/>
    </row>
    <row r="364" spans="3:17" s="2" customFormat="1" ht="15.75" x14ac:dyDescent="0.25">
      <c r="C364" s="1"/>
      <c r="D364" s="1"/>
      <c r="E364" s="1"/>
      <c r="F364" s="1"/>
      <c r="G364" s="14"/>
      <c r="H364" s="1"/>
      <c r="I364" s="19"/>
      <c r="J364" s="19"/>
      <c r="K364" s="13"/>
      <c r="L364" s="19"/>
      <c r="M364" s="13"/>
      <c r="N364" s="16"/>
      <c r="O364" s="16"/>
      <c r="P364" s="16"/>
      <c r="Q364" s="7"/>
    </row>
    <row r="365" spans="3:17" s="2" customFormat="1" ht="15.75" x14ac:dyDescent="0.25">
      <c r="C365" s="1"/>
      <c r="D365" s="1"/>
      <c r="E365" s="1"/>
      <c r="F365" s="1"/>
      <c r="G365" s="14"/>
      <c r="H365" s="1"/>
      <c r="I365" s="19"/>
      <c r="J365" s="19"/>
      <c r="K365" s="13"/>
      <c r="L365" s="19"/>
      <c r="M365" s="13"/>
      <c r="N365" s="16"/>
      <c r="O365" s="16"/>
      <c r="P365" s="16"/>
      <c r="Q365" s="7"/>
    </row>
    <row r="366" spans="3:17" s="2" customFormat="1" ht="15.75" x14ac:dyDescent="0.25">
      <c r="C366" s="1"/>
      <c r="D366" s="1"/>
      <c r="E366" s="1"/>
      <c r="F366" s="1"/>
      <c r="G366" s="14"/>
      <c r="H366" s="1"/>
      <c r="I366" s="19"/>
      <c r="J366" s="19"/>
      <c r="K366" s="13"/>
      <c r="L366" s="19"/>
      <c r="M366" s="13"/>
      <c r="N366" s="16"/>
      <c r="O366" s="16"/>
      <c r="P366" s="16"/>
      <c r="Q366" s="7"/>
    </row>
    <row r="367" spans="3:17" s="2" customFormat="1" ht="15.75" x14ac:dyDescent="0.25">
      <c r="C367" s="1"/>
      <c r="D367" s="1"/>
      <c r="E367" s="1"/>
      <c r="F367" s="1"/>
      <c r="G367" s="14"/>
      <c r="H367" s="1"/>
      <c r="I367" s="19"/>
      <c r="J367" s="19"/>
      <c r="K367" s="13"/>
      <c r="L367" s="19"/>
      <c r="M367" s="13"/>
      <c r="N367" s="16"/>
      <c r="O367" s="16"/>
      <c r="P367" s="16"/>
      <c r="Q367" s="7"/>
    </row>
    <row r="368" spans="3:17" s="2" customFormat="1" ht="15.75" x14ac:dyDescent="0.25">
      <c r="C368" s="1"/>
      <c r="D368" s="1"/>
      <c r="E368" s="1"/>
      <c r="F368" s="1"/>
      <c r="G368" s="14"/>
      <c r="H368" s="1"/>
      <c r="I368" s="19"/>
      <c r="J368" s="19"/>
      <c r="K368" s="13"/>
      <c r="L368" s="19"/>
      <c r="M368" s="13"/>
      <c r="N368" s="16"/>
      <c r="O368" s="16"/>
      <c r="P368" s="16"/>
      <c r="Q368" s="7"/>
    </row>
    <row r="369" spans="3:17" s="2" customFormat="1" ht="15.75" x14ac:dyDescent="0.25">
      <c r="C369" s="1"/>
      <c r="D369" s="1"/>
      <c r="E369" s="1"/>
      <c r="F369" s="1"/>
      <c r="G369" s="14"/>
      <c r="H369" s="1"/>
      <c r="I369" s="19"/>
      <c r="J369" s="19"/>
      <c r="K369" s="13"/>
      <c r="L369" s="19"/>
      <c r="M369" s="13"/>
      <c r="N369" s="16"/>
      <c r="O369" s="16"/>
      <c r="P369" s="16"/>
      <c r="Q369" s="7"/>
    </row>
    <row r="370" spans="3:17" s="2" customFormat="1" ht="15.75" x14ac:dyDescent="0.25">
      <c r="C370" s="1"/>
      <c r="D370" s="1"/>
      <c r="E370" s="1"/>
      <c r="F370" s="1"/>
      <c r="G370" s="14"/>
      <c r="H370" s="1"/>
      <c r="I370" s="19"/>
      <c r="J370" s="19"/>
      <c r="K370" s="13"/>
      <c r="L370" s="19"/>
      <c r="M370" s="13"/>
      <c r="N370" s="16"/>
      <c r="O370" s="16"/>
      <c r="P370" s="16"/>
      <c r="Q370" s="7"/>
    </row>
    <row r="371" spans="3:17" s="2" customFormat="1" ht="15.75" x14ac:dyDescent="0.25">
      <c r="C371" s="1"/>
      <c r="D371" s="1"/>
      <c r="E371" s="1"/>
      <c r="F371" s="1"/>
      <c r="G371" s="14"/>
      <c r="H371" s="1"/>
      <c r="I371" s="19"/>
      <c r="J371" s="19"/>
      <c r="K371" s="13"/>
      <c r="L371" s="19"/>
      <c r="M371" s="13"/>
      <c r="N371" s="16"/>
      <c r="O371" s="16"/>
      <c r="P371" s="16"/>
      <c r="Q371" s="7"/>
    </row>
    <row r="372" spans="3:17" s="2" customFormat="1" ht="15.75" x14ac:dyDescent="0.25">
      <c r="C372" s="1"/>
      <c r="D372" s="1"/>
      <c r="E372" s="1"/>
      <c r="F372" s="1"/>
      <c r="G372" s="14"/>
      <c r="H372" s="1"/>
      <c r="I372" s="19"/>
      <c r="J372" s="19"/>
      <c r="K372" s="13"/>
      <c r="L372" s="19"/>
      <c r="M372" s="13"/>
      <c r="N372" s="16"/>
      <c r="O372" s="16"/>
      <c r="P372" s="16"/>
      <c r="Q372" s="7"/>
    </row>
    <row r="373" spans="3:17" s="2" customFormat="1" ht="15.75" x14ac:dyDescent="0.25">
      <c r="C373" s="1"/>
      <c r="D373" s="1"/>
      <c r="E373" s="1"/>
      <c r="F373" s="1"/>
      <c r="G373" s="14"/>
      <c r="H373" s="1"/>
      <c r="I373" s="19"/>
      <c r="J373" s="19"/>
      <c r="K373" s="13"/>
      <c r="L373" s="19"/>
      <c r="M373" s="13"/>
      <c r="N373" s="16"/>
      <c r="O373" s="16"/>
      <c r="P373" s="16"/>
      <c r="Q373" s="7"/>
    </row>
    <row r="374" spans="3:17" s="2" customFormat="1" ht="15.75" x14ac:dyDescent="0.25">
      <c r="C374" s="1"/>
      <c r="D374" s="1"/>
      <c r="E374" s="1"/>
      <c r="F374" s="1"/>
      <c r="G374" s="14"/>
      <c r="H374" s="1"/>
      <c r="I374" s="19"/>
      <c r="J374" s="19"/>
      <c r="K374" s="13"/>
      <c r="L374" s="19"/>
      <c r="M374" s="13"/>
      <c r="N374" s="16"/>
      <c r="O374" s="16"/>
      <c r="P374" s="16"/>
      <c r="Q374" s="7"/>
    </row>
    <row r="375" spans="3:17" s="2" customFormat="1" ht="15.75" x14ac:dyDescent="0.25">
      <c r="C375" s="1"/>
      <c r="D375" s="1"/>
      <c r="E375" s="1"/>
      <c r="F375" s="1"/>
      <c r="G375" s="14"/>
      <c r="H375" s="1"/>
      <c r="I375" s="19"/>
      <c r="J375" s="19"/>
      <c r="K375" s="13"/>
      <c r="L375" s="19"/>
      <c r="M375" s="13"/>
      <c r="N375" s="16"/>
      <c r="O375" s="16"/>
      <c r="P375" s="16"/>
      <c r="Q375" s="7"/>
    </row>
    <row r="376" spans="3:17" s="2" customFormat="1" ht="15.75" x14ac:dyDescent="0.25">
      <c r="C376" s="1"/>
      <c r="D376" s="1"/>
      <c r="E376" s="1"/>
      <c r="F376" s="1"/>
      <c r="G376" s="14"/>
      <c r="H376" s="1"/>
      <c r="I376" s="19"/>
      <c r="J376" s="19"/>
      <c r="K376" s="13"/>
      <c r="L376" s="19"/>
      <c r="M376" s="13"/>
      <c r="N376" s="16"/>
      <c r="O376" s="16"/>
      <c r="P376" s="16"/>
      <c r="Q376" s="7"/>
    </row>
    <row r="377" spans="3:17" s="2" customFormat="1" ht="15.75" x14ac:dyDescent="0.25">
      <c r="C377" s="1"/>
      <c r="D377" s="1"/>
      <c r="E377" s="1"/>
      <c r="F377" s="1"/>
      <c r="G377" s="14"/>
      <c r="H377" s="1"/>
      <c r="I377" s="19"/>
      <c r="J377" s="19"/>
      <c r="K377" s="13"/>
      <c r="L377" s="19"/>
      <c r="M377" s="13"/>
      <c r="N377" s="16"/>
      <c r="O377" s="16"/>
      <c r="P377" s="16"/>
      <c r="Q377" s="7"/>
    </row>
    <row r="378" spans="3:17" s="2" customFormat="1" ht="15.75" x14ac:dyDescent="0.25">
      <c r="C378" s="1"/>
      <c r="D378" s="1"/>
      <c r="E378" s="1"/>
      <c r="F378" s="1"/>
      <c r="G378" s="14"/>
      <c r="H378" s="1"/>
      <c r="I378" s="19"/>
      <c r="J378" s="19"/>
      <c r="K378" s="13"/>
      <c r="L378" s="19"/>
      <c r="M378" s="13"/>
      <c r="N378" s="16"/>
      <c r="O378" s="16"/>
      <c r="P378" s="16"/>
      <c r="Q378" s="7"/>
    </row>
    <row r="379" spans="3:17" s="2" customFormat="1" ht="15.75" x14ac:dyDescent="0.25">
      <c r="C379" s="1"/>
      <c r="D379" s="1"/>
      <c r="E379" s="1"/>
      <c r="F379" s="1"/>
      <c r="G379" s="14"/>
      <c r="H379" s="1"/>
      <c r="I379" s="19"/>
      <c r="J379" s="19"/>
      <c r="K379" s="13"/>
      <c r="L379" s="19"/>
      <c r="M379" s="13"/>
      <c r="N379" s="16"/>
      <c r="O379" s="16"/>
      <c r="P379" s="16"/>
      <c r="Q379" s="7"/>
    </row>
    <row r="380" spans="3:17" s="2" customFormat="1" ht="15.75" x14ac:dyDescent="0.25">
      <c r="C380" s="1"/>
      <c r="D380" s="1"/>
      <c r="E380" s="1"/>
      <c r="F380" s="1"/>
      <c r="G380" s="14"/>
      <c r="H380" s="1"/>
      <c r="I380" s="19"/>
      <c r="J380" s="19"/>
      <c r="K380" s="13"/>
      <c r="L380" s="19"/>
      <c r="M380" s="13"/>
      <c r="N380" s="16"/>
      <c r="O380" s="16"/>
      <c r="P380" s="16"/>
      <c r="Q380" s="7"/>
    </row>
    <row r="381" spans="3:17" s="2" customFormat="1" ht="15.75" x14ac:dyDescent="0.25">
      <c r="C381" s="1"/>
      <c r="D381" s="1"/>
      <c r="E381" s="1"/>
      <c r="F381" s="1"/>
      <c r="G381" s="14"/>
      <c r="H381" s="1"/>
      <c r="I381" s="19"/>
      <c r="J381" s="19"/>
      <c r="K381" s="13"/>
      <c r="L381" s="19"/>
      <c r="M381" s="13"/>
      <c r="N381" s="16"/>
      <c r="O381" s="16"/>
      <c r="P381" s="16"/>
      <c r="Q381" s="7"/>
    </row>
    <row r="382" spans="3:17" s="2" customFormat="1" ht="15.75" x14ac:dyDescent="0.25">
      <c r="C382" s="1"/>
      <c r="D382" s="1"/>
      <c r="E382" s="1"/>
      <c r="F382" s="1"/>
      <c r="G382" s="14"/>
      <c r="H382" s="1"/>
      <c r="I382" s="19"/>
      <c r="J382" s="19"/>
      <c r="K382" s="13"/>
      <c r="L382" s="19"/>
      <c r="M382" s="13"/>
      <c r="N382" s="16"/>
      <c r="O382" s="16"/>
      <c r="P382" s="16"/>
      <c r="Q382" s="7"/>
    </row>
    <row r="383" spans="3:17" s="2" customFormat="1" ht="15.75" x14ac:dyDescent="0.25">
      <c r="C383" s="1"/>
      <c r="D383" s="1"/>
      <c r="E383" s="1"/>
      <c r="F383" s="1"/>
      <c r="G383" s="14"/>
      <c r="H383" s="1"/>
      <c r="I383" s="19"/>
      <c r="J383" s="19"/>
      <c r="K383" s="13"/>
      <c r="L383" s="19"/>
      <c r="M383" s="13"/>
      <c r="N383" s="16"/>
      <c r="O383" s="16"/>
      <c r="P383" s="16"/>
      <c r="Q383" s="7"/>
    </row>
    <row r="384" spans="3:17" s="2" customFormat="1" ht="15.75" x14ac:dyDescent="0.25">
      <c r="C384" s="1"/>
      <c r="D384" s="1"/>
      <c r="E384" s="1"/>
      <c r="F384" s="1"/>
      <c r="G384" s="14"/>
      <c r="H384" s="1"/>
      <c r="I384" s="19"/>
      <c r="J384" s="19"/>
      <c r="K384" s="13"/>
      <c r="L384" s="19"/>
      <c r="M384" s="13"/>
      <c r="N384" s="16"/>
      <c r="O384" s="16"/>
      <c r="P384" s="16"/>
      <c r="Q384" s="7"/>
    </row>
    <row r="385" spans="3:19" s="2" customFormat="1" ht="15.75" x14ac:dyDescent="0.25">
      <c r="C385" s="1"/>
      <c r="D385" s="1"/>
      <c r="E385" s="1"/>
      <c r="F385" s="1"/>
      <c r="G385" s="14"/>
      <c r="H385" s="1"/>
      <c r="I385" s="19"/>
      <c r="J385" s="19"/>
      <c r="K385" s="13"/>
      <c r="L385" s="19"/>
      <c r="M385" s="13"/>
      <c r="N385" s="16"/>
      <c r="O385" s="16"/>
      <c r="P385" s="16"/>
      <c r="Q385" s="7"/>
    </row>
    <row r="386" spans="3:19" s="2" customFormat="1" ht="15.75" x14ac:dyDescent="0.25">
      <c r="C386" s="1"/>
      <c r="D386" s="1"/>
      <c r="E386" s="1"/>
      <c r="F386" s="1"/>
      <c r="G386" s="14"/>
      <c r="H386" s="1"/>
      <c r="I386" s="19"/>
      <c r="J386" s="19"/>
      <c r="K386" s="13"/>
      <c r="L386" s="19"/>
      <c r="M386" s="13"/>
      <c r="N386" s="16"/>
      <c r="O386" s="16"/>
      <c r="P386" s="16"/>
      <c r="Q386" s="7"/>
    </row>
    <row r="387" spans="3:19" s="2" customFormat="1" ht="15.75" x14ac:dyDescent="0.25">
      <c r="C387" s="1"/>
      <c r="D387" s="1"/>
      <c r="E387" s="1"/>
      <c r="F387" s="1"/>
      <c r="G387" s="14"/>
      <c r="H387" s="1"/>
      <c r="I387" s="19"/>
      <c r="J387" s="19"/>
      <c r="K387" s="13"/>
      <c r="L387" s="19"/>
      <c r="M387" s="13"/>
      <c r="N387" s="16"/>
      <c r="O387" s="16"/>
      <c r="P387" s="16"/>
      <c r="Q387" s="7"/>
    </row>
    <row r="388" spans="3:19" s="2" customFormat="1" ht="15.75" x14ac:dyDescent="0.25">
      <c r="C388" s="1"/>
      <c r="D388" s="1"/>
      <c r="E388" s="1"/>
      <c r="F388" s="1"/>
      <c r="G388" s="14"/>
      <c r="H388" s="1"/>
      <c r="I388" s="19"/>
      <c r="J388" s="19"/>
      <c r="K388" s="13"/>
      <c r="L388" s="19"/>
      <c r="M388" s="13"/>
      <c r="N388" s="16"/>
      <c r="O388" s="16"/>
      <c r="P388" s="16"/>
      <c r="Q388" s="7"/>
    </row>
    <row r="389" spans="3:19" s="2" customFormat="1" ht="15.75" x14ac:dyDescent="0.25">
      <c r="C389" s="1"/>
      <c r="D389" s="1"/>
      <c r="E389" s="1"/>
      <c r="F389" s="1"/>
      <c r="G389" s="14"/>
      <c r="H389" s="1"/>
      <c r="I389" s="19"/>
      <c r="J389" s="19"/>
      <c r="K389" s="13"/>
      <c r="L389" s="19"/>
      <c r="M389" s="13"/>
      <c r="N389" s="16"/>
      <c r="O389" s="16"/>
      <c r="P389" s="16"/>
      <c r="Q389" s="7"/>
    </row>
    <row r="390" spans="3:19" s="2" customFormat="1" ht="15.75" x14ac:dyDescent="0.25">
      <c r="C390" s="1"/>
      <c r="D390" s="1"/>
      <c r="E390" s="1"/>
      <c r="F390" s="1"/>
      <c r="G390" s="14"/>
      <c r="H390" s="1"/>
      <c r="I390" s="19"/>
      <c r="J390" s="19"/>
      <c r="K390" s="13"/>
      <c r="L390" s="19"/>
      <c r="M390" s="13"/>
      <c r="N390" s="16"/>
      <c r="O390" s="16"/>
      <c r="P390" s="16"/>
      <c r="Q390" s="7"/>
    </row>
    <row r="391" spans="3:19" s="2" customFormat="1" ht="15.75" x14ac:dyDescent="0.25">
      <c r="C391" s="1"/>
      <c r="D391" s="1"/>
      <c r="E391" s="1"/>
      <c r="F391" s="1"/>
      <c r="G391" s="14"/>
      <c r="H391" s="1"/>
      <c r="I391" s="19"/>
      <c r="J391" s="19"/>
      <c r="K391" s="13"/>
      <c r="L391" s="19"/>
      <c r="M391" s="13"/>
      <c r="N391" s="16"/>
      <c r="O391" s="16"/>
      <c r="P391" s="16"/>
      <c r="Q391" s="7"/>
    </row>
    <row r="392" spans="3:19" s="2" customFormat="1" ht="15.75" x14ac:dyDescent="0.25">
      <c r="C392" s="1"/>
      <c r="D392" s="1"/>
      <c r="E392" s="1"/>
      <c r="F392" s="1"/>
      <c r="G392" s="14"/>
      <c r="H392" s="1"/>
      <c r="I392" s="19"/>
      <c r="J392" s="19"/>
      <c r="K392" s="13"/>
      <c r="L392" s="19"/>
      <c r="M392" s="13"/>
      <c r="N392" s="16"/>
      <c r="O392" s="16"/>
      <c r="P392" s="16"/>
      <c r="Q392" s="7"/>
      <c r="S392" s="2" t="s">
        <v>12</v>
      </c>
    </row>
    <row r="393" spans="3:19" s="2" customFormat="1" ht="15.75" x14ac:dyDescent="0.25">
      <c r="C393" s="1"/>
      <c r="D393" s="1"/>
      <c r="E393" s="1"/>
      <c r="F393" s="1"/>
      <c r="G393" s="14"/>
      <c r="H393" s="1"/>
      <c r="I393" s="19"/>
      <c r="J393" s="19"/>
      <c r="K393" s="13"/>
      <c r="L393" s="19"/>
      <c r="M393" s="13"/>
      <c r="N393" s="16"/>
      <c r="O393" s="16"/>
      <c r="P393" s="16"/>
      <c r="Q393" s="7"/>
    </row>
    <row r="394" spans="3:19" s="2" customFormat="1" ht="15.75" x14ac:dyDescent="0.25">
      <c r="C394" s="1"/>
      <c r="D394" s="1"/>
      <c r="E394" s="1"/>
      <c r="F394" s="1"/>
      <c r="G394" s="14"/>
      <c r="H394" s="1"/>
      <c r="I394" s="19"/>
      <c r="J394" s="19"/>
      <c r="K394" s="13"/>
      <c r="L394" s="19"/>
      <c r="M394" s="13"/>
      <c r="N394" s="16"/>
      <c r="O394" s="16"/>
      <c r="P394" s="16"/>
      <c r="Q394" s="7"/>
    </row>
    <row r="395" spans="3:19" s="2" customFormat="1" ht="15.75" x14ac:dyDescent="0.25">
      <c r="C395" s="1"/>
      <c r="D395" s="1"/>
      <c r="E395" s="1"/>
      <c r="F395" s="1"/>
      <c r="G395" s="14"/>
      <c r="H395" s="1"/>
      <c r="I395" s="19"/>
      <c r="J395" s="19"/>
      <c r="K395" s="13"/>
      <c r="L395" s="19"/>
      <c r="M395" s="13"/>
      <c r="N395" s="16"/>
      <c r="O395" s="16"/>
      <c r="P395" s="16"/>
      <c r="Q395" s="7"/>
    </row>
    <row r="396" spans="3:19" s="2" customFormat="1" ht="15.75" x14ac:dyDescent="0.25">
      <c r="C396" s="1"/>
      <c r="D396" s="1"/>
      <c r="E396" s="1"/>
      <c r="F396" s="1"/>
      <c r="G396" s="14"/>
      <c r="H396" s="1"/>
      <c r="I396" s="19"/>
      <c r="J396" s="19"/>
      <c r="K396" s="13"/>
      <c r="L396" s="19"/>
      <c r="M396" s="13"/>
      <c r="N396" s="16"/>
      <c r="O396" s="16"/>
      <c r="P396" s="16"/>
      <c r="Q396" s="7"/>
    </row>
    <row r="397" spans="3:19" s="2" customFormat="1" ht="15.75" x14ac:dyDescent="0.25">
      <c r="C397" s="1"/>
      <c r="D397" s="1"/>
      <c r="E397" s="1"/>
      <c r="F397" s="1"/>
      <c r="G397" s="14"/>
      <c r="H397" s="1"/>
      <c r="I397" s="19"/>
      <c r="J397" s="19"/>
      <c r="K397" s="13"/>
      <c r="L397" s="19"/>
      <c r="M397" s="13"/>
      <c r="N397" s="16"/>
      <c r="O397" s="16"/>
      <c r="P397" s="16"/>
      <c r="Q397" s="7"/>
    </row>
    <row r="398" spans="3:19" s="2" customFormat="1" ht="15.75" x14ac:dyDescent="0.25">
      <c r="C398" s="1"/>
      <c r="D398" s="1"/>
      <c r="E398" s="1"/>
      <c r="F398" s="1"/>
      <c r="G398" s="14"/>
      <c r="H398" s="1"/>
      <c r="I398" s="19"/>
      <c r="J398" s="19"/>
      <c r="K398" s="13"/>
      <c r="L398" s="19"/>
      <c r="M398" s="13"/>
      <c r="N398" s="16"/>
      <c r="O398" s="16"/>
      <c r="P398" s="16"/>
      <c r="Q398" s="7"/>
    </row>
    <row r="399" spans="3:19" s="2" customFormat="1" ht="15.75" x14ac:dyDescent="0.25">
      <c r="C399" s="1"/>
      <c r="D399" s="1"/>
      <c r="E399" s="1"/>
      <c r="F399" s="1"/>
      <c r="G399" s="14"/>
      <c r="H399" s="1"/>
      <c r="I399" s="19"/>
      <c r="J399" s="19"/>
      <c r="K399" s="13"/>
      <c r="L399" s="19"/>
      <c r="M399" s="13"/>
      <c r="N399" s="16"/>
      <c r="O399" s="16"/>
      <c r="P399" s="16"/>
      <c r="Q399" s="7"/>
    </row>
    <row r="400" spans="3:19" s="2" customFormat="1" ht="15.75" x14ac:dyDescent="0.25">
      <c r="C400" s="1"/>
      <c r="D400" s="1"/>
      <c r="E400" s="1"/>
      <c r="F400" s="1"/>
      <c r="G400" s="14"/>
      <c r="H400" s="1"/>
      <c r="I400" s="19"/>
      <c r="J400" s="19"/>
      <c r="K400" s="13"/>
      <c r="L400" s="19"/>
      <c r="M400" s="13"/>
      <c r="N400" s="16"/>
      <c r="O400" s="16"/>
      <c r="P400" s="16"/>
      <c r="Q400" s="7"/>
    </row>
    <row r="401" spans="3:17" s="2" customFormat="1" ht="15.75" x14ac:dyDescent="0.25">
      <c r="C401" s="1"/>
      <c r="D401" s="1"/>
      <c r="E401" s="1"/>
      <c r="F401" s="1"/>
      <c r="G401" s="14"/>
      <c r="H401" s="1"/>
      <c r="I401" s="19"/>
      <c r="J401" s="19"/>
      <c r="K401" s="13"/>
      <c r="L401" s="19"/>
      <c r="M401" s="13"/>
      <c r="N401" s="16"/>
      <c r="O401" s="16"/>
      <c r="P401" s="16"/>
      <c r="Q401" s="7"/>
    </row>
    <row r="402" spans="3:17" s="2" customFormat="1" ht="15.75" x14ac:dyDescent="0.25">
      <c r="C402" s="1"/>
      <c r="D402" s="1"/>
      <c r="E402" s="1"/>
      <c r="F402" s="1"/>
      <c r="G402" s="14"/>
      <c r="H402" s="1"/>
      <c r="I402" s="19"/>
      <c r="J402" s="19"/>
      <c r="K402" s="13"/>
      <c r="L402" s="19"/>
      <c r="M402" s="13"/>
      <c r="N402" s="16"/>
      <c r="O402" s="16"/>
      <c r="P402" s="16"/>
      <c r="Q402" s="7"/>
    </row>
    <row r="403" spans="3:17" s="2" customFormat="1" ht="15.75" x14ac:dyDescent="0.25">
      <c r="C403" s="1"/>
      <c r="D403" s="1"/>
      <c r="E403" s="1"/>
      <c r="F403" s="1"/>
      <c r="G403" s="14"/>
      <c r="H403" s="1"/>
      <c r="I403" s="19"/>
      <c r="J403" s="19"/>
      <c r="K403" s="13"/>
      <c r="L403" s="19"/>
      <c r="M403" s="13"/>
      <c r="N403" s="16"/>
      <c r="O403" s="16"/>
      <c r="P403" s="16"/>
      <c r="Q403" s="7"/>
    </row>
    <row r="404" spans="3:17" s="2" customFormat="1" ht="15.75" x14ac:dyDescent="0.25">
      <c r="C404" s="1"/>
      <c r="D404" s="1"/>
      <c r="E404" s="1"/>
      <c r="F404" s="1"/>
      <c r="G404" s="14"/>
      <c r="H404" s="1"/>
      <c r="I404" s="19"/>
      <c r="J404" s="19"/>
      <c r="K404" s="13"/>
      <c r="L404" s="19"/>
      <c r="M404" s="13"/>
      <c r="N404" s="16"/>
      <c r="O404" s="16"/>
      <c r="P404" s="16"/>
      <c r="Q404" s="7"/>
    </row>
    <row r="405" spans="3:17" s="2" customFormat="1" ht="15.75" x14ac:dyDescent="0.25">
      <c r="C405" s="1"/>
      <c r="D405" s="1"/>
      <c r="E405" s="1"/>
      <c r="F405" s="1"/>
      <c r="G405" s="14"/>
      <c r="H405" s="1"/>
      <c r="I405" s="19"/>
      <c r="J405" s="19"/>
      <c r="K405" s="13"/>
      <c r="L405" s="19"/>
      <c r="M405" s="13"/>
      <c r="N405" s="16"/>
      <c r="O405" s="16"/>
      <c r="P405" s="16"/>
      <c r="Q405" s="7"/>
    </row>
    <row r="406" spans="3:17" s="2" customFormat="1" ht="15.75" x14ac:dyDescent="0.25">
      <c r="C406" s="1"/>
      <c r="D406" s="1"/>
      <c r="E406" s="1"/>
      <c r="F406" s="1"/>
      <c r="G406" s="14"/>
      <c r="H406" s="1"/>
      <c r="I406" s="19"/>
      <c r="J406" s="19"/>
      <c r="K406" s="13"/>
      <c r="L406" s="19"/>
      <c r="M406" s="13"/>
      <c r="N406" s="16"/>
      <c r="O406" s="16"/>
      <c r="P406" s="16"/>
      <c r="Q406" s="7"/>
    </row>
    <row r="407" spans="3:17" s="2" customFormat="1" ht="15.75" x14ac:dyDescent="0.25">
      <c r="C407" s="1"/>
      <c r="D407" s="1"/>
      <c r="E407" s="1"/>
      <c r="F407" s="1"/>
      <c r="G407" s="14"/>
      <c r="H407" s="1"/>
      <c r="I407" s="19"/>
      <c r="J407" s="19"/>
      <c r="K407" s="13"/>
      <c r="L407" s="19"/>
      <c r="M407" s="13"/>
      <c r="N407" s="16"/>
      <c r="O407" s="16"/>
      <c r="P407" s="16"/>
      <c r="Q407" s="7"/>
    </row>
    <row r="408" spans="3:17" s="2" customFormat="1" ht="15.75" x14ac:dyDescent="0.25">
      <c r="C408" s="1"/>
      <c r="D408" s="1"/>
      <c r="E408" s="1"/>
      <c r="F408" s="1"/>
      <c r="G408" s="14"/>
      <c r="H408" s="1"/>
      <c r="I408" s="19"/>
      <c r="J408" s="19"/>
      <c r="K408" s="13"/>
      <c r="L408" s="19"/>
      <c r="M408" s="13"/>
      <c r="N408" s="16"/>
      <c r="O408" s="16"/>
      <c r="P408" s="16"/>
      <c r="Q408" s="7"/>
    </row>
    <row r="409" spans="3:17" s="2" customFormat="1" ht="15.75" x14ac:dyDescent="0.25">
      <c r="C409" s="1"/>
      <c r="D409" s="1"/>
      <c r="E409" s="1"/>
      <c r="F409" s="1"/>
      <c r="G409" s="14"/>
      <c r="H409" s="1"/>
      <c r="I409" s="19"/>
      <c r="J409" s="19"/>
      <c r="K409" s="13"/>
      <c r="L409" s="19"/>
      <c r="M409" s="13"/>
      <c r="N409" s="16"/>
      <c r="O409" s="16"/>
      <c r="P409" s="16"/>
      <c r="Q409" s="7"/>
    </row>
    <row r="410" spans="3:17" s="2" customFormat="1" ht="15.75" x14ac:dyDescent="0.25">
      <c r="C410" s="1"/>
      <c r="D410" s="1"/>
      <c r="E410" s="1"/>
      <c r="F410" s="1"/>
      <c r="G410" s="14"/>
      <c r="H410" s="1"/>
      <c r="I410" s="19"/>
      <c r="J410" s="19"/>
      <c r="K410" s="13"/>
      <c r="L410" s="19"/>
      <c r="M410" s="13"/>
      <c r="N410" s="16"/>
      <c r="O410" s="16"/>
      <c r="P410" s="16"/>
      <c r="Q410" s="7"/>
    </row>
    <row r="411" spans="3:17" s="2" customFormat="1" ht="15.75" x14ac:dyDescent="0.25">
      <c r="C411" s="1"/>
      <c r="D411" s="1"/>
      <c r="E411" s="1"/>
      <c r="F411" s="1"/>
      <c r="G411" s="14"/>
      <c r="H411" s="1"/>
      <c r="I411" s="19"/>
      <c r="J411" s="19"/>
      <c r="K411" s="13"/>
      <c r="L411" s="19"/>
      <c r="M411" s="13"/>
      <c r="N411" s="16"/>
      <c r="O411" s="16"/>
      <c r="P411" s="16"/>
      <c r="Q411" s="7"/>
    </row>
    <row r="412" spans="3:17" s="2" customFormat="1" ht="15.75" x14ac:dyDescent="0.25">
      <c r="C412" s="1"/>
      <c r="D412" s="1"/>
      <c r="E412" s="1"/>
      <c r="F412" s="1"/>
      <c r="G412" s="14"/>
      <c r="H412" s="1"/>
      <c r="I412" s="19"/>
      <c r="J412" s="19"/>
      <c r="K412" s="13"/>
      <c r="L412" s="19"/>
      <c r="M412" s="13"/>
      <c r="N412" s="16"/>
      <c r="O412" s="16"/>
      <c r="P412" s="16"/>
      <c r="Q412" s="7"/>
    </row>
    <row r="413" spans="3:17" s="2" customFormat="1" ht="15.75" x14ac:dyDescent="0.25">
      <c r="C413" s="1"/>
      <c r="D413" s="1"/>
      <c r="E413" s="1"/>
      <c r="F413" s="1"/>
      <c r="G413" s="14"/>
      <c r="H413" s="1"/>
      <c r="I413" s="19"/>
      <c r="J413" s="19"/>
      <c r="K413" s="13"/>
      <c r="L413" s="19"/>
      <c r="M413" s="13"/>
      <c r="N413" s="16"/>
      <c r="O413" s="16"/>
      <c r="P413" s="16"/>
      <c r="Q413" s="7"/>
    </row>
    <row r="414" spans="3:17" s="2" customFormat="1" ht="15.75" x14ac:dyDescent="0.25">
      <c r="C414" s="1"/>
      <c r="D414" s="1"/>
      <c r="E414" s="1"/>
      <c r="F414" s="1"/>
      <c r="G414" s="14"/>
      <c r="H414" s="1"/>
      <c r="I414" s="19"/>
      <c r="J414" s="19"/>
      <c r="K414" s="13"/>
      <c r="L414" s="19"/>
      <c r="M414" s="13"/>
      <c r="N414" s="16"/>
      <c r="O414" s="16"/>
      <c r="P414" s="16"/>
      <c r="Q414" s="7"/>
    </row>
    <row r="415" spans="3:17" s="2" customFormat="1" ht="15.75" x14ac:dyDescent="0.25">
      <c r="C415" s="1"/>
      <c r="D415" s="1"/>
      <c r="E415" s="1"/>
      <c r="F415" s="1"/>
      <c r="G415" s="14"/>
      <c r="H415" s="1"/>
      <c r="I415" s="19"/>
      <c r="J415" s="19"/>
      <c r="K415" s="13"/>
      <c r="L415" s="19"/>
      <c r="M415" s="13"/>
      <c r="N415" s="16"/>
      <c r="O415" s="16"/>
      <c r="P415" s="16"/>
      <c r="Q415" s="7"/>
    </row>
    <row r="416" spans="3:17" s="2" customFormat="1" ht="15.75" x14ac:dyDescent="0.25">
      <c r="C416" s="1"/>
      <c r="D416" s="1"/>
      <c r="E416" s="1"/>
      <c r="F416" s="1"/>
      <c r="G416" s="14"/>
      <c r="H416" s="1"/>
      <c r="I416" s="19"/>
      <c r="J416" s="19"/>
      <c r="K416" s="13"/>
      <c r="L416" s="19"/>
      <c r="M416" s="13"/>
      <c r="N416" s="16"/>
      <c r="O416" s="16"/>
      <c r="P416" s="16"/>
      <c r="Q416" s="7"/>
    </row>
    <row r="417" spans="3:17" s="2" customFormat="1" ht="15.75" x14ac:dyDescent="0.25">
      <c r="C417" s="1"/>
      <c r="D417" s="1"/>
      <c r="E417" s="1"/>
      <c r="F417" s="1"/>
      <c r="G417" s="14"/>
      <c r="H417" s="1"/>
      <c r="I417" s="19"/>
      <c r="J417" s="19"/>
      <c r="K417" s="13"/>
      <c r="L417" s="19"/>
      <c r="M417" s="13"/>
      <c r="N417" s="16"/>
      <c r="O417" s="16"/>
      <c r="P417" s="16"/>
      <c r="Q417" s="7"/>
    </row>
    <row r="418" spans="3:17" s="2" customFormat="1" ht="15.75" x14ac:dyDescent="0.25">
      <c r="C418" s="1"/>
      <c r="D418" s="1"/>
      <c r="E418" s="1"/>
      <c r="F418" s="1"/>
      <c r="G418" s="14"/>
      <c r="H418" s="1"/>
      <c r="I418" s="19"/>
      <c r="J418" s="19"/>
      <c r="K418" s="13"/>
      <c r="L418" s="19"/>
      <c r="M418" s="13"/>
      <c r="N418" s="16"/>
      <c r="O418" s="16"/>
      <c r="P418" s="16"/>
      <c r="Q418" s="7"/>
    </row>
    <row r="419" spans="3:17" s="2" customFormat="1" ht="15.75" x14ac:dyDescent="0.25">
      <c r="C419" s="1"/>
      <c r="D419" s="1"/>
      <c r="E419" s="1"/>
      <c r="F419" s="1"/>
      <c r="G419" s="14"/>
      <c r="H419" s="1"/>
      <c r="I419" s="19"/>
      <c r="J419" s="19"/>
      <c r="K419" s="13"/>
      <c r="L419" s="19"/>
      <c r="M419" s="13"/>
      <c r="N419" s="16"/>
      <c r="O419" s="16"/>
      <c r="P419" s="16"/>
      <c r="Q419" s="7"/>
    </row>
    <row r="420" spans="3:17" s="2" customFormat="1" ht="15.75" x14ac:dyDescent="0.25">
      <c r="C420" s="1"/>
      <c r="D420" s="1"/>
      <c r="E420" s="1"/>
      <c r="F420" s="1"/>
      <c r="G420" s="14"/>
      <c r="H420" s="1"/>
      <c r="I420" s="19"/>
      <c r="J420" s="19"/>
      <c r="K420" s="13"/>
      <c r="L420" s="19"/>
      <c r="M420" s="13"/>
      <c r="N420" s="16"/>
      <c r="O420" s="16"/>
      <c r="P420" s="16"/>
      <c r="Q420" s="7"/>
    </row>
    <row r="421" spans="3:17" s="2" customFormat="1" ht="15.75" x14ac:dyDescent="0.25">
      <c r="C421" s="1"/>
      <c r="D421" s="1"/>
      <c r="E421" s="1"/>
      <c r="F421" s="1"/>
      <c r="G421" s="14"/>
      <c r="H421" s="1"/>
      <c r="I421" s="19"/>
      <c r="J421" s="19"/>
      <c r="K421" s="13"/>
      <c r="L421" s="19"/>
      <c r="M421" s="13"/>
      <c r="N421" s="16"/>
      <c r="O421" s="16"/>
      <c r="P421" s="16"/>
      <c r="Q421" s="7"/>
    </row>
    <row r="422" spans="3:17" s="2" customFormat="1" ht="15.75" x14ac:dyDescent="0.25">
      <c r="C422" s="1"/>
      <c r="D422" s="1"/>
      <c r="E422" s="1"/>
      <c r="F422" s="1"/>
      <c r="G422" s="14"/>
      <c r="H422" s="1"/>
      <c r="I422" s="19"/>
      <c r="J422" s="19"/>
      <c r="K422" s="13"/>
      <c r="L422" s="19"/>
      <c r="M422" s="13"/>
      <c r="N422" s="16"/>
      <c r="O422" s="16"/>
      <c r="P422" s="16"/>
      <c r="Q422" s="7"/>
    </row>
    <row r="423" spans="3:17" s="2" customFormat="1" ht="15.75" x14ac:dyDescent="0.25">
      <c r="C423" s="1"/>
      <c r="D423" s="1"/>
      <c r="E423" s="1"/>
      <c r="F423" s="1"/>
      <c r="G423" s="14"/>
      <c r="H423" s="1"/>
      <c r="I423" s="19"/>
      <c r="J423" s="19"/>
      <c r="K423" s="13"/>
      <c r="L423" s="19"/>
      <c r="M423" s="13"/>
      <c r="N423" s="16"/>
      <c r="O423" s="16"/>
      <c r="P423" s="16"/>
      <c r="Q423" s="7"/>
    </row>
    <row r="424" spans="3:17" s="2" customFormat="1" ht="15.75" x14ac:dyDescent="0.25">
      <c r="C424" s="1"/>
      <c r="D424" s="1"/>
      <c r="E424" s="1"/>
      <c r="F424" s="1"/>
      <c r="G424" s="14"/>
      <c r="H424" s="1"/>
      <c r="I424" s="19"/>
      <c r="J424" s="19"/>
      <c r="K424" s="13"/>
      <c r="L424" s="19"/>
      <c r="M424" s="13"/>
      <c r="N424" s="16"/>
      <c r="O424" s="16"/>
      <c r="P424" s="16"/>
      <c r="Q424" s="7"/>
    </row>
    <row r="425" spans="3:17" s="2" customFormat="1" ht="15.75" x14ac:dyDescent="0.25">
      <c r="C425" s="1"/>
      <c r="D425" s="1"/>
      <c r="E425" s="1"/>
      <c r="F425" s="1"/>
      <c r="G425" s="14"/>
      <c r="H425" s="1"/>
      <c r="I425" s="19"/>
      <c r="J425" s="19"/>
      <c r="K425" s="13"/>
      <c r="L425" s="19"/>
      <c r="M425" s="13"/>
      <c r="N425" s="16"/>
      <c r="O425" s="16"/>
      <c r="P425" s="16"/>
      <c r="Q425" s="7"/>
    </row>
    <row r="426" spans="3:17" s="2" customFormat="1" ht="15.75" x14ac:dyDescent="0.25">
      <c r="C426" s="1"/>
      <c r="D426" s="1"/>
      <c r="E426" s="1"/>
      <c r="F426" s="1"/>
      <c r="G426" s="14"/>
      <c r="H426" s="1"/>
      <c r="I426" s="19"/>
      <c r="J426" s="19"/>
      <c r="K426" s="13"/>
      <c r="L426" s="19"/>
      <c r="M426" s="13"/>
      <c r="N426" s="16"/>
      <c r="O426" s="16"/>
      <c r="P426" s="16"/>
      <c r="Q426" s="7"/>
    </row>
    <row r="427" spans="3:17" s="2" customFormat="1" ht="15.75" x14ac:dyDescent="0.25">
      <c r="C427" s="1"/>
      <c r="D427" s="1"/>
      <c r="E427" s="1"/>
      <c r="F427" s="1"/>
      <c r="G427" s="14"/>
      <c r="H427" s="1"/>
      <c r="I427" s="19"/>
      <c r="J427" s="19"/>
      <c r="K427" s="13"/>
      <c r="L427" s="19"/>
      <c r="M427" s="13"/>
      <c r="N427" s="16"/>
      <c r="O427" s="16"/>
      <c r="P427" s="16"/>
      <c r="Q427" s="7"/>
    </row>
    <row r="428" spans="3:17" s="2" customFormat="1" ht="15.75" x14ac:dyDescent="0.25">
      <c r="C428" s="1"/>
      <c r="D428" s="1"/>
      <c r="E428" s="1"/>
      <c r="F428" s="1"/>
      <c r="G428" s="14"/>
      <c r="H428" s="1"/>
      <c r="I428" s="19"/>
      <c r="J428" s="19"/>
      <c r="K428" s="13"/>
      <c r="L428" s="19"/>
      <c r="M428" s="13"/>
      <c r="N428" s="16"/>
      <c r="O428" s="16"/>
      <c r="P428" s="16"/>
      <c r="Q428" s="7"/>
    </row>
    <row r="429" spans="3:17" s="2" customFormat="1" ht="15.75" x14ac:dyDescent="0.25">
      <c r="C429" s="1"/>
      <c r="D429" s="1"/>
      <c r="E429" s="1"/>
      <c r="F429" s="1"/>
      <c r="G429" s="14"/>
      <c r="H429" s="1"/>
      <c r="I429" s="19"/>
      <c r="J429" s="19"/>
      <c r="K429" s="13"/>
      <c r="L429" s="19"/>
      <c r="M429" s="13"/>
      <c r="N429" s="16"/>
      <c r="O429" s="16"/>
      <c r="P429" s="16"/>
      <c r="Q429" s="7"/>
    </row>
    <row r="430" spans="3:17" s="2" customFormat="1" ht="15.75" x14ac:dyDescent="0.25">
      <c r="C430" s="1"/>
      <c r="D430" s="1"/>
      <c r="E430" s="1"/>
      <c r="F430" s="1"/>
      <c r="G430" s="14"/>
      <c r="H430" s="1"/>
      <c r="I430" s="19"/>
      <c r="J430" s="19"/>
      <c r="K430" s="13"/>
      <c r="L430" s="19"/>
      <c r="M430" s="13"/>
      <c r="N430" s="16"/>
      <c r="O430" s="16"/>
      <c r="P430" s="16"/>
      <c r="Q430" s="7"/>
    </row>
    <row r="431" spans="3:17" s="2" customFormat="1" ht="15.75" x14ac:dyDescent="0.25">
      <c r="C431" s="1"/>
      <c r="D431" s="1"/>
      <c r="E431" s="1"/>
      <c r="F431" s="1"/>
      <c r="G431" s="14"/>
      <c r="H431" s="1"/>
      <c r="I431" s="19"/>
      <c r="J431" s="19"/>
      <c r="K431" s="13"/>
      <c r="L431" s="19"/>
      <c r="M431" s="13"/>
      <c r="N431" s="16"/>
      <c r="O431" s="16"/>
      <c r="P431" s="16"/>
      <c r="Q431" s="7"/>
    </row>
    <row r="432" spans="3:17" s="2" customFormat="1" ht="15.75" x14ac:dyDescent="0.25">
      <c r="C432" s="1"/>
      <c r="D432" s="1"/>
      <c r="E432" s="1"/>
      <c r="F432" s="1"/>
      <c r="G432" s="14"/>
      <c r="H432" s="1"/>
      <c r="I432" s="19"/>
      <c r="J432" s="19"/>
      <c r="K432" s="13"/>
      <c r="L432" s="19"/>
      <c r="M432" s="13"/>
      <c r="N432" s="16"/>
      <c r="O432" s="16"/>
      <c r="P432" s="16"/>
      <c r="Q432" s="7"/>
    </row>
    <row r="433" spans="3:17" s="2" customFormat="1" ht="15.75" x14ac:dyDescent="0.25">
      <c r="C433" s="1"/>
      <c r="D433" s="1"/>
      <c r="E433" s="1"/>
      <c r="F433" s="1"/>
      <c r="G433" s="14"/>
      <c r="H433" s="1"/>
      <c r="I433" s="19"/>
      <c r="J433" s="19"/>
      <c r="K433" s="13"/>
      <c r="L433" s="19"/>
      <c r="M433" s="13"/>
      <c r="N433" s="16"/>
      <c r="O433" s="16"/>
      <c r="P433" s="16"/>
      <c r="Q433" s="7"/>
    </row>
    <row r="434" spans="3:17" s="2" customFormat="1" ht="15.75" x14ac:dyDescent="0.25">
      <c r="C434" s="1"/>
      <c r="D434" s="1"/>
      <c r="E434" s="1"/>
      <c r="F434" s="1"/>
      <c r="G434" s="14"/>
      <c r="H434" s="1"/>
      <c r="I434" s="19"/>
      <c r="J434" s="19"/>
      <c r="K434" s="13"/>
      <c r="L434" s="19"/>
      <c r="M434" s="13"/>
      <c r="N434" s="16"/>
      <c r="O434" s="16"/>
      <c r="P434" s="16"/>
      <c r="Q434" s="7"/>
    </row>
    <row r="435" spans="3:17" s="2" customFormat="1" ht="15.75" x14ac:dyDescent="0.25">
      <c r="C435" s="1"/>
      <c r="D435" s="1"/>
      <c r="E435" s="1"/>
      <c r="F435" s="1"/>
      <c r="G435" s="14"/>
      <c r="H435" s="1"/>
      <c r="I435" s="19"/>
      <c r="J435" s="19"/>
      <c r="K435" s="13"/>
      <c r="L435" s="19"/>
      <c r="M435" s="13"/>
      <c r="N435" s="16"/>
      <c r="O435" s="16"/>
      <c r="P435" s="16"/>
      <c r="Q435" s="7"/>
    </row>
    <row r="436" spans="3:17" s="2" customFormat="1" ht="15.75" x14ac:dyDescent="0.25">
      <c r="C436" s="1"/>
      <c r="D436" s="1"/>
      <c r="E436" s="1"/>
      <c r="F436" s="1"/>
      <c r="G436" s="14"/>
      <c r="H436" s="1"/>
      <c r="I436" s="19"/>
      <c r="J436" s="19"/>
      <c r="K436" s="13"/>
      <c r="L436" s="19"/>
      <c r="M436" s="13"/>
      <c r="N436" s="16"/>
      <c r="O436" s="16"/>
      <c r="P436" s="16"/>
      <c r="Q436" s="7"/>
    </row>
    <row r="437" spans="3:17" s="2" customFormat="1" ht="15.75" x14ac:dyDescent="0.25">
      <c r="C437" s="1"/>
      <c r="D437" s="1"/>
      <c r="E437" s="1"/>
      <c r="F437" s="1"/>
      <c r="G437" s="14"/>
      <c r="H437" s="1"/>
      <c r="I437" s="19"/>
      <c r="J437" s="19"/>
      <c r="K437" s="13"/>
      <c r="L437" s="19"/>
      <c r="M437" s="13"/>
      <c r="N437" s="16"/>
      <c r="O437" s="16"/>
      <c r="P437" s="16"/>
      <c r="Q437" s="7"/>
    </row>
    <row r="438" spans="3:17" s="2" customFormat="1" ht="15.75" x14ac:dyDescent="0.25">
      <c r="C438" s="1"/>
      <c r="D438" s="1"/>
      <c r="E438" s="1"/>
      <c r="F438" s="1"/>
      <c r="G438" s="14"/>
      <c r="H438" s="1"/>
      <c r="I438" s="19"/>
      <c r="J438" s="19"/>
      <c r="K438" s="13"/>
      <c r="L438" s="19"/>
      <c r="M438" s="13"/>
      <c r="N438" s="16"/>
      <c r="O438" s="16"/>
      <c r="P438" s="16"/>
      <c r="Q438" s="7"/>
    </row>
    <row r="439" spans="3:17" s="2" customFormat="1" ht="15.75" x14ac:dyDescent="0.25">
      <c r="C439" s="1"/>
      <c r="D439" s="1"/>
      <c r="E439" s="1"/>
      <c r="F439" s="1"/>
      <c r="G439" s="14"/>
      <c r="H439" s="1"/>
      <c r="I439" s="19"/>
      <c r="J439" s="19"/>
      <c r="K439" s="13"/>
      <c r="L439" s="19"/>
      <c r="M439" s="13"/>
      <c r="N439" s="16"/>
      <c r="O439" s="16"/>
      <c r="P439" s="16"/>
      <c r="Q439" s="7"/>
    </row>
    <row r="440" spans="3:17" s="2" customFormat="1" ht="15.75" x14ac:dyDescent="0.25">
      <c r="C440" s="1"/>
      <c r="D440" s="1"/>
      <c r="E440" s="1"/>
      <c r="F440" s="1"/>
      <c r="G440" s="14"/>
      <c r="H440" s="1"/>
      <c r="I440" s="19"/>
      <c r="J440" s="19"/>
      <c r="K440" s="13"/>
      <c r="L440" s="19"/>
      <c r="M440" s="13"/>
      <c r="N440" s="16"/>
      <c r="O440" s="16"/>
      <c r="P440" s="16"/>
      <c r="Q440" s="7"/>
    </row>
    <row r="441" spans="3:17" s="2" customFormat="1" ht="15.75" x14ac:dyDescent="0.25">
      <c r="C441" s="1"/>
      <c r="D441" s="1"/>
      <c r="E441" s="1"/>
      <c r="F441" s="1"/>
      <c r="G441" s="14"/>
      <c r="H441" s="1"/>
      <c r="I441" s="19"/>
      <c r="J441" s="19"/>
      <c r="K441" s="13"/>
      <c r="L441" s="19"/>
      <c r="M441" s="13"/>
      <c r="N441" s="16"/>
      <c r="O441" s="16"/>
      <c r="P441" s="16"/>
      <c r="Q441" s="7"/>
    </row>
    <row r="442" spans="3:17" s="2" customFormat="1" ht="15.75" x14ac:dyDescent="0.25">
      <c r="C442" s="1"/>
      <c r="D442" s="1"/>
      <c r="E442" s="1"/>
      <c r="F442" s="1"/>
      <c r="G442" s="14"/>
      <c r="H442" s="1"/>
      <c r="I442" s="19"/>
      <c r="J442" s="19"/>
      <c r="K442" s="13"/>
      <c r="L442" s="19"/>
      <c r="M442" s="13"/>
      <c r="N442" s="16"/>
      <c r="O442" s="16"/>
      <c r="P442" s="16"/>
      <c r="Q442" s="7"/>
    </row>
    <row r="443" spans="3:17" s="2" customFormat="1" ht="15.75" x14ac:dyDescent="0.25">
      <c r="C443" s="1"/>
      <c r="D443" s="1"/>
      <c r="E443" s="1"/>
      <c r="F443" s="1"/>
      <c r="G443" s="14"/>
      <c r="H443" s="1"/>
      <c r="I443" s="19"/>
      <c r="J443" s="19"/>
      <c r="K443" s="13"/>
      <c r="L443" s="19"/>
      <c r="M443" s="13"/>
      <c r="N443" s="16"/>
      <c r="O443" s="16"/>
      <c r="P443" s="16"/>
      <c r="Q443" s="7"/>
    </row>
    <row r="444" spans="3:17" s="2" customFormat="1" ht="15.75" x14ac:dyDescent="0.25">
      <c r="C444" s="1"/>
      <c r="D444" s="1"/>
      <c r="E444" s="1"/>
      <c r="F444" s="1"/>
      <c r="G444" s="14"/>
      <c r="H444" s="1"/>
      <c r="I444" s="19"/>
      <c r="J444" s="19"/>
      <c r="K444" s="13"/>
      <c r="L444" s="19"/>
      <c r="M444" s="13"/>
      <c r="N444" s="16"/>
      <c r="O444" s="16"/>
      <c r="P444" s="16"/>
      <c r="Q444" s="7"/>
    </row>
    <row r="445" spans="3:17" s="2" customFormat="1" ht="15.75" x14ac:dyDescent="0.25">
      <c r="C445" s="1"/>
      <c r="D445" s="1"/>
      <c r="E445" s="1"/>
      <c r="F445" s="1"/>
      <c r="G445" s="14"/>
      <c r="H445" s="1"/>
      <c r="I445" s="19"/>
      <c r="J445" s="19"/>
      <c r="K445" s="13"/>
      <c r="L445" s="19"/>
      <c r="M445" s="13"/>
      <c r="N445" s="16"/>
      <c r="O445" s="16"/>
      <c r="P445" s="16"/>
      <c r="Q445" s="7"/>
    </row>
    <row r="446" spans="3:17" s="2" customFormat="1" ht="15.75" x14ac:dyDescent="0.25">
      <c r="C446" s="1"/>
      <c r="D446" s="1"/>
      <c r="E446" s="1"/>
      <c r="F446" s="1"/>
      <c r="G446" s="14"/>
      <c r="H446" s="1"/>
      <c r="I446" s="19"/>
      <c r="J446" s="19"/>
      <c r="K446" s="13"/>
      <c r="L446" s="19"/>
      <c r="M446" s="13"/>
      <c r="N446" s="16"/>
      <c r="O446" s="16"/>
      <c r="P446" s="16"/>
      <c r="Q446" s="7"/>
    </row>
    <row r="447" spans="3:17" s="2" customFormat="1" ht="15.75" x14ac:dyDescent="0.25">
      <c r="C447" s="1"/>
      <c r="D447" s="1"/>
      <c r="E447" s="1"/>
      <c r="F447" s="1"/>
      <c r="G447" s="14"/>
      <c r="H447" s="1"/>
      <c r="I447" s="19"/>
      <c r="J447" s="19"/>
      <c r="K447" s="13"/>
      <c r="L447" s="19"/>
      <c r="M447" s="13"/>
      <c r="N447" s="16"/>
      <c r="O447" s="16"/>
      <c r="P447" s="16"/>
      <c r="Q447" s="7"/>
    </row>
    <row r="448" spans="3:17" s="2" customFormat="1" ht="15.75" x14ac:dyDescent="0.25">
      <c r="C448" s="1"/>
      <c r="D448" s="1"/>
      <c r="E448" s="1"/>
      <c r="F448" s="1"/>
      <c r="G448" s="14"/>
      <c r="H448" s="1"/>
      <c r="I448" s="19"/>
      <c r="J448" s="19"/>
      <c r="K448" s="13"/>
      <c r="L448" s="19"/>
      <c r="M448" s="13"/>
      <c r="N448" s="16"/>
      <c r="O448" s="16"/>
      <c r="P448" s="16"/>
      <c r="Q448" s="7"/>
    </row>
    <row r="449" spans="3:17" s="2" customFormat="1" ht="15.75" x14ac:dyDescent="0.25">
      <c r="C449" s="1"/>
      <c r="D449" s="1"/>
      <c r="E449" s="1"/>
      <c r="F449" s="1"/>
      <c r="G449" s="14"/>
      <c r="H449" s="1"/>
      <c r="I449" s="19"/>
      <c r="J449" s="19"/>
      <c r="K449" s="13"/>
      <c r="L449" s="19"/>
      <c r="M449" s="13"/>
      <c r="N449" s="16"/>
      <c r="O449" s="16"/>
      <c r="P449" s="16"/>
      <c r="Q449" s="7"/>
    </row>
    <row r="450" spans="3:17" s="2" customFormat="1" ht="15.75" x14ac:dyDescent="0.25">
      <c r="C450" s="1"/>
      <c r="D450" s="1"/>
      <c r="E450" s="1"/>
      <c r="F450" s="1"/>
      <c r="G450" s="14"/>
      <c r="H450" s="1"/>
      <c r="I450" s="19"/>
      <c r="J450" s="19"/>
      <c r="K450" s="13"/>
      <c r="L450" s="19"/>
      <c r="M450" s="13"/>
      <c r="N450" s="16"/>
      <c r="O450" s="16"/>
      <c r="P450" s="16"/>
      <c r="Q450" s="7"/>
    </row>
    <row r="451" spans="3:17" s="2" customFormat="1" ht="15.75" x14ac:dyDescent="0.25">
      <c r="C451" s="1"/>
      <c r="D451" s="1"/>
      <c r="E451" s="1"/>
      <c r="F451" s="1"/>
      <c r="G451" s="14"/>
      <c r="H451" s="1"/>
      <c r="I451" s="19"/>
      <c r="J451" s="19"/>
      <c r="K451" s="13"/>
      <c r="L451" s="19"/>
      <c r="M451" s="13"/>
      <c r="N451" s="16"/>
      <c r="O451" s="16"/>
      <c r="P451" s="16"/>
      <c r="Q451" s="7"/>
    </row>
    <row r="452" spans="3:17" s="2" customFormat="1" ht="15.75" x14ac:dyDescent="0.25">
      <c r="C452" s="1"/>
      <c r="D452" s="1"/>
      <c r="E452" s="1"/>
      <c r="F452" s="1"/>
      <c r="G452" s="14"/>
      <c r="H452" s="1"/>
      <c r="I452" s="19"/>
      <c r="J452" s="19"/>
      <c r="K452" s="13"/>
      <c r="L452" s="19"/>
      <c r="M452" s="13"/>
      <c r="N452" s="16"/>
      <c r="O452" s="16"/>
      <c r="P452" s="16"/>
      <c r="Q452" s="7"/>
    </row>
    <row r="453" spans="3:17" s="2" customFormat="1" ht="15.75" x14ac:dyDescent="0.25">
      <c r="C453" s="1"/>
      <c r="D453" s="1"/>
      <c r="E453" s="1"/>
      <c r="F453" s="1"/>
      <c r="G453" s="14"/>
      <c r="H453" s="1"/>
      <c r="I453" s="19"/>
      <c r="J453" s="19"/>
      <c r="K453" s="13"/>
      <c r="L453" s="19"/>
      <c r="M453" s="13"/>
      <c r="N453" s="16"/>
      <c r="O453" s="16"/>
      <c r="P453" s="16"/>
      <c r="Q453" s="7"/>
    </row>
    <row r="454" spans="3:17" s="2" customFormat="1" ht="15.75" x14ac:dyDescent="0.25">
      <c r="C454" s="1"/>
      <c r="D454" s="1"/>
      <c r="E454" s="1"/>
      <c r="F454" s="1"/>
      <c r="G454" s="14"/>
      <c r="H454" s="1"/>
      <c r="I454" s="19"/>
      <c r="J454" s="19"/>
      <c r="K454" s="13"/>
      <c r="L454" s="19"/>
      <c r="M454" s="13"/>
      <c r="N454" s="16"/>
      <c r="O454" s="16"/>
      <c r="P454" s="16"/>
      <c r="Q454" s="7"/>
    </row>
    <row r="455" spans="3:17" s="2" customFormat="1" ht="15.75" x14ac:dyDescent="0.25">
      <c r="C455" s="1"/>
      <c r="D455" s="1"/>
      <c r="E455" s="1"/>
      <c r="F455" s="1"/>
      <c r="G455" s="14"/>
      <c r="H455" s="1"/>
      <c r="I455" s="19"/>
      <c r="J455" s="19"/>
      <c r="K455" s="13"/>
      <c r="L455" s="19"/>
      <c r="M455" s="13"/>
      <c r="N455" s="16"/>
      <c r="O455" s="16"/>
      <c r="P455" s="16"/>
      <c r="Q455" s="7"/>
    </row>
    <row r="456" spans="3:17" s="2" customFormat="1" ht="15.75" x14ac:dyDescent="0.25">
      <c r="C456" s="1"/>
      <c r="D456" s="1"/>
      <c r="E456" s="1"/>
      <c r="F456" s="1"/>
      <c r="G456" s="14"/>
      <c r="H456" s="1"/>
      <c r="I456" s="19"/>
      <c r="J456" s="19"/>
      <c r="K456" s="13"/>
      <c r="L456" s="19"/>
      <c r="M456" s="13"/>
      <c r="N456" s="16"/>
      <c r="O456" s="16"/>
      <c r="P456" s="16"/>
      <c r="Q456" s="7"/>
    </row>
    <row r="457" spans="3:17" s="2" customFormat="1" ht="15.75" x14ac:dyDescent="0.25">
      <c r="C457" s="1"/>
      <c r="D457" s="1"/>
      <c r="E457" s="1"/>
      <c r="F457" s="1"/>
      <c r="G457" s="14"/>
      <c r="H457" s="1"/>
      <c r="I457" s="19"/>
      <c r="J457" s="19"/>
      <c r="K457" s="13"/>
      <c r="L457" s="19"/>
      <c r="M457" s="13"/>
      <c r="N457" s="16"/>
      <c r="O457" s="16"/>
      <c r="P457" s="16"/>
      <c r="Q457" s="7"/>
    </row>
    <row r="458" spans="3:17" s="2" customFormat="1" ht="15.75" x14ac:dyDescent="0.25">
      <c r="C458" s="1"/>
      <c r="D458" s="1"/>
      <c r="E458" s="1"/>
      <c r="F458" s="1"/>
      <c r="G458" s="14"/>
      <c r="H458" s="1"/>
      <c r="I458" s="19"/>
      <c r="J458" s="19"/>
      <c r="K458" s="13"/>
      <c r="L458" s="19"/>
      <c r="M458" s="13"/>
      <c r="N458" s="16"/>
      <c r="O458" s="16"/>
      <c r="P458" s="16"/>
      <c r="Q458" s="7"/>
    </row>
    <row r="459" spans="3:17" s="2" customFormat="1" ht="15.75" x14ac:dyDescent="0.25">
      <c r="C459" s="1"/>
      <c r="D459" s="1"/>
      <c r="E459" s="1"/>
      <c r="F459" s="1"/>
      <c r="G459" s="14"/>
      <c r="H459" s="1"/>
      <c r="I459" s="19"/>
      <c r="J459" s="19"/>
      <c r="K459" s="13"/>
      <c r="L459" s="19"/>
      <c r="M459" s="13"/>
      <c r="N459" s="16"/>
      <c r="O459" s="16"/>
      <c r="P459" s="16"/>
      <c r="Q459" s="7"/>
    </row>
    <row r="460" spans="3:17" s="2" customFormat="1" ht="15.75" x14ac:dyDescent="0.25">
      <c r="C460" s="1"/>
      <c r="D460" s="1"/>
      <c r="E460" s="1"/>
      <c r="F460" s="1"/>
      <c r="G460" s="14"/>
      <c r="H460" s="1"/>
      <c r="I460" s="19"/>
      <c r="J460" s="19"/>
      <c r="K460" s="13"/>
      <c r="L460" s="19"/>
      <c r="M460" s="13"/>
      <c r="N460" s="16"/>
      <c r="O460" s="16"/>
      <c r="P460" s="16"/>
      <c r="Q460" s="7"/>
    </row>
    <row r="461" spans="3:17" s="2" customFormat="1" ht="15.75" x14ac:dyDescent="0.25">
      <c r="C461" s="1"/>
      <c r="D461" s="1"/>
      <c r="E461" s="1"/>
      <c r="F461" s="1"/>
      <c r="G461" s="14"/>
      <c r="H461" s="1"/>
      <c r="I461" s="19"/>
      <c r="J461" s="19"/>
      <c r="K461" s="13"/>
      <c r="L461" s="19"/>
      <c r="M461" s="13"/>
      <c r="N461" s="16"/>
      <c r="O461" s="16"/>
      <c r="P461" s="16"/>
      <c r="Q461" s="7"/>
    </row>
    <row r="462" spans="3:17" s="2" customFormat="1" ht="15.75" x14ac:dyDescent="0.25">
      <c r="C462" s="1"/>
      <c r="D462" s="1"/>
      <c r="E462" s="1"/>
      <c r="F462" s="1"/>
      <c r="G462" s="14"/>
      <c r="H462" s="1"/>
      <c r="I462" s="19"/>
      <c r="J462" s="19"/>
      <c r="K462" s="13"/>
      <c r="L462" s="19"/>
      <c r="M462" s="13"/>
      <c r="N462" s="16"/>
      <c r="O462" s="16"/>
      <c r="P462" s="16"/>
      <c r="Q462" s="7"/>
    </row>
    <row r="463" spans="3:17" s="2" customFormat="1" ht="15.75" x14ac:dyDescent="0.25">
      <c r="C463" s="1"/>
      <c r="D463" s="1"/>
      <c r="E463" s="1"/>
      <c r="F463" s="1"/>
      <c r="G463" s="14"/>
      <c r="H463" s="1"/>
      <c r="I463" s="19"/>
      <c r="J463" s="19"/>
      <c r="K463" s="13"/>
      <c r="L463" s="19"/>
      <c r="M463" s="13"/>
      <c r="N463" s="16"/>
      <c r="O463" s="16"/>
      <c r="P463" s="16"/>
      <c r="Q463" s="7"/>
    </row>
    <row r="464" spans="3:17" s="2" customFormat="1" ht="15.75" x14ac:dyDescent="0.25">
      <c r="C464" s="1"/>
      <c r="D464" s="1"/>
      <c r="E464" s="1"/>
      <c r="F464" s="1"/>
      <c r="G464" s="14"/>
      <c r="H464" s="1"/>
      <c r="I464" s="19"/>
      <c r="J464" s="19"/>
      <c r="K464" s="13"/>
      <c r="L464" s="19"/>
      <c r="M464" s="13"/>
      <c r="N464" s="16"/>
      <c r="O464" s="16"/>
      <c r="P464" s="16"/>
      <c r="Q464" s="7"/>
    </row>
    <row r="465" spans="3:17" s="2" customFormat="1" ht="15.75" x14ac:dyDescent="0.25">
      <c r="C465" s="1"/>
      <c r="D465" s="1"/>
      <c r="E465" s="1"/>
      <c r="F465" s="1"/>
      <c r="G465" s="14"/>
      <c r="H465" s="1"/>
      <c r="I465" s="19"/>
      <c r="J465" s="19"/>
      <c r="K465" s="13"/>
      <c r="L465" s="19"/>
      <c r="M465" s="13"/>
      <c r="N465" s="16"/>
      <c r="O465" s="16"/>
      <c r="P465" s="16"/>
      <c r="Q465" s="7"/>
    </row>
    <row r="466" spans="3:17" s="2" customFormat="1" ht="15.75" x14ac:dyDescent="0.25">
      <c r="C466" s="1"/>
      <c r="D466" s="1"/>
      <c r="E466" s="1"/>
      <c r="F466" s="1"/>
      <c r="G466" s="14"/>
      <c r="H466" s="1"/>
      <c r="I466" s="19"/>
      <c r="J466" s="19"/>
      <c r="K466" s="13"/>
      <c r="L466" s="19"/>
      <c r="M466" s="13"/>
      <c r="N466" s="16"/>
      <c r="O466" s="16"/>
      <c r="P466" s="16"/>
      <c r="Q466" s="7"/>
    </row>
    <row r="467" spans="3:17" s="2" customFormat="1" ht="15.75" x14ac:dyDescent="0.25">
      <c r="C467" s="1"/>
      <c r="D467" s="1"/>
      <c r="E467" s="1"/>
      <c r="F467" s="1"/>
      <c r="G467" s="14"/>
      <c r="H467" s="1"/>
      <c r="I467" s="19"/>
      <c r="J467" s="19"/>
      <c r="K467" s="13"/>
      <c r="L467" s="19"/>
      <c r="M467" s="13"/>
      <c r="N467" s="16"/>
      <c r="O467" s="16"/>
      <c r="P467" s="16"/>
      <c r="Q467" s="7"/>
    </row>
    <row r="468" spans="3:17" s="2" customFormat="1" ht="15.75" x14ac:dyDescent="0.25">
      <c r="C468" s="1"/>
      <c r="D468" s="1"/>
      <c r="E468" s="1"/>
      <c r="F468" s="1"/>
      <c r="G468" s="14"/>
      <c r="H468" s="1"/>
      <c r="I468" s="19"/>
      <c r="J468" s="19"/>
      <c r="K468" s="13"/>
      <c r="L468" s="19"/>
      <c r="M468" s="13"/>
      <c r="N468" s="16"/>
      <c r="O468" s="16"/>
      <c r="P468" s="16"/>
      <c r="Q468" s="7"/>
    </row>
    <row r="469" spans="3:17" s="2" customFormat="1" ht="15.75" x14ac:dyDescent="0.25">
      <c r="C469" s="1"/>
      <c r="D469" s="1"/>
      <c r="E469" s="1"/>
      <c r="F469" s="1"/>
      <c r="G469" s="14"/>
      <c r="H469" s="1"/>
      <c r="I469" s="19"/>
      <c r="J469" s="19"/>
      <c r="K469" s="13"/>
      <c r="L469" s="19"/>
      <c r="M469" s="13"/>
      <c r="N469" s="16"/>
      <c r="O469" s="16"/>
      <c r="P469" s="16"/>
      <c r="Q469" s="7"/>
    </row>
    <row r="470" spans="3:17" s="2" customFormat="1" ht="15.75" x14ac:dyDescent="0.25">
      <c r="C470" s="1"/>
      <c r="D470" s="1"/>
      <c r="E470" s="1"/>
      <c r="F470" s="1"/>
      <c r="G470" s="14"/>
      <c r="H470" s="1"/>
      <c r="I470" s="19"/>
      <c r="J470" s="19"/>
      <c r="K470" s="13"/>
      <c r="L470" s="19"/>
      <c r="M470" s="13"/>
      <c r="N470" s="16"/>
      <c r="O470" s="16"/>
      <c r="P470" s="16"/>
      <c r="Q470" s="7"/>
    </row>
    <row r="471" spans="3:17" s="2" customFormat="1" ht="15.75" x14ac:dyDescent="0.25">
      <c r="C471" s="1"/>
      <c r="D471" s="1"/>
      <c r="E471" s="1"/>
      <c r="F471" s="1"/>
      <c r="G471" s="14"/>
      <c r="H471" s="1"/>
      <c r="I471" s="19"/>
      <c r="J471" s="19"/>
      <c r="K471" s="13"/>
      <c r="L471" s="19"/>
      <c r="M471" s="13"/>
      <c r="N471" s="16"/>
      <c r="O471" s="16"/>
      <c r="P471" s="16"/>
      <c r="Q471" s="7"/>
    </row>
    <row r="472" spans="3:17" s="2" customFormat="1" ht="15.75" x14ac:dyDescent="0.25">
      <c r="C472" s="1"/>
      <c r="D472" s="1"/>
      <c r="E472" s="1"/>
      <c r="F472" s="1"/>
      <c r="G472" s="14"/>
      <c r="H472" s="1"/>
      <c r="I472" s="19"/>
      <c r="J472" s="19"/>
      <c r="K472" s="13"/>
      <c r="L472" s="19"/>
      <c r="M472" s="13"/>
      <c r="N472" s="16"/>
      <c r="O472" s="16"/>
      <c r="P472" s="16"/>
      <c r="Q472" s="7"/>
    </row>
    <row r="473" spans="3:17" s="2" customFormat="1" ht="15.75" x14ac:dyDescent="0.25">
      <c r="C473" s="1"/>
      <c r="D473" s="1"/>
      <c r="E473" s="1"/>
      <c r="F473" s="1"/>
      <c r="G473" s="14"/>
      <c r="H473" s="1"/>
      <c r="I473" s="19"/>
      <c r="J473" s="19"/>
      <c r="K473" s="13"/>
      <c r="L473" s="19"/>
      <c r="M473" s="13"/>
      <c r="N473" s="16"/>
      <c r="O473" s="16"/>
      <c r="P473" s="16"/>
      <c r="Q473" s="7"/>
    </row>
    <row r="474" spans="3:17" s="2" customFormat="1" ht="15.75" x14ac:dyDescent="0.25">
      <c r="C474" s="1"/>
      <c r="D474" s="1"/>
      <c r="E474" s="1"/>
      <c r="F474" s="1"/>
      <c r="G474" s="14"/>
      <c r="H474" s="1"/>
      <c r="I474" s="19"/>
      <c r="J474" s="19"/>
      <c r="K474" s="13"/>
      <c r="L474" s="19"/>
      <c r="M474" s="13"/>
      <c r="N474" s="16"/>
      <c r="O474" s="16"/>
      <c r="P474" s="16"/>
      <c r="Q474" s="7"/>
    </row>
    <row r="475" spans="3:17" s="2" customFormat="1" ht="15.75" x14ac:dyDescent="0.25">
      <c r="C475" s="1"/>
      <c r="D475" s="1"/>
      <c r="E475" s="1"/>
      <c r="F475" s="1"/>
      <c r="G475" s="14"/>
      <c r="H475" s="1"/>
      <c r="I475" s="19"/>
      <c r="J475" s="19"/>
      <c r="K475" s="13"/>
      <c r="L475" s="19"/>
      <c r="M475" s="13"/>
      <c r="N475" s="16"/>
      <c r="O475" s="16"/>
      <c r="P475" s="16"/>
      <c r="Q475" s="7"/>
    </row>
    <row r="476" spans="3:17" s="2" customFormat="1" ht="15.75" x14ac:dyDescent="0.25">
      <c r="C476" s="1"/>
      <c r="D476" s="1"/>
      <c r="E476" s="1"/>
      <c r="F476" s="1"/>
      <c r="G476" s="14"/>
      <c r="H476" s="1"/>
      <c r="I476" s="19"/>
      <c r="J476" s="19"/>
      <c r="K476" s="13"/>
      <c r="L476" s="19"/>
      <c r="M476" s="13"/>
      <c r="N476" s="16"/>
      <c r="O476" s="16"/>
      <c r="P476" s="16"/>
      <c r="Q476" s="7"/>
    </row>
    <row r="477" spans="3:17" s="2" customFormat="1" ht="15.75" x14ac:dyDescent="0.25">
      <c r="C477" s="1"/>
      <c r="D477" s="1"/>
      <c r="E477" s="1"/>
      <c r="F477" s="1"/>
      <c r="G477" s="14"/>
      <c r="H477" s="1"/>
      <c r="I477" s="19"/>
      <c r="J477" s="19"/>
      <c r="K477" s="13"/>
      <c r="L477" s="19"/>
      <c r="M477" s="13"/>
      <c r="N477" s="16"/>
      <c r="O477" s="16"/>
      <c r="P477" s="16"/>
      <c r="Q477" s="7"/>
    </row>
    <row r="478" spans="3:17" s="2" customFormat="1" ht="15.75" x14ac:dyDescent="0.25">
      <c r="C478" s="1"/>
      <c r="D478" s="1"/>
      <c r="E478" s="1"/>
      <c r="F478" s="1"/>
      <c r="G478" s="14"/>
      <c r="H478" s="1"/>
      <c r="I478" s="19"/>
      <c r="J478" s="19"/>
      <c r="K478" s="13"/>
      <c r="L478" s="19"/>
      <c r="M478" s="13"/>
      <c r="N478" s="16"/>
      <c r="O478" s="16"/>
      <c r="P478" s="16"/>
      <c r="Q478" s="7"/>
    </row>
    <row r="479" spans="3:17" s="2" customFormat="1" ht="15.75" x14ac:dyDescent="0.25">
      <c r="C479" s="1"/>
      <c r="D479" s="1"/>
      <c r="E479" s="1"/>
      <c r="F479" s="1"/>
      <c r="G479" s="14"/>
      <c r="H479" s="1"/>
      <c r="I479" s="19"/>
      <c r="J479" s="19"/>
      <c r="K479" s="13"/>
      <c r="L479" s="19"/>
      <c r="M479" s="13"/>
      <c r="N479" s="16"/>
      <c r="O479" s="16"/>
      <c r="P479" s="16"/>
      <c r="Q479" s="7"/>
    </row>
    <row r="480" spans="3:17" s="2" customFormat="1" ht="15.75" x14ac:dyDescent="0.25">
      <c r="C480" s="1"/>
      <c r="D480" s="1"/>
      <c r="E480" s="1"/>
      <c r="F480" s="1"/>
      <c r="G480" s="14"/>
      <c r="H480" s="1"/>
      <c r="I480" s="19"/>
      <c r="J480" s="19"/>
      <c r="K480" s="13"/>
      <c r="L480" s="19"/>
      <c r="M480" s="13"/>
      <c r="N480" s="16"/>
      <c r="O480" s="16"/>
      <c r="P480" s="16"/>
      <c r="Q480" s="7"/>
    </row>
    <row r="481" spans="3:17" s="2" customFormat="1" ht="15.75" x14ac:dyDescent="0.25">
      <c r="C481" s="1"/>
      <c r="D481" s="1"/>
      <c r="E481" s="1"/>
      <c r="F481" s="1"/>
      <c r="G481" s="14"/>
      <c r="H481" s="1"/>
      <c r="I481" s="19"/>
      <c r="J481" s="19"/>
      <c r="K481" s="13"/>
      <c r="L481" s="19"/>
      <c r="M481" s="13"/>
      <c r="N481" s="16"/>
      <c r="O481" s="16"/>
      <c r="P481" s="16"/>
      <c r="Q481" s="7"/>
    </row>
    <row r="482" spans="3:17" s="2" customFormat="1" ht="15.75" x14ac:dyDescent="0.25">
      <c r="C482" s="1"/>
      <c r="D482" s="1"/>
      <c r="E482" s="1"/>
      <c r="F482" s="1"/>
      <c r="G482" s="14"/>
      <c r="H482" s="1"/>
      <c r="I482" s="19"/>
      <c r="J482" s="19"/>
      <c r="K482" s="13"/>
      <c r="L482" s="19"/>
      <c r="M482" s="13"/>
      <c r="N482" s="16"/>
      <c r="O482" s="16"/>
      <c r="P482" s="16"/>
      <c r="Q482" s="7"/>
    </row>
    <row r="483" spans="3:17" s="2" customFormat="1" ht="15.75" x14ac:dyDescent="0.25">
      <c r="C483" s="1"/>
      <c r="D483" s="1"/>
      <c r="E483" s="1"/>
      <c r="F483" s="1"/>
      <c r="G483" s="14"/>
      <c r="H483" s="1"/>
      <c r="I483" s="19"/>
      <c r="J483" s="19"/>
      <c r="K483" s="13"/>
      <c r="L483" s="19"/>
      <c r="M483" s="13"/>
      <c r="N483" s="16"/>
      <c r="O483" s="16"/>
      <c r="P483" s="16"/>
      <c r="Q483" s="7"/>
    </row>
    <row r="484" spans="3:17" s="2" customFormat="1" ht="15.75" x14ac:dyDescent="0.25">
      <c r="C484" s="1"/>
      <c r="D484" s="1"/>
      <c r="E484" s="1"/>
      <c r="F484" s="1"/>
      <c r="G484" s="14"/>
      <c r="H484" s="1"/>
      <c r="I484" s="19"/>
      <c r="J484" s="19"/>
      <c r="K484" s="13"/>
      <c r="L484" s="19"/>
      <c r="M484" s="13"/>
      <c r="N484" s="16"/>
      <c r="O484" s="16"/>
      <c r="P484" s="16"/>
      <c r="Q484" s="7"/>
    </row>
    <row r="485" spans="3:17" s="2" customFormat="1" ht="15.75" x14ac:dyDescent="0.25">
      <c r="C485" s="1"/>
      <c r="D485" s="1"/>
      <c r="E485" s="1"/>
      <c r="F485" s="1"/>
      <c r="G485" s="14"/>
      <c r="H485" s="1"/>
      <c r="I485" s="19"/>
      <c r="J485" s="19"/>
      <c r="K485" s="13"/>
      <c r="L485" s="19"/>
      <c r="M485" s="13"/>
      <c r="N485" s="16"/>
      <c r="O485" s="16"/>
      <c r="P485" s="16"/>
      <c r="Q485" s="7"/>
    </row>
    <row r="486" spans="3:17" s="2" customFormat="1" ht="15.75" x14ac:dyDescent="0.25">
      <c r="C486" s="1"/>
      <c r="D486" s="1"/>
      <c r="E486" s="1"/>
      <c r="F486" s="1"/>
      <c r="G486" s="14"/>
      <c r="H486" s="1"/>
      <c r="I486" s="19"/>
      <c r="J486" s="19"/>
      <c r="K486" s="13"/>
      <c r="L486" s="19"/>
      <c r="M486" s="13"/>
      <c r="N486" s="16"/>
      <c r="O486" s="16"/>
      <c r="P486" s="16"/>
      <c r="Q486" s="7"/>
    </row>
    <row r="487" spans="3:17" s="2" customFormat="1" ht="15.75" x14ac:dyDescent="0.25">
      <c r="C487" s="1"/>
      <c r="D487" s="1"/>
      <c r="E487" s="1"/>
      <c r="F487" s="1"/>
      <c r="G487" s="14"/>
      <c r="H487" s="1"/>
      <c r="I487" s="19"/>
      <c r="J487" s="19"/>
      <c r="K487" s="13"/>
      <c r="L487" s="19"/>
      <c r="M487" s="13"/>
      <c r="N487" s="16"/>
      <c r="O487" s="16"/>
      <c r="P487" s="16"/>
      <c r="Q487" s="7"/>
    </row>
    <row r="488" spans="3:17" s="2" customFormat="1" ht="15.75" x14ac:dyDescent="0.25">
      <c r="C488" s="1"/>
      <c r="D488" s="1"/>
      <c r="E488" s="1"/>
      <c r="F488" s="1"/>
      <c r="G488" s="14"/>
      <c r="H488" s="1"/>
      <c r="I488" s="19"/>
      <c r="J488" s="19"/>
      <c r="K488" s="13"/>
      <c r="L488" s="19"/>
      <c r="M488" s="13"/>
      <c r="N488" s="16"/>
      <c r="O488" s="16"/>
      <c r="P488" s="16"/>
      <c r="Q488" s="7"/>
    </row>
    <row r="489" spans="3:17" s="2" customFormat="1" ht="15.75" x14ac:dyDescent="0.25">
      <c r="C489" s="1"/>
      <c r="D489" s="1"/>
      <c r="E489" s="1"/>
      <c r="F489" s="1"/>
      <c r="G489" s="14"/>
      <c r="H489" s="1"/>
      <c r="I489" s="19"/>
      <c r="J489" s="19"/>
      <c r="K489" s="13"/>
      <c r="L489" s="19"/>
      <c r="M489" s="13"/>
      <c r="N489" s="16"/>
      <c r="O489" s="16"/>
      <c r="P489" s="16"/>
      <c r="Q489" s="7"/>
    </row>
    <row r="490" spans="3:17" s="2" customFormat="1" ht="15.75" x14ac:dyDescent="0.25">
      <c r="C490" s="1"/>
      <c r="D490" s="1"/>
      <c r="E490" s="1"/>
      <c r="F490" s="1"/>
      <c r="G490" s="14"/>
      <c r="H490" s="1"/>
      <c r="I490" s="19"/>
      <c r="J490" s="19"/>
      <c r="K490" s="13"/>
      <c r="L490" s="19"/>
      <c r="M490" s="13"/>
      <c r="N490" s="16"/>
      <c r="O490" s="16"/>
      <c r="P490" s="16"/>
      <c r="Q490" s="7"/>
    </row>
    <row r="491" spans="3:17" s="2" customFormat="1" ht="15.75" x14ac:dyDescent="0.25">
      <c r="C491" s="1"/>
      <c r="D491" s="1"/>
      <c r="E491" s="1"/>
      <c r="F491" s="1"/>
      <c r="G491" s="14"/>
      <c r="H491" s="1"/>
      <c r="I491" s="19"/>
      <c r="J491" s="19"/>
      <c r="K491" s="13"/>
      <c r="L491" s="19"/>
      <c r="M491" s="13"/>
      <c r="N491" s="16"/>
      <c r="O491" s="16"/>
      <c r="P491" s="16"/>
      <c r="Q491" s="7"/>
    </row>
    <row r="492" spans="3:17" s="2" customFormat="1" ht="15.75" x14ac:dyDescent="0.25">
      <c r="C492" s="1"/>
      <c r="D492" s="1"/>
      <c r="E492" s="1"/>
      <c r="F492" s="1"/>
      <c r="G492" s="14"/>
      <c r="H492" s="1"/>
      <c r="I492" s="19"/>
      <c r="J492" s="19"/>
      <c r="K492" s="13"/>
      <c r="L492" s="19"/>
      <c r="M492" s="13"/>
      <c r="N492" s="16"/>
      <c r="O492" s="16"/>
      <c r="P492" s="16"/>
      <c r="Q492" s="7"/>
    </row>
    <row r="493" spans="3:17" s="2" customFormat="1" ht="15.75" x14ac:dyDescent="0.25">
      <c r="C493" s="1"/>
      <c r="D493" s="1"/>
      <c r="E493" s="1"/>
      <c r="F493" s="1"/>
      <c r="G493" s="14"/>
      <c r="H493" s="1"/>
      <c r="I493" s="19"/>
      <c r="J493" s="19"/>
      <c r="K493" s="13"/>
      <c r="L493" s="19"/>
      <c r="M493" s="13"/>
      <c r="N493" s="16"/>
      <c r="O493" s="16"/>
      <c r="P493" s="16"/>
      <c r="Q493" s="7"/>
    </row>
    <row r="494" spans="3:17" s="2" customFormat="1" ht="15.75" x14ac:dyDescent="0.25">
      <c r="C494" s="1"/>
      <c r="D494" s="1"/>
      <c r="E494" s="1"/>
      <c r="F494" s="1"/>
      <c r="G494" s="14"/>
      <c r="H494" s="1"/>
      <c r="I494" s="19"/>
      <c r="J494" s="19"/>
      <c r="K494" s="13"/>
      <c r="L494" s="19"/>
      <c r="M494" s="13"/>
      <c r="N494" s="16"/>
      <c r="O494" s="16"/>
      <c r="P494" s="16"/>
      <c r="Q494" s="7"/>
    </row>
    <row r="495" spans="3:17" s="2" customFormat="1" ht="15.75" x14ac:dyDescent="0.25">
      <c r="C495" s="1"/>
      <c r="D495" s="1"/>
      <c r="E495" s="1"/>
      <c r="F495" s="1"/>
      <c r="G495" s="14"/>
      <c r="H495" s="1"/>
      <c r="I495" s="19"/>
      <c r="J495" s="19"/>
      <c r="K495" s="13"/>
      <c r="L495" s="19"/>
      <c r="M495" s="13"/>
      <c r="N495" s="16"/>
      <c r="O495" s="16"/>
      <c r="P495" s="16"/>
      <c r="Q495" s="7"/>
    </row>
    <row r="496" spans="3:17" s="2" customFormat="1" ht="15.75" x14ac:dyDescent="0.25">
      <c r="C496" s="1"/>
      <c r="D496" s="1"/>
      <c r="E496" s="1"/>
      <c r="F496" s="1"/>
      <c r="G496" s="14"/>
      <c r="H496" s="1"/>
      <c r="I496" s="19"/>
      <c r="J496" s="19"/>
      <c r="K496" s="13"/>
      <c r="L496" s="19"/>
      <c r="M496" s="13"/>
      <c r="N496" s="16"/>
      <c r="O496" s="16"/>
      <c r="P496" s="16"/>
      <c r="Q496" s="7"/>
    </row>
    <row r="497" spans="3:17" s="2" customFormat="1" ht="15.75" x14ac:dyDescent="0.25">
      <c r="C497" s="1"/>
      <c r="D497" s="1"/>
      <c r="E497" s="1"/>
      <c r="F497" s="1"/>
      <c r="G497" s="14"/>
      <c r="H497" s="1"/>
      <c r="I497" s="19"/>
      <c r="J497" s="19"/>
      <c r="K497" s="13"/>
      <c r="L497" s="19"/>
      <c r="M497" s="13"/>
      <c r="N497" s="16"/>
      <c r="O497" s="16"/>
      <c r="P497" s="16"/>
      <c r="Q497" s="7"/>
    </row>
    <row r="498" spans="3:17" s="2" customFormat="1" ht="15.75" x14ac:dyDescent="0.25">
      <c r="C498" s="1"/>
      <c r="D498" s="1"/>
      <c r="E498" s="1"/>
      <c r="F498" s="1"/>
      <c r="G498" s="14"/>
      <c r="H498" s="1"/>
      <c r="I498" s="19"/>
      <c r="J498" s="19"/>
      <c r="K498" s="13"/>
      <c r="L498" s="19"/>
      <c r="M498" s="13"/>
      <c r="N498" s="16"/>
      <c r="O498" s="16"/>
      <c r="P498" s="16"/>
      <c r="Q498" s="7"/>
    </row>
    <row r="499" spans="3:17" s="2" customFormat="1" ht="15.75" x14ac:dyDescent="0.25">
      <c r="C499" s="1"/>
      <c r="D499" s="1"/>
      <c r="E499" s="1"/>
      <c r="F499" s="1"/>
      <c r="G499" s="14"/>
      <c r="H499" s="1"/>
      <c r="I499" s="19"/>
      <c r="J499" s="19"/>
      <c r="K499" s="13"/>
      <c r="L499" s="19"/>
      <c r="M499" s="13"/>
      <c r="N499" s="16"/>
      <c r="O499" s="16"/>
      <c r="P499" s="16"/>
      <c r="Q499" s="7"/>
    </row>
    <row r="500" spans="3:17" s="2" customFormat="1" ht="15.75" x14ac:dyDescent="0.25">
      <c r="C500" s="1"/>
      <c r="D500" s="1"/>
      <c r="E500" s="1"/>
      <c r="F500" s="1"/>
      <c r="G500" s="14"/>
      <c r="H500" s="1"/>
      <c r="I500" s="19"/>
      <c r="J500" s="19"/>
      <c r="K500" s="13"/>
      <c r="L500" s="19"/>
      <c r="M500" s="13"/>
      <c r="N500" s="16"/>
      <c r="O500" s="16"/>
      <c r="P500" s="16"/>
      <c r="Q500" s="7"/>
    </row>
    <row r="501" spans="3:17" s="2" customFormat="1" ht="15.75" x14ac:dyDescent="0.25">
      <c r="C501" s="1"/>
      <c r="D501" s="1"/>
      <c r="E501" s="1"/>
      <c r="F501" s="1"/>
      <c r="G501" s="14"/>
      <c r="H501" s="1"/>
      <c r="I501" s="19"/>
      <c r="J501" s="19"/>
      <c r="K501" s="13"/>
      <c r="L501" s="19"/>
      <c r="M501" s="13"/>
      <c r="N501" s="16"/>
      <c r="O501" s="16"/>
      <c r="P501" s="16"/>
      <c r="Q501" s="7"/>
    </row>
    <row r="502" spans="3:17" s="2" customFormat="1" ht="15.75" x14ac:dyDescent="0.25">
      <c r="C502" s="1"/>
      <c r="D502" s="1"/>
      <c r="E502" s="1"/>
      <c r="F502" s="1"/>
      <c r="G502" s="14"/>
      <c r="H502" s="1"/>
      <c r="I502" s="19"/>
      <c r="J502" s="19"/>
      <c r="K502" s="13"/>
      <c r="L502" s="19"/>
      <c r="M502" s="13"/>
      <c r="N502" s="16"/>
      <c r="O502" s="16"/>
      <c r="P502" s="16"/>
      <c r="Q502" s="7"/>
    </row>
    <row r="503" spans="3:17" s="2" customFormat="1" ht="15.75" x14ac:dyDescent="0.25">
      <c r="C503" s="1"/>
      <c r="D503" s="1"/>
      <c r="E503" s="1"/>
      <c r="F503" s="1"/>
      <c r="G503" s="14"/>
      <c r="H503" s="1"/>
      <c r="I503" s="19"/>
      <c r="J503" s="19"/>
      <c r="K503" s="13"/>
      <c r="L503" s="19"/>
      <c r="M503" s="13"/>
      <c r="N503" s="16"/>
      <c r="O503" s="16"/>
      <c r="P503" s="16"/>
      <c r="Q503" s="7"/>
    </row>
    <row r="504" spans="3:17" s="2" customFormat="1" ht="15.75" x14ac:dyDescent="0.25">
      <c r="C504" s="1"/>
      <c r="D504" s="1"/>
      <c r="E504" s="1"/>
      <c r="F504" s="1"/>
      <c r="G504" s="14"/>
      <c r="H504" s="1"/>
      <c r="I504" s="19"/>
      <c r="J504" s="19"/>
      <c r="K504" s="13"/>
      <c r="L504" s="19"/>
      <c r="M504" s="13"/>
      <c r="N504" s="16"/>
      <c r="O504" s="16"/>
      <c r="P504" s="16"/>
      <c r="Q504" s="7"/>
    </row>
    <row r="505" spans="3:17" s="2" customFormat="1" ht="15.75" x14ac:dyDescent="0.25">
      <c r="C505" s="1"/>
      <c r="D505" s="1"/>
      <c r="E505" s="1"/>
      <c r="F505" s="1"/>
      <c r="G505" s="14"/>
      <c r="H505" s="1"/>
      <c r="I505" s="19"/>
      <c r="J505" s="19"/>
      <c r="K505" s="13"/>
      <c r="L505" s="19"/>
      <c r="M505" s="13"/>
      <c r="N505" s="16"/>
      <c r="O505" s="16"/>
      <c r="P505" s="16"/>
      <c r="Q505" s="7"/>
    </row>
    <row r="506" spans="3:17" s="2" customFormat="1" ht="15.75" x14ac:dyDescent="0.25">
      <c r="C506" s="1"/>
      <c r="D506" s="1"/>
      <c r="E506" s="1"/>
      <c r="F506" s="1"/>
      <c r="G506" s="14"/>
      <c r="H506" s="1"/>
      <c r="I506" s="19"/>
      <c r="J506" s="19"/>
      <c r="K506" s="13"/>
      <c r="L506" s="19"/>
      <c r="M506" s="13"/>
      <c r="N506" s="16"/>
      <c r="O506" s="16"/>
      <c r="P506" s="16"/>
      <c r="Q506" s="7"/>
    </row>
    <row r="507" spans="3:17" s="2" customFormat="1" ht="15.75" x14ac:dyDescent="0.25">
      <c r="C507" s="1"/>
      <c r="D507" s="1"/>
      <c r="E507" s="1"/>
      <c r="F507" s="1"/>
      <c r="G507" s="14"/>
      <c r="H507" s="1"/>
      <c r="I507" s="19"/>
      <c r="J507" s="19"/>
      <c r="K507" s="13"/>
      <c r="L507" s="19"/>
      <c r="M507" s="13"/>
      <c r="N507" s="16"/>
      <c r="O507" s="16"/>
      <c r="P507" s="16"/>
      <c r="Q507" s="7"/>
    </row>
    <row r="508" spans="3:17" s="2" customFormat="1" ht="15.75" x14ac:dyDescent="0.25">
      <c r="C508" s="1"/>
      <c r="D508" s="1"/>
      <c r="E508" s="1"/>
      <c r="F508" s="1"/>
      <c r="G508" s="14"/>
      <c r="H508" s="1"/>
      <c r="I508" s="19"/>
      <c r="J508" s="19"/>
      <c r="K508" s="13"/>
      <c r="L508" s="19"/>
      <c r="M508" s="13"/>
      <c r="N508" s="16"/>
      <c r="O508" s="16"/>
      <c r="P508" s="16"/>
      <c r="Q508" s="7"/>
    </row>
    <row r="509" spans="3:17" s="2" customFormat="1" ht="15.75" x14ac:dyDescent="0.25">
      <c r="C509" s="1"/>
      <c r="D509" s="1"/>
      <c r="E509" s="1"/>
      <c r="F509" s="1"/>
      <c r="G509" s="14"/>
      <c r="H509" s="1"/>
      <c r="I509" s="19"/>
      <c r="J509" s="19"/>
      <c r="K509" s="13"/>
      <c r="L509" s="19"/>
      <c r="M509" s="13"/>
      <c r="N509" s="16"/>
      <c r="O509" s="16"/>
      <c r="P509" s="16"/>
      <c r="Q509" s="7"/>
    </row>
    <row r="510" spans="3:17" s="2" customFormat="1" ht="15.75" x14ac:dyDescent="0.25">
      <c r="C510" s="1"/>
      <c r="D510" s="1"/>
      <c r="E510" s="1"/>
      <c r="F510" s="1"/>
      <c r="G510" s="14"/>
      <c r="H510" s="1"/>
      <c r="I510" s="19"/>
      <c r="J510" s="19"/>
      <c r="K510" s="13"/>
      <c r="L510" s="19"/>
      <c r="M510" s="13"/>
      <c r="N510" s="16"/>
      <c r="O510" s="16"/>
      <c r="P510" s="16"/>
      <c r="Q510" s="7"/>
    </row>
    <row r="511" spans="3:17" s="2" customFormat="1" ht="15.75" x14ac:dyDescent="0.25">
      <c r="C511" s="1"/>
      <c r="D511" s="1"/>
      <c r="E511" s="1"/>
      <c r="F511" s="1"/>
      <c r="G511" s="14"/>
      <c r="H511" s="1"/>
      <c r="I511" s="19"/>
      <c r="J511" s="19"/>
      <c r="K511" s="13"/>
      <c r="L511" s="19"/>
      <c r="M511" s="13"/>
      <c r="N511" s="16"/>
      <c r="O511" s="16"/>
      <c r="P511" s="16"/>
      <c r="Q511" s="7"/>
    </row>
    <row r="512" spans="3:17" s="2" customFormat="1" ht="15.75" x14ac:dyDescent="0.25">
      <c r="C512" s="1"/>
      <c r="D512" s="1"/>
      <c r="E512" s="1"/>
      <c r="F512" s="1"/>
      <c r="G512" s="14"/>
      <c r="H512" s="1"/>
      <c r="I512" s="19"/>
      <c r="J512" s="19"/>
      <c r="K512" s="13"/>
      <c r="L512" s="19"/>
      <c r="M512" s="13"/>
      <c r="N512" s="16"/>
      <c r="O512" s="16"/>
      <c r="P512" s="16"/>
      <c r="Q512" s="7"/>
    </row>
    <row r="513" spans="3:17" s="2" customFormat="1" ht="15.75" x14ac:dyDescent="0.25">
      <c r="C513" s="1"/>
      <c r="D513" s="1"/>
      <c r="E513" s="1"/>
      <c r="F513" s="1"/>
      <c r="G513" s="14"/>
      <c r="H513" s="1"/>
      <c r="I513" s="19"/>
      <c r="J513" s="19"/>
      <c r="K513" s="13"/>
      <c r="L513" s="19"/>
      <c r="M513" s="13"/>
      <c r="N513" s="16"/>
      <c r="O513" s="16"/>
      <c r="P513" s="16"/>
      <c r="Q513" s="7"/>
    </row>
    <row r="514" spans="3:17" s="2" customFormat="1" ht="15.75" x14ac:dyDescent="0.25">
      <c r="C514" s="1"/>
      <c r="D514" s="1"/>
      <c r="E514" s="1"/>
      <c r="F514" s="1"/>
      <c r="G514" s="14"/>
      <c r="H514" s="1"/>
      <c r="I514" s="19"/>
      <c r="J514" s="19"/>
      <c r="K514" s="13"/>
      <c r="L514" s="19"/>
      <c r="M514" s="13"/>
      <c r="N514" s="16"/>
      <c r="O514" s="16"/>
      <c r="P514" s="16"/>
      <c r="Q514" s="7"/>
    </row>
    <row r="515" spans="3:17" s="2" customFormat="1" ht="15.75" x14ac:dyDescent="0.25">
      <c r="C515" s="1"/>
      <c r="D515" s="1"/>
      <c r="E515" s="1"/>
      <c r="F515" s="1"/>
      <c r="G515" s="14"/>
      <c r="H515" s="1"/>
      <c r="I515" s="19"/>
      <c r="J515" s="19"/>
      <c r="K515" s="13"/>
      <c r="L515" s="19"/>
      <c r="M515" s="13"/>
      <c r="N515" s="16"/>
      <c r="O515" s="16"/>
      <c r="P515" s="16"/>
      <c r="Q515" s="7"/>
    </row>
    <row r="516" spans="3:17" s="2" customFormat="1" ht="15.75" x14ac:dyDescent="0.25">
      <c r="C516" s="1"/>
      <c r="D516" s="1"/>
      <c r="E516" s="1"/>
      <c r="F516" s="1"/>
      <c r="G516" s="14"/>
      <c r="H516" s="1"/>
      <c r="I516" s="19"/>
      <c r="J516" s="19"/>
      <c r="K516" s="13"/>
      <c r="L516" s="19"/>
      <c r="M516" s="13"/>
      <c r="N516" s="16"/>
      <c r="O516" s="16"/>
      <c r="P516" s="16"/>
      <c r="Q516" s="7"/>
    </row>
    <row r="517" spans="3:17" s="2" customFormat="1" ht="15.75" x14ac:dyDescent="0.25">
      <c r="C517" s="1"/>
      <c r="D517" s="1"/>
      <c r="E517" s="1"/>
      <c r="F517" s="1"/>
      <c r="G517" s="14"/>
      <c r="H517" s="1"/>
      <c r="I517" s="19"/>
      <c r="J517" s="19"/>
      <c r="K517" s="13"/>
      <c r="L517" s="19"/>
      <c r="M517" s="13"/>
      <c r="N517" s="16"/>
      <c r="O517" s="16"/>
      <c r="P517" s="16"/>
      <c r="Q517" s="7"/>
    </row>
    <row r="518" spans="3:17" s="2" customFormat="1" ht="15.75" x14ac:dyDescent="0.25">
      <c r="C518" s="1"/>
      <c r="D518" s="1"/>
      <c r="E518" s="1"/>
      <c r="F518" s="1"/>
      <c r="G518" s="14"/>
      <c r="H518" s="1"/>
      <c r="I518" s="19"/>
      <c r="J518" s="19"/>
      <c r="K518" s="13"/>
      <c r="L518" s="19"/>
      <c r="M518" s="13"/>
      <c r="N518" s="16"/>
      <c r="O518" s="16"/>
      <c r="P518" s="16"/>
      <c r="Q518" s="7"/>
    </row>
    <row r="519" spans="3:17" s="2" customFormat="1" ht="15.75" x14ac:dyDescent="0.25">
      <c r="C519" s="1"/>
      <c r="D519" s="1"/>
      <c r="E519" s="1"/>
      <c r="F519" s="1"/>
      <c r="G519" s="14"/>
      <c r="H519" s="1"/>
      <c r="I519" s="19"/>
      <c r="J519" s="19"/>
      <c r="K519" s="13"/>
      <c r="L519" s="19"/>
      <c r="M519" s="13"/>
      <c r="N519" s="16"/>
      <c r="O519" s="16"/>
      <c r="P519" s="16"/>
      <c r="Q519" s="7"/>
    </row>
    <row r="520" spans="3:17" s="2" customFormat="1" ht="15.75" x14ac:dyDescent="0.25">
      <c r="C520" s="1"/>
      <c r="D520" s="1"/>
      <c r="E520" s="1"/>
      <c r="F520" s="1"/>
      <c r="G520" s="14"/>
      <c r="H520" s="1"/>
      <c r="I520" s="19"/>
      <c r="J520" s="19"/>
      <c r="K520" s="13"/>
      <c r="L520" s="19"/>
      <c r="M520" s="13"/>
      <c r="N520" s="16"/>
      <c r="O520" s="16"/>
      <c r="P520" s="16"/>
      <c r="Q520" s="7"/>
    </row>
    <row r="521" spans="3:17" s="2" customFormat="1" ht="15.75" x14ac:dyDescent="0.25">
      <c r="C521" s="1"/>
      <c r="D521" s="1"/>
      <c r="E521" s="1"/>
      <c r="F521" s="1"/>
      <c r="G521" s="14"/>
      <c r="H521" s="1"/>
      <c r="I521" s="19"/>
      <c r="J521" s="19"/>
      <c r="K521" s="13"/>
      <c r="L521" s="19"/>
      <c r="M521" s="13"/>
      <c r="N521" s="16"/>
      <c r="O521" s="16"/>
      <c r="P521" s="16"/>
      <c r="Q521" s="7"/>
    </row>
    <row r="522" spans="3:17" s="2" customFormat="1" ht="15.75" x14ac:dyDescent="0.25">
      <c r="C522" s="1"/>
      <c r="D522" s="1"/>
      <c r="E522" s="1"/>
      <c r="F522" s="1"/>
      <c r="G522" s="14"/>
      <c r="H522" s="1"/>
      <c r="I522" s="19"/>
      <c r="J522" s="19"/>
      <c r="K522" s="13"/>
      <c r="L522" s="19"/>
      <c r="M522" s="13"/>
      <c r="N522" s="16"/>
      <c r="O522" s="16"/>
      <c r="P522" s="16"/>
      <c r="Q522" s="7"/>
    </row>
    <row r="523" spans="3:17" s="2" customFormat="1" ht="15.75" x14ac:dyDescent="0.25">
      <c r="C523" s="1"/>
      <c r="D523" s="1"/>
      <c r="E523" s="1"/>
      <c r="F523" s="1"/>
      <c r="G523" s="14"/>
      <c r="H523" s="1"/>
      <c r="I523" s="19"/>
      <c r="J523" s="19"/>
      <c r="K523" s="13"/>
      <c r="L523" s="19"/>
      <c r="M523" s="13"/>
      <c r="N523" s="16"/>
      <c r="O523" s="16"/>
      <c r="P523" s="16"/>
      <c r="Q523" s="7"/>
    </row>
    <row r="524" spans="3:17" s="2" customFormat="1" ht="15.75" x14ac:dyDescent="0.25">
      <c r="C524" s="1"/>
      <c r="D524" s="1"/>
      <c r="E524" s="1"/>
      <c r="F524" s="1"/>
      <c r="G524" s="14"/>
      <c r="H524" s="1"/>
      <c r="I524" s="19"/>
      <c r="J524" s="19"/>
      <c r="K524" s="13"/>
      <c r="L524" s="19"/>
      <c r="M524" s="13"/>
      <c r="N524" s="16"/>
      <c r="O524" s="16"/>
      <c r="P524" s="16"/>
      <c r="Q524" s="7"/>
    </row>
    <row r="525" spans="3:17" s="2" customFormat="1" ht="15.75" x14ac:dyDescent="0.25">
      <c r="C525" s="1"/>
      <c r="D525" s="1"/>
      <c r="E525" s="1"/>
      <c r="F525" s="1"/>
      <c r="G525" s="14"/>
      <c r="H525" s="1"/>
      <c r="I525" s="19"/>
      <c r="J525" s="19"/>
      <c r="K525" s="13"/>
      <c r="L525" s="19"/>
      <c r="M525" s="13"/>
      <c r="N525" s="16"/>
      <c r="O525" s="16"/>
      <c r="P525" s="16"/>
      <c r="Q525" s="7"/>
    </row>
    <row r="526" spans="3:17" s="2" customFormat="1" ht="15.75" x14ac:dyDescent="0.25">
      <c r="C526" s="1"/>
      <c r="D526" s="1"/>
      <c r="E526" s="1"/>
      <c r="F526" s="1"/>
      <c r="G526" s="14"/>
      <c r="H526" s="1"/>
      <c r="I526" s="19"/>
      <c r="J526" s="19"/>
      <c r="K526" s="13"/>
      <c r="L526" s="19"/>
      <c r="M526" s="13"/>
      <c r="N526" s="16"/>
      <c r="O526" s="16"/>
      <c r="P526" s="16"/>
      <c r="Q526" s="7"/>
    </row>
    <row r="527" spans="3:17" s="2" customFormat="1" ht="15.75" x14ac:dyDescent="0.25">
      <c r="C527" s="1"/>
      <c r="D527" s="1"/>
      <c r="E527" s="1"/>
      <c r="F527" s="1"/>
      <c r="G527" s="14"/>
      <c r="H527" s="1"/>
      <c r="I527" s="19"/>
      <c r="J527" s="19"/>
      <c r="K527" s="13"/>
      <c r="L527" s="19"/>
      <c r="M527" s="13"/>
      <c r="N527" s="16"/>
      <c r="O527" s="16"/>
      <c r="P527" s="16"/>
      <c r="Q527" s="7"/>
    </row>
    <row r="528" spans="3:17" s="2" customFormat="1" ht="15.75" x14ac:dyDescent="0.25">
      <c r="C528" s="1"/>
      <c r="D528" s="1"/>
      <c r="E528" s="1"/>
      <c r="F528" s="1"/>
      <c r="G528" s="14"/>
      <c r="H528" s="1"/>
      <c r="I528" s="19"/>
      <c r="J528" s="19"/>
      <c r="K528" s="13"/>
      <c r="L528" s="19"/>
      <c r="M528" s="13"/>
      <c r="N528" s="16"/>
      <c r="O528" s="16"/>
      <c r="P528" s="16"/>
      <c r="Q528" s="7"/>
    </row>
    <row r="529" spans="3:17" s="2" customFormat="1" ht="15.75" x14ac:dyDescent="0.25">
      <c r="C529" s="1"/>
      <c r="D529" s="1"/>
      <c r="E529" s="1"/>
      <c r="F529" s="1"/>
      <c r="G529" s="14"/>
      <c r="H529" s="1"/>
      <c r="I529" s="19"/>
      <c r="J529" s="19"/>
      <c r="K529" s="13"/>
      <c r="L529" s="19"/>
      <c r="M529" s="13"/>
      <c r="N529" s="16"/>
      <c r="O529" s="16"/>
      <c r="P529" s="16"/>
      <c r="Q529" s="7"/>
    </row>
    <row r="530" spans="3:17" s="2" customFormat="1" ht="15.75" x14ac:dyDescent="0.25">
      <c r="C530" s="1"/>
      <c r="D530" s="1"/>
      <c r="E530" s="1"/>
      <c r="F530" s="1"/>
      <c r="G530" s="14"/>
      <c r="H530" s="1"/>
      <c r="I530" s="19"/>
      <c r="J530" s="19"/>
      <c r="K530" s="13"/>
      <c r="L530" s="19"/>
      <c r="M530" s="13"/>
      <c r="N530" s="16"/>
      <c r="O530" s="16"/>
      <c r="P530" s="16"/>
      <c r="Q530" s="7"/>
    </row>
    <row r="531" spans="3:17" s="2" customFormat="1" ht="15.75" x14ac:dyDescent="0.25">
      <c r="C531" s="1"/>
      <c r="D531" s="1"/>
      <c r="E531" s="1"/>
      <c r="F531" s="1"/>
      <c r="G531" s="14"/>
      <c r="H531" s="1"/>
      <c r="I531" s="19"/>
      <c r="J531" s="19"/>
      <c r="K531" s="13"/>
      <c r="L531" s="19"/>
      <c r="M531" s="13"/>
      <c r="N531" s="16"/>
      <c r="O531" s="16"/>
      <c r="P531" s="16"/>
      <c r="Q531" s="7"/>
    </row>
    <row r="532" spans="3:17" s="2" customFormat="1" ht="15.75" x14ac:dyDescent="0.25">
      <c r="C532" s="1"/>
      <c r="D532" s="1"/>
      <c r="E532" s="1"/>
      <c r="F532" s="1"/>
      <c r="G532" s="14"/>
      <c r="H532" s="1"/>
      <c r="I532" s="19"/>
      <c r="J532" s="19"/>
      <c r="K532" s="13"/>
      <c r="L532" s="19"/>
      <c r="M532" s="13"/>
      <c r="N532" s="16"/>
      <c r="O532" s="16"/>
      <c r="P532" s="16"/>
      <c r="Q532" s="7"/>
    </row>
    <row r="533" spans="3:17" s="2" customFormat="1" ht="15.75" x14ac:dyDescent="0.25">
      <c r="C533" s="1"/>
      <c r="D533" s="1"/>
      <c r="E533" s="1"/>
      <c r="F533" s="1"/>
      <c r="G533" s="14"/>
      <c r="H533" s="1"/>
      <c r="I533" s="19"/>
      <c r="J533" s="19"/>
      <c r="K533" s="13"/>
      <c r="L533" s="19"/>
      <c r="M533" s="13"/>
      <c r="N533" s="16"/>
      <c r="O533" s="16"/>
      <c r="P533" s="16"/>
      <c r="Q533" s="7"/>
    </row>
    <row r="534" spans="3:17" s="2" customFormat="1" ht="15.75" x14ac:dyDescent="0.25">
      <c r="C534" s="1"/>
      <c r="D534" s="1"/>
      <c r="E534" s="1"/>
      <c r="F534" s="1"/>
      <c r="G534" s="14"/>
      <c r="H534" s="1"/>
      <c r="I534" s="19"/>
      <c r="J534" s="19"/>
      <c r="K534" s="13"/>
      <c r="L534" s="19"/>
      <c r="M534" s="13"/>
      <c r="N534" s="16"/>
      <c r="O534" s="16"/>
      <c r="P534" s="16"/>
      <c r="Q534" s="7"/>
    </row>
    <row r="535" spans="3:17" s="2" customFormat="1" ht="15.75" x14ac:dyDescent="0.25">
      <c r="C535" s="1"/>
      <c r="D535" s="1"/>
      <c r="E535" s="1"/>
      <c r="F535" s="1"/>
      <c r="G535" s="14"/>
      <c r="H535" s="1"/>
      <c r="I535" s="19"/>
      <c r="J535" s="19"/>
      <c r="K535" s="13"/>
      <c r="L535" s="19"/>
      <c r="M535" s="13"/>
      <c r="N535" s="16"/>
      <c r="O535" s="16"/>
      <c r="P535" s="16"/>
      <c r="Q535" s="7"/>
    </row>
    <row r="536" spans="3:17" s="2" customFormat="1" ht="15.75" x14ac:dyDescent="0.25">
      <c r="C536" s="1"/>
      <c r="D536" s="1"/>
      <c r="E536" s="1"/>
      <c r="F536" s="1"/>
      <c r="G536" s="14"/>
      <c r="H536" s="1"/>
      <c r="I536" s="19"/>
      <c r="J536" s="19"/>
      <c r="K536" s="13"/>
      <c r="L536" s="19"/>
      <c r="M536" s="13"/>
      <c r="N536" s="16"/>
      <c r="O536" s="16"/>
      <c r="P536" s="16"/>
      <c r="Q536" s="7"/>
    </row>
    <row r="537" spans="3:17" s="2" customFormat="1" ht="15.75" x14ac:dyDescent="0.25">
      <c r="C537" s="1"/>
      <c r="D537" s="1"/>
      <c r="E537" s="1"/>
      <c r="F537" s="1"/>
      <c r="G537" s="14"/>
      <c r="H537" s="1"/>
      <c r="I537" s="19"/>
      <c r="J537" s="19"/>
      <c r="K537" s="13"/>
      <c r="L537" s="19"/>
      <c r="M537" s="13"/>
      <c r="N537" s="16"/>
      <c r="O537" s="16"/>
      <c r="P537" s="16"/>
      <c r="Q537" s="7"/>
    </row>
    <row r="538" spans="3:17" s="2" customFormat="1" ht="15.75" x14ac:dyDescent="0.25">
      <c r="C538" s="1"/>
      <c r="D538" s="1"/>
      <c r="E538" s="1"/>
      <c r="F538" s="1"/>
      <c r="G538" s="14"/>
      <c r="H538" s="1"/>
      <c r="I538" s="19"/>
      <c r="J538" s="19"/>
      <c r="K538" s="13"/>
      <c r="L538" s="19"/>
      <c r="M538" s="13"/>
      <c r="N538" s="16"/>
      <c r="O538" s="16"/>
      <c r="P538" s="16"/>
      <c r="Q538" s="7"/>
    </row>
    <row r="539" spans="3:17" s="2" customFormat="1" ht="15.75" x14ac:dyDescent="0.25">
      <c r="C539" s="1"/>
      <c r="D539" s="1"/>
      <c r="E539" s="1"/>
      <c r="F539" s="1"/>
      <c r="G539" s="14"/>
      <c r="H539" s="1"/>
      <c r="I539" s="19"/>
      <c r="J539" s="19"/>
      <c r="K539" s="13"/>
      <c r="L539" s="19"/>
      <c r="M539" s="13"/>
      <c r="N539" s="16"/>
      <c r="O539" s="16"/>
      <c r="P539" s="16"/>
      <c r="Q539" s="7"/>
    </row>
    <row r="540" spans="3:17" s="2" customFormat="1" ht="15.75" x14ac:dyDescent="0.25">
      <c r="C540" s="1"/>
      <c r="D540" s="1"/>
      <c r="E540" s="1"/>
      <c r="F540" s="1"/>
      <c r="G540" s="14"/>
      <c r="H540" s="1"/>
      <c r="I540" s="19"/>
      <c r="J540" s="19"/>
      <c r="K540" s="13"/>
      <c r="L540" s="19"/>
      <c r="M540" s="13"/>
      <c r="N540" s="16"/>
      <c r="O540" s="16"/>
      <c r="P540" s="16"/>
      <c r="Q540" s="7"/>
    </row>
    <row r="541" spans="3:17" s="2" customFormat="1" ht="15.75" x14ac:dyDescent="0.25">
      <c r="C541" s="1"/>
      <c r="D541" s="1"/>
      <c r="E541" s="1"/>
      <c r="F541" s="1"/>
      <c r="G541" s="14"/>
      <c r="H541" s="1"/>
      <c r="I541" s="19"/>
      <c r="J541" s="19"/>
      <c r="K541" s="13"/>
      <c r="L541" s="19"/>
      <c r="M541" s="13"/>
      <c r="N541" s="16"/>
      <c r="O541" s="16"/>
      <c r="P541" s="16"/>
      <c r="Q541" s="7"/>
    </row>
    <row r="542" spans="3:17" s="2" customFormat="1" ht="15.75" x14ac:dyDescent="0.25">
      <c r="C542" s="1"/>
      <c r="D542" s="1"/>
      <c r="E542" s="1"/>
      <c r="F542" s="1"/>
      <c r="G542" s="14"/>
      <c r="H542" s="1"/>
      <c r="I542" s="19"/>
      <c r="J542" s="19"/>
      <c r="K542" s="13"/>
      <c r="L542" s="19"/>
      <c r="M542" s="13"/>
      <c r="N542" s="16"/>
      <c r="O542" s="16"/>
      <c r="P542" s="16"/>
      <c r="Q542" s="7"/>
    </row>
    <row r="543" spans="3:17" s="2" customFormat="1" ht="15.75" x14ac:dyDescent="0.25">
      <c r="C543" s="1"/>
      <c r="D543" s="1"/>
      <c r="E543" s="1"/>
      <c r="F543" s="1"/>
      <c r="G543" s="14"/>
      <c r="H543" s="1"/>
      <c r="I543" s="19"/>
      <c r="J543" s="19"/>
      <c r="K543" s="13"/>
      <c r="L543" s="19"/>
      <c r="M543" s="13"/>
      <c r="N543" s="16"/>
      <c r="O543" s="16"/>
      <c r="P543" s="16"/>
      <c r="Q543" s="7"/>
    </row>
    <row r="544" spans="3:17" s="2" customFormat="1" ht="15.75" x14ac:dyDescent="0.25">
      <c r="C544" s="1"/>
      <c r="D544" s="1"/>
      <c r="E544" s="1"/>
      <c r="F544" s="1"/>
      <c r="G544" s="14"/>
      <c r="H544" s="1"/>
      <c r="I544" s="19"/>
      <c r="J544" s="19"/>
      <c r="K544" s="13"/>
      <c r="L544" s="19"/>
      <c r="M544" s="13"/>
      <c r="N544" s="16"/>
      <c r="O544" s="16"/>
      <c r="P544" s="16"/>
      <c r="Q544" s="7"/>
    </row>
    <row r="545" spans="3:17" s="2" customFormat="1" ht="15.75" x14ac:dyDescent="0.25">
      <c r="C545" s="1"/>
      <c r="D545" s="1"/>
      <c r="E545" s="1"/>
      <c r="F545" s="1"/>
      <c r="G545" s="14"/>
      <c r="H545" s="1"/>
      <c r="I545" s="19"/>
      <c r="J545" s="19"/>
      <c r="K545" s="13"/>
      <c r="L545" s="19"/>
      <c r="M545" s="13"/>
      <c r="N545" s="16"/>
      <c r="O545" s="16"/>
      <c r="P545" s="16"/>
      <c r="Q545" s="7"/>
    </row>
    <row r="546" spans="3:17" s="2" customFormat="1" ht="15.75" x14ac:dyDescent="0.25">
      <c r="C546" s="1"/>
      <c r="D546" s="1"/>
      <c r="E546" s="1"/>
      <c r="F546" s="1"/>
      <c r="G546" s="14"/>
      <c r="H546" s="1"/>
      <c r="I546" s="19"/>
      <c r="J546" s="19"/>
      <c r="K546" s="13"/>
      <c r="L546" s="19"/>
      <c r="M546" s="13"/>
      <c r="N546" s="16"/>
      <c r="O546" s="16"/>
      <c r="P546" s="16"/>
      <c r="Q546" s="7"/>
    </row>
    <row r="547" spans="3:17" s="2" customFormat="1" ht="15.75" x14ac:dyDescent="0.25">
      <c r="C547" s="1"/>
      <c r="D547" s="1"/>
      <c r="E547" s="1"/>
      <c r="F547" s="1"/>
      <c r="G547" s="14"/>
      <c r="H547" s="1"/>
      <c r="I547" s="19"/>
      <c r="J547" s="19"/>
      <c r="K547" s="13"/>
      <c r="L547" s="19"/>
      <c r="M547" s="13"/>
      <c r="N547" s="16"/>
      <c r="O547" s="16"/>
      <c r="P547" s="16"/>
      <c r="Q547" s="7"/>
    </row>
    <row r="548" spans="3:17" s="2" customFormat="1" ht="15.75" x14ac:dyDescent="0.25">
      <c r="C548" s="1"/>
      <c r="D548" s="1"/>
      <c r="E548" s="1"/>
      <c r="F548" s="1"/>
      <c r="G548" s="14"/>
      <c r="H548" s="1"/>
      <c r="I548" s="19"/>
      <c r="J548" s="19"/>
      <c r="K548" s="13"/>
      <c r="L548" s="19"/>
      <c r="M548" s="13"/>
      <c r="N548" s="16"/>
      <c r="O548" s="16"/>
      <c r="P548" s="16"/>
      <c r="Q548" s="7"/>
    </row>
    <row r="549" spans="3:17" s="2" customFormat="1" ht="15.75" x14ac:dyDescent="0.25">
      <c r="C549" s="1"/>
      <c r="D549" s="1"/>
      <c r="E549" s="1"/>
      <c r="F549" s="1"/>
      <c r="G549" s="14"/>
      <c r="H549" s="1"/>
      <c r="I549" s="19"/>
      <c r="J549" s="19"/>
      <c r="K549" s="13"/>
      <c r="L549" s="19"/>
      <c r="M549" s="13"/>
      <c r="N549" s="16"/>
      <c r="O549" s="16"/>
      <c r="P549" s="16"/>
      <c r="Q549" s="7"/>
    </row>
    <row r="550" spans="3:17" s="2" customFormat="1" ht="15.75" x14ac:dyDescent="0.25">
      <c r="C550" s="1"/>
      <c r="D550" s="1"/>
      <c r="E550" s="1"/>
      <c r="F550" s="1"/>
      <c r="G550" s="14"/>
      <c r="H550" s="1"/>
      <c r="I550" s="19"/>
      <c r="J550" s="19"/>
      <c r="K550" s="13"/>
      <c r="L550" s="19"/>
      <c r="M550" s="13"/>
      <c r="N550" s="16"/>
      <c r="O550" s="16"/>
      <c r="P550" s="16"/>
      <c r="Q550" s="7"/>
    </row>
    <row r="551" spans="3:17" s="2" customFormat="1" ht="15.75" x14ac:dyDescent="0.25">
      <c r="C551" s="1"/>
      <c r="D551" s="1"/>
      <c r="E551" s="1"/>
      <c r="F551" s="1"/>
      <c r="G551" s="14"/>
      <c r="H551" s="1"/>
      <c r="I551" s="19"/>
      <c r="J551" s="19"/>
      <c r="K551" s="13"/>
      <c r="L551" s="19"/>
      <c r="M551" s="13"/>
      <c r="N551" s="16"/>
      <c r="O551" s="16"/>
      <c r="P551" s="16"/>
      <c r="Q551" s="7"/>
    </row>
    <row r="552" spans="3:17" s="2" customFormat="1" ht="15.75" x14ac:dyDescent="0.25">
      <c r="C552" s="1"/>
      <c r="D552" s="1"/>
      <c r="E552" s="1"/>
      <c r="F552" s="1"/>
      <c r="G552" s="14"/>
      <c r="H552" s="1"/>
      <c r="I552" s="19"/>
      <c r="J552" s="19"/>
      <c r="K552" s="13"/>
      <c r="L552" s="19"/>
      <c r="M552" s="13"/>
      <c r="N552" s="16"/>
      <c r="O552" s="16"/>
      <c r="P552" s="16"/>
      <c r="Q552" s="7"/>
    </row>
    <row r="553" spans="3:17" s="2" customFormat="1" ht="15.75" x14ac:dyDescent="0.25">
      <c r="C553" s="1"/>
      <c r="D553" s="1"/>
      <c r="E553" s="1"/>
      <c r="F553" s="1"/>
      <c r="G553" s="14"/>
      <c r="H553" s="1"/>
      <c r="I553" s="19"/>
      <c r="J553" s="19"/>
      <c r="K553" s="13"/>
      <c r="L553" s="19"/>
      <c r="M553" s="13"/>
      <c r="N553" s="16"/>
      <c r="O553" s="16"/>
      <c r="P553" s="16"/>
      <c r="Q553" s="7"/>
    </row>
    <row r="554" spans="3:17" s="2" customFormat="1" ht="15.75" x14ac:dyDescent="0.25">
      <c r="C554" s="1"/>
      <c r="D554" s="1"/>
      <c r="E554" s="1"/>
      <c r="F554" s="1"/>
      <c r="G554" s="14"/>
      <c r="H554" s="1"/>
      <c r="I554" s="19"/>
      <c r="J554" s="19"/>
      <c r="K554" s="13"/>
      <c r="L554" s="19"/>
      <c r="M554" s="13"/>
      <c r="N554" s="16"/>
      <c r="O554" s="16"/>
      <c r="P554" s="16"/>
      <c r="Q554" s="7"/>
    </row>
    <row r="555" spans="3:17" s="2" customFormat="1" ht="15.75" x14ac:dyDescent="0.25">
      <c r="C555" s="1"/>
      <c r="D555" s="1"/>
      <c r="E555" s="1"/>
      <c r="F555" s="1"/>
      <c r="G555" s="14"/>
      <c r="H555" s="1"/>
      <c r="I555" s="19"/>
      <c r="J555" s="19"/>
      <c r="K555" s="13"/>
      <c r="L555" s="19"/>
      <c r="M555" s="13"/>
      <c r="N555" s="16"/>
      <c r="O555" s="16"/>
      <c r="P555" s="16"/>
      <c r="Q555" s="7"/>
    </row>
    <row r="556" spans="3:17" s="2" customFormat="1" ht="15.75" x14ac:dyDescent="0.25">
      <c r="C556" s="1"/>
      <c r="D556" s="1"/>
      <c r="E556" s="1"/>
      <c r="F556" s="1"/>
      <c r="G556" s="14"/>
      <c r="H556" s="1"/>
      <c r="I556" s="19"/>
      <c r="J556" s="19"/>
      <c r="K556" s="13"/>
      <c r="L556" s="19"/>
      <c r="M556" s="13"/>
      <c r="N556" s="16"/>
      <c r="O556" s="16"/>
      <c r="P556" s="16"/>
      <c r="Q556" s="7"/>
    </row>
    <row r="557" spans="3:17" s="2" customFormat="1" ht="15.75" x14ac:dyDescent="0.25">
      <c r="C557" s="1"/>
      <c r="D557" s="1"/>
      <c r="E557" s="1"/>
      <c r="F557" s="1"/>
      <c r="G557" s="14"/>
      <c r="H557" s="1"/>
      <c r="I557" s="19"/>
      <c r="J557" s="19"/>
      <c r="K557" s="13"/>
      <c r="L557" s="19"/>
      <c r="M557" s="13"/>
      <c r="N557" s="16"/>
      <c r="O557" s="16"/>
      <c r="P557" s="16"/>
      <c r="Q557" s="7"/>
    </row>
    <row r="558" spans="3:17" s="2" customFormat="1" ht="15.75" x14ac:dyDescent="0.25">
      <c r="C558" s="1"/>
      <c r="D558" s="1"/>
      <c r="E558" s="1"/>
      <c r="F558" s="1"/>
      <c r="G558" s="14"/>
      <c r="H558" s="1"/>
      <c r="I558" s="19"/>
      <c r="J558" s="19"/>
      <c r="K558" s="13"/>
      <c r="L558" s="19"/>
      <c r="M558" s="13"/>
      <c r="N558" s="16"/>
      <c r="O558" s="16"/>
      <c r="P558" s="16"/>
      <c r="Q558" s="7"/>
    </row>
    <row r="559" spans="3:17" s="2" customFormat="1" ht="15.75" x14ac:dyDescent="0.25">
      <c r="C559" s="1"/>
      <c r="D559" s="1"/>
      <c r="E559" s="1"/>
      <c r="F559" s="1"/>
      <c r="G559" s="14"/>
      <c r="H559" s="1"/>
      <c r="I559" s="19"/>
      <c r="J559" s="19"/>
      <c r="K559" s="13"/>
      <c r="L559" s="19"/>
      <c r="M559" s="13"/>
      <c r="N559" s="16"/>
      <c r="O559" s="16"/>
      <c r="P559" s="16"/>
      <c r="Q559" s="7"/>
    </row>
    <row r="560" spans="3:17" s="2" customFormat="1" ht="15.75" x14ac:dyDescent="0.25">
      <c r="C560" s="1"/>
      <c r="D560" s="1"/>
      <c r="E560" s="1"/>
      <c r="F560" s="1"/>
      <c r="G560" s="14"/>
      <c r="H560" s="1"/>
      <c r="I560" s="19"/>
      <c r="J560" s="19"/>
      <c r="K560" s="13"/>
      <c r="L560" s="19"/>
      <c r="M560" s="13"/>
      <c r="N560" s="16"/>
      <c r="O560" s="16"/>
      <c r="P560" s="16"/>
      <c r="Q560" s="7"/>
    </row>
    <row r="561" spans="3:17" s="2" customFormat="1" ht="15.75" x14ac:dyDescent="0.25">
      <c r="C561" s="1"/>
      <c r="D561" s="1"/>
      <c r="E561" s="1"/>
      <c r="F561" s="1"/>
      <c r="G561" s="14"/>
      <c r="H561" s="1"/>
      <c r="I561" s="19"/>
      <c r="J561" s="19"/>
      <c r="K561" s="13"/>
      <c r="L561" s="19"/>
      <c r="M561" s="13"/>
      <c r="N561" s="16"/>
      <c r="O561" s="16"/>
      <c r="P561" s="16"/>
      <c r="Q561" s="7"/>
    </row>
    <row r="562" spans="3:17" s="2" customFormat="1" ht="15.75" x14ac:dyDescent="0.25">
      <c r="C562" s="1"/>
      <c r="D562" s="1"/>
      <c r="E562" s="1"/>
      <c r="F562" s="1"/>
      <c r="G562" s="14"/>
      <c r="H562" s="1"/>
      <c r="I562" s="19"/>
      <c r="J562" s="19"/>
      <c r="K562" s="13"/>
      <c r="L562" s="19"/>
      <c r="M562" s="13"/>
      <c r="N562" s="16"/>
      <c r="O562" s="16"/>
      <c r="P562" s="16"/>
      <c r="Q562" s="7"/>
    </row>
    <row r="563" spans="3:17" s="2" customFormat="1" ht="15.75" x14ac:dyDescent="0.25">
      <c r="C563" s="1"/>
      <c r="D563" s="1"/>
      <c r="E563" s="1"/>
      <c r="F563" s="1"/>
      <c r="G563" s="14"/>
      <c r="H563" s="1"/>
      <c r="I563" s="19"/>
      <c r="J563" s="19"/>
      <c r="K563" s="13"/>
      <c r="L563" s="19"/>
      <c r="M563" s="13"/>
      <c r="N563" s="16"/>
      <c r="O563" s="16"/>
      <c r="P563" s="16"/>
      <c r="Q563" s="7"/>
    </row>
    <row r="564" spans="3:17" s="2" customFormat="1" ht="15.75" x14ac:dyDescent="0.25">
      <c r="C564" s="1"/>
      <c r="D564" s="1"/>
      <c r="E564" s="1"/>
      <c r="F564" s="1"/>
      <c r="G564" s="14"/>
      <c r="H564" s="1"/>
      <c r="I564" s="19"/>
      <c r="J564" s="19"/>
      <c r="K564" s="13"/>
      <c r="L564" s="19"/>
      <c r="M564" s="13"/>
      <c r="N564" s="16"/>
      <c r="O564" s="16"/>
      <c r="P564" s="16"/>
      <c r="Q564" s="7"/>
    </row>
    <row r="565" spans="3:17" s="2" customFormat="1" ht="15.75" x14ac:dyDescent="0.25">
      <c r="C565" s="1"/>
      <c r="D565" s="1"/>
      <c r="E565" s="1"/>
      <c r="F565" s="1"/>
      <c r="G565" s="14"/>
      <c r="H565" s="1"/>
      <c r="I565" s="19"/>
      <c r="J565" s="19"/>
      <c r="K565" s="13"/>
      <c r="L565" s="19"/>
      <c r="M565" s="13"/>
      <c r="N565" s="16"/>
      <c r="O565" s="16"/>
      <c r="P565" s="16"/>
      <c r="Q565" s="7"/>
    </row>
    <row r="566" spans="3:17" s="2" customFormat="1" ht="15.75" x14ac:dyDescent="0.25">
      <c r="C566" s="1"/>
      <c r="D566" s="1"/>
      <c r="E566" s="1"/>
      <c r="F566" s="1"/>
      <c r="G566" s="14"/>
      <c r="H566" s="1"/>
      <c r="I566" s="19"/>
      <c r="J566" s="19"/>
      <c r="K566" s="13"/>
      <c r="L566" s="19"/>
      <c r="M566" s="13"/>
      <c r="N566" s="16"/>
      <c r="O566" s="16"/>
      <c r="P566" s="16"/>
      <c r="Q566" s="7"/>
    </row>
    <row r="567" spans="3:17" s="2" customFormat="1" ht="15.75" x14ac:dyDescent="0.25">
      <c r="C567" s="1"/>
      <c r="D567" s="1"/>
      <c r="E567" s="1"/>
      <c r="F567" s="1"/>
      <c r="G567" s="14"/>
      <c r="H567" s="1"/>
      <c r="I567" s="19"/>
      <c r="J567" s="19"/>
      <c r="K567" s="13"/>
      <c r="L567" s="19"/>
      <c r="M567" s="13"/>
      <c r="N567" s="16"/>
      <c r="O567" s="16"/>
      <c r="P567" s="16"/>
      <c r="Q567" s="7"/>
    </row>
    <row r="568" spans="3:17" s="2" customFormat="1" ht="15.75" x14ac:dyDescent="0.25">
      <c r="C568" s="1"/>
      <c r="D568" s="1"/>
      <c r="E568" s="1"/>
      <c r="F568" s="1"/>
      <c r="G568" s="14"/>
      <c r="H568" s="1"/>
      <c r="I568" s="19"/>
      <c r="J568" s="19"/>
      <c r="K568" s="13"/>
      <c r="L568" s="19"/>
      <c r="M568" s="13"/>
      <c r="N568" s="16"/>
      <c r="O568" s="16"/>
      <c r="P568" s="16"/>
      <c r="Q568" s="7"/>
    </row>
    <row r="569" spans="3:17" s="2" customFormat="1" ht="15.75" x14ac:dyDescent="0.25">
      <c r="C569" s="1"/>
      <c r="D569" s="1"/>
      <c r="E569" s="1"/>
      <c r="F569" s="1"/>
      <c r="G569" s="14"/>
      <c r="H569" s="1"/>
      <c r="I569" s="19"/>
      <c r="J569" s="19"/>
      <c r="K569" s="13"/>
      <c r="L569" s="19"/>
      <c r="M569" s="13"/>
      <c r="N569" s="16"/>
      <c r="O569" s="16"/>
      <c r="P569" s="16"/>
      <c r="Q569" s="7"/>
    </row>
    <row r="570" spans="3:17" s="2" customFormat="1" ht="15.75" x14ac:dyDescent="0.25">
      <c r="C570" s="1"/>
      <c r="D570" s="1"/>
      <c r="E570" s="1"/>
      <c r="F570" s="1"/>
      <c r="G570" s="14"/>
      <c r="H570" s="1"/>
      <c r="I570" s="19"/>
      <c r="J570" s="19"/>
      <c r="K570" s="13"/>
      <c r="L570" s="19"/>
      <c r="M570" s="13"/>
      <c r="N570" s="16"/>
      <c r="O570" s="16"/>
      <c r="P570" s="16"/>
      <c r="Q570" s="7"/>
    </row>
    <row r="571" spans="3:17" s="2" customFormat="1" ht="15.75" x14ac:dyDescent="0.25">
      <c r="C571" s="1"/>
      <c r="D571" s="1"/>
      <c r="E571" s="1"/>
      <c r="F571" s="1"/>
      <c r="G571" s="14"/>
      <c r="H571" s="1"/>
      <c r="I571" s="19"/>
      <c r="J571" s="19"/>
      <c r="K571" s="13"/>
      <c r="L571" s="19"/>
      <c r="M571" s="13"/>
      <c r="N571" s="16"/>
      <c r="O571" s="16"/>
      <c r="P571" s="16"/>
      <c r="Q571" s="7"/>
    </row>
    <row r="572" spans="3:17" s="2" customFormat="1" ht="15.75" x14ac:dyDescent="0.25">
      <c r="C572" s="1"/>
      <c r="D572" s="1"/>
      <c r="E572" s="1"/>
      <c r="F572" s="1"/>
      <c r="G572" s="14"/>
      <c r="H572" s="1"/>
      <c r="I572" s="19"/>
      <c r="J572" s="19"/>
      <c r="K572" s="13"/>
      <c r="L572" s="19"/>
      <c r="M572" s="13"/>
      <c r="N572" s="16"/>
      <c r="O572" s="16"/>
      <c r="P572" s="16"/>
      <c r="Q572" s="7"/>
    </row>
    <row r="573" spans="3:17" s="2" customFormat="1" ht="15.75" x14ac:dyDescent="0.25">
      <c r="C573" s="1"/>
      <c r="D573" s="1"/>
      <c r="E573" s="1"/>
      <c r="F573" s="1"/>
      <c r="G573" s="14"/>
      <c r="H573" s="1"/>
      <c r="I573" s="19"/>
      <c r="J573" s="19"/>
      <c r="K573" s="13"/>
      <c r="L573" s="19"/>
      <c r="M573" s="13"/>
      <c r="N573" s="16"/>
      <c r="O573" s="16"/>
      <c r="P573" s="16"/>
      <c r="Q573" s="7"/>
    </row>
    <row r="574" spans="3:17" s="2" customFormat="1" ht="15.75" x14ac:dyDescent="0.25">
      <c r="C574" s="1"/>
      <c r="D574" s="1"/>
      <c r="E574" s="1"/>
      <c r="F574" s="1"/>
      <c r="G574" s="14"/>
      <c r="H574" s="1"/>
      <c r="I574" s="19"/>
      <c r="J574" s="19"/>
      <c r="K574" s="13"/>
      <c r="L574" s="19"/>
      <c r="M574" s="13"/>
      <c r="N574" s="16"/>
      <c r="O574" s="16"/>
      <c r="P574" s="16"/>
      <c r="Q574" s="7"/>
    </row>
    <row r="575" spans="3:17" s="2" customFormat="1" ht="15.75" x14ac:dyDescent="0.25">
      <c r="C575" s="1"/>
      <c r="D575" s="1"/>
      <c r="E575" s="1"/>
      <c r="F575" s="1"/>
      <c r="G575" s="14"/>
      <c r="H575" s="1"/>
      <c r="I575" s="19"/>
      <c r="J575" s="19"/>
      <c r="K575" s="13"/>
      <c r="L575" s="19"/>
      <c r="M575" s="13"/>
      <c r="N575" s="16"/>
      <c r="O575" s="16"/>
      <c r="P575" s="16"/>
      <c r="Q575" s="7"/>
    </row>
    <row r="576" spans="3:17" s="2" customFormat="1" ht="15.75" x14ac:dyDescent="0.25">
      <c r="C576" s="1"/>
      <c r="D576" s="1"/>
      <c r="E576" s="1"/>
      <c r="F576" s="1"/>
      <c r="G576" s="14"/>
      <c r="H576" s="1"/>
      <c r="I576" s="19"/>
      <c r="J576" s="19"/>
      <c r="K576" s="13"/>
      <c r="L576" s="19"/>
      <c r="M576" s="13"/>
      <c r="N576" s="16"/>
      <c r="O576" s="16"/>
      <c r="P576" s="16"/>
      <c r="Q576" s="7"/>
    </row>
    <row r="577" spans="3:17" s="2" customFormat="1" ht="15.75" x14ac:dyDescent="0.25">
      <c r="C577" s="1"/>
      <c r="D577" s="1"/>
      <c r="E577" s="1"/>
      <c r="F577" s="1"/>
      <c r="G577" s="14"/>
      <c r="H577" s="1"/>
      <c r="I577" s="19"/>
      <c r="J577" s="19"/>
      <c r="K577" s="13"/>
      <c r="L577" s="19"/>
      <c r="M577" s="13"/>
      <c r="N577" s="16"/>
      <c r="O577" s="16"/>
      <c r="P577" s="16"/>
      <c r="Q577" s="7"/>
    </row>
    <row r="578" spans="3:17" s="2" customFormat="1" ht="15.75" x14ac:dyDescent="0.25">
      <c r="C578" s="1"/>
      <c r="D578" s="1"/>
      <c r="E578" s="1"/>
      <c r="F578" s="1"/>
      <c r="G578" s="14"/>
      <c r="H578" s="1"/>
      <c r="I578" s="19"/>
      <c r="J578" s="19"/>
      <c r="K578" s="13"/>
      <c r="L578" s="19"/>
      <c r="M578" s="13"/>
      <c r="N578" s="16"/>
      <c r="O578" s="16"/>
      <c r="P578" s="16"/>
      <c r="Q578" s="7"/>
    </row>
    <row r="579" spans="3:17" s="2" customFormat="1" ht="15.75" x14ac:dyDescent="0.25">
      <c r="C579" s="1"/>
      <c r="D579" s="1"/>
      <c r="E579" s="1"/>
      <c r="F579" s="1"/>
      <c r="G579" s="14"/>
      <c r="H579" s="1"/>
      <c r="I579" s="19"/>
      <c r="J579" s="19"/>
      <c r="K579" s="13"/>
      <c r="L579" s="19"/>
      <c r="M579" s="13"/>
      <c r="N579" s="16"/>
      <c r="O579" s="16"/>
      <c r="P579" s="16"/>
      <c r="Q579" s="7"/>
    </row>
    <row r="580" spans="3:17" s="2" customFormat="1" ht="15.75" x14ac:dyDescent="0.25">
      <c r="C580" s="1"/>
      <c r="D580" s="1"/>
      <c r="E580" s="1"/>
      <c r="F580" s="1"/>
      <c r="G580" s="14"/>
      <c r="H580" s="1"/>
      <c r="I580" s="19"/>
      <c r="J580" s="19"/>
      <c r="K580" s="13"/>
      <c r="L580" s="19"/>
      <c r="M580" s="13"/>
      <c r="N580" s="16"/>
      <c r="O580" s="16"/>
      <c r="P580" s="16"/>
      <c r="Q580" s="7"/>
    </row>
    <row r="581" spans="3:17" s="2" customFormat="1" ht="15.75" x14ac:dyDescent="0.25">
      <c r="C581" s="1"/>
      <c r="D581" s="1"/>
      <c r="E581" s="1"/>
      <c r="F581" s="1"/>
      <c r="G581" s="14"/>
      <c r="H581" s="1"/>
      <c r="I581" s="19"/>
      <c r="J581" s="19"/>
      <c r="K581" s="13"/>
      <c r="L581" s="19"/>
      <c r="M581" s="13"/>
      <c r="N581" s="16"/>
      <c r="O581" s="16"/>
      <c r="P581" s="16"/>
      <c r="Q581" s="7"/>
    </row>
    <row r="582" spans="3:17" s="2" customFormat="1" ht="15.75" x14ac:dyDescent="0.25">
      <c r="C582" s="1"/>
      <c r="D582" s="1"/>
      <c r="E582" s="1"/>
      <c r="F582" s="1"/>
      <c r="G582" s="14"/>
      <c r="H582" s="1"/>
      <c r="I582" s="19"/>
      <c r="J582" s="19"/>
      <c r="K582" s="13"/>
      <c r="L582" s="19"/>
      <c r="M582" s="13"/>
      <c r="N582" s="16"/>
      <c r="O582" s="16"/>
      <c r="P582" s="16"/>
      <c r="Q582" s="7"/>
    </row>
    <row r="583" spans="3:17" s="2" customFormat="1" ht="15.75" x14ac:dyDescent="0.25">
      <c r="C583" s="1"/>
      <c r="D583" s="1"/>
      <c r="E583" s="1"/>
      <c r="F583" s="1"/>
      <c r="G583" s="14"/>
      <c r="H583" s="1"/>
      <c r="I583" s="19"/>
      <c r="J583" s="19"/>
      <c r="K583" s="13"/>
      <c r="L583" s="19"/>
      <c r="M583" s="13"/>
      <c r="N583" s="16"/>
      <c r="O583" s="16"/>
      <c r="P583" s="16"/>
      <c r="Q583" s="7"/>
    </row>
    <row r="584" spans="3:17" s="2" customFormat="1" ht="15.75" x14ac:dyDescent="0.25">
      <c r="C584" s="1"/>
      <c r="D584" s="1"/>
      <c r="E584" s="1"/>
      <c r="F584" s="1"/>
      <c r="G584" s="14"/>
      <c r="H584" s="1"/>
      <c r="I584" s="19"/>
      <c r="J584" s="19"/>
      <c r="K584" s="13"/>
      <c r="L584" s="19"/>
      <c r="M584" s="13"/>
      <c r="N584" s="16"/>
      <c r="O584" s="16"/>
      <c r="P584" s="16"/>
      <c r="Q584" s="7"/>
    </row>
    <row r="585" spans="3:17" s="2" customFormat="1" ht="15.75" x14ac:dyDescent="0.25">
      <c r="C585" s="1"/>
      <c r="D585" s="1"/>
      <c r="E585" s="1"/>
      <c r="F585" s="1"/>
      <c r="G585" s="14"/>
      <c r="H585" s="1"/>
      <c r="I585" s="19"/>
      <c r="J585" s="19"/>
      <c r="K585" s="13"/>
      <c r="L585" s="19"/>
      <c r="M585" s="13"/>
      <c r="N585" s="16"/>
      <c r="O585" s="16"/>
      <c r="P585" s="16"/>
      <c r="Q585" s="7"/>
    </row>
    <row r="586" spans="3:17" s="2" customFormat="1" ht="15.75" x14ac:dyDescent="0.25">
      <c r="C586" s="1"/>
      <c r="D586" s="1"/>
      <c r="E586" s="1"/>
      <c r="F586" s="1"/>
      <c r="G586" s="14"/>
      <c r="H586" s="1"/>
      <c r="I586" s="19"/>
      <c r="J586" s="19"/>
      <c r="K586" s="13"/>
      <c r="L586" s="19"/>
      <c r="M586" s="13"/>
      <c r="N586" s="16"/>
      <c r="O586" s="16"/>
      <c r="P586" s="16"/>
      <c r="Q586" s="7"/>
    </row>
    <row r="587" spans="3:17" s="2" customFormat="1" ht="15.75" x14ac:dyDescent="0.25">
      <c r="C587" s="1"/>
      <c r="D587" s="1"/>
      <c r="E587" s="1"/>
      <c r="F587" s="1"/>
      <c r="G587" s="14"/>
      <c r="H587" s="1"/>
      <c r="I587" s="19"/>
      <c r="J587" s="19"/>
      <c r="K587" s="13"/>
      <c r="L587" s="19"/>
      <c r="M587" s="13"/>
      <c r="N587" s="16"/>
      <c r="O587" s="16"/>
      <c r="P587" s="16"/>
      <c r="Q587" s="7"/>
    </row>
    <row r="588" spans="3:17" s="2" customFormat="1" ht="15.75" x14ac:dyDescent="0.25">
      <c r="C588" s="1"/>
      <c r="D588" s="1"/>
      <c r="E588" s="1"/>
      <c r="F588" s="1"/>
      <c r="G588" s="14"/>
      <c r="H588" s="1"/>
      <c r="I588" s="19"/>
      <c r="J588" s="19"/>
      <c r="K588" s="13"/>
      <c r="L588" s="19"/>
      <c r="M588" s="13"/>
      <c r="N588" s="16"/>
      <c r="O588" s="16"/>
      <c r="P588" s="16"/>
      <c r="Q588" s="7"/>
    </row>
    <row r="589" spans="3:17" s="2" customFormat="1" ht="15.75" x14ac:dyDescent="0.25">
      <c r="C589" s="1"/>
      <c r="D589" s="1"/>
      <c r="E589" s="1"/>
      <c r="F589" s="1"/>
      <c r="G589" s="14"/>
      <c r="H589" s="1"/>
      <c r="I589" s="19"/>
      <c r="J589" s="19"/>
      <c r="K589" s="13"/>
      <c r="L589" s="19"/>
      <c r="M589" s="13"/>
      <c r="N589" s="16"/>
      <c r="O589" s="16"/>
      <c r="P589" s="16"/>
      <c r="Q589" s="7"/>
    </row>
    <row r="590" spans="3:17" s="2" customFormat="1" ht="15.75" x14ac:dyDescent="0.25">
      <c r="C590" s="1"/>
      <c r="D590" s="1"/>
      <c r="E590" s="1"/>
      <c r="F590" s="1"/>
      <c r="G590" s="14"/>
      <c r="H590" s="1"/>
      <c r="I590" s="19"/>
      <c r="J590" s="19"/>
      <c r="K590" s="13"/>
      <c r="L590" s="19"/>
      <c r="M590" s="13"/>
      <c r="N590" s="16"/>
      <c r="O590" s="16"/>
      <c r="P590" s="16"/>
      <c r="Q590" s="7"/>
    </row>
    <row r="591" spans="3:17" s="2" customFormat="1" ht="15.75" x14ac:dyDescent="0.25">
      <c r="C591" s="1"/>
      <c r="D591" s="1"/>
      <c r="E591" s="1"/>
      <c r="F591" s="1"/>
      <c r="G591" s="14"/>
      <c r="H591" s="1"/>
      <c r="I591" s="19"/>
      <c r="J591" s="19"/>
      <c r="K591" s="13"/>
      <c r="L591" s="19"/>
      <c r="M591" s="13"/>
      <c r="N591" s="16"/>
      <c r="O591" s="16"/>
      <c r="P591" s="16"/>
      <c r="Q591" s="7"/>
    </row>
    <row r="592" spans="3:17" s="2" customFormat="1" ht="15.75" x14ac:dyDescent="0.25">
      <c r="C592" s="1"/>
      <c r="D592" s="1"/>
      <c r="E592" s="1"/>
      <c r="F592" s="1"/>
      <c r="G592" s="14"/>
      <c r="H592" s="1"/>
      <c r="I592" s="19"/>
      <c r="J592" s="19"/>
      <c r="K592" s="13"/>
      <c r="L592" s="19"/>
      <c r="M592" s="13"/>
      <c r="N592" s="16"/>
      <c r="O592" s="16"/>
      <c r="P592" s="16"/>
      <c r="Q592" s="7"/>
    </row>
    <row r="593" spans="3:17" s="2" customFormat="1" ht="15.75" x14ac:dyDescent="0.25">
      <c r="C593" s="1"/>
      <c r="D593" s="1"/>
      <c r="E593" s="1"/>
      <c r="F593" s="1"/>
      <c r="G593" s="14"/>
      <c r="H593" s="1"/>
      <c r="I593" s="19"/>
      <c r="J593" s="19"/>
      <c r="K593" s="13"/>
      <c r="L593" s="19"/>
      <c r="M593" s="13"/>
      <c r="N593" s="16"/>
      <c r="O593" s="16"/>
      <c r="P593" s="16"/>
      <c r="Q593" s="7"/>
    </row>
    <row r="594" spans="3:17" s="2" customFormat="1" ht="15.75" x14ac:dyDescent="0.25">
      <c r="C594" s="1"/>
      <c r="D594" s="1"/>
      <c r="E594" s="1"/>
      <c r="F594" s="1"/>
      <c r="G594" s="14"/>
      <c r="H594" s="1"/>
      <c r="I594" s="19"/>
      <c r="J594" s="19"/>
      <c r="K594" s="13"/>
      <c r="L594" s="19"/>
      <c r="M594" s="13"/>
      <c r="N594" s="16"/>
      <c r="O594" s="16"/>
      <c r="P594" s="16"/>
      <c r="Q594" s="7"/>
    </row>
    <row r="595" spans="3:17" s="2" customFormat="1" ht="15.75" x14ac:dyDescent="0.25">
      <c r="C595" s="1"/>
      <c r="D595" s="1"/>
      <c r="E595" s="1"/>
      <c r="F595" s="1"/>
      <c r="G595" s="14"/>
      <c r="H595" s="1"/>
      <c r="I595" s="19"/>
      <c r="J595" s="19"/>
      <c r="K595" s="13"/>
      <c r="L595" s="19"/>
      <c r="M595" s="13"/>
      <c r="N595" s="16"/>
      <c r="O595" s="16"/>
      <c r="P595" s="16"/>
      <c r="Q595" s="7"/>
    </row>
    <row r="596" spans="3:17" s="2" customFormat="1" ht="15.75" x14ac:dyDescent="0.25">
      <c r="C596" s="1"/>
      <c r="D596" s="1"/>
      <c r="E596" s="1"/>
      <c r="F596" s="1"/>
      <c r="G596" s="14"/>
      <c r="H596" s="1"/>
      <c r="I596" s="19"/>
      <c r="J596" s="19"/>
      <c r="K596" s="13"/>
      <c r="L596" s="19"/>
      <c r="M596" s="13"/>
      <c r="N596" s="16"/>
      <c r="O596" s="16"/>
      <c r="P596" s="16"/>
      <c r="Q596" s="7"/>
    </row>
    <row r="597" spans="3:17" s="2" customFormat="1" ht="15.75" x14ac:dyDescent="0.25">
      <c r="C597" s="1"/>
      <c r="D597" s="1"/>
      <c r="E597" s="1"/>
      <c r="F597" s="1"/>
      <c r="G597" s="14"/>
      <c r="H597" s="1"/>
      <c r="I597" s="19"/>
      <c r="J597" s="19"/>
      <c r="K597" s="13"/>
      <c r="L597" s="19"/>
      <c r="M597" s="13"/>
      <c r="N597" s="16"/>
      <c r="O597" s="16"/>
      <c r="P597" s="16"/>
      <c r="Q597" s="7"/>
    </row>
    <row r="598" spans="3:17" s="2" customFormat="1" ht="15.75" x14ac:dyDescent="0.25">
      <c r="C598" s="1"/>
      <c r="D598" s="1"/>
      <c r="E598" s="1"/>
      <c r="F598" s="1"/>
      <c r="G598" s="14"/>
      <c r="H598" s="1"/>
      <c r="I598" s="19"/>
      <c r="J598" s="19"/>
      <c r="K598" s="13"/>
      <c r="L598" s="19"/>
      <c r="M598" s="13"/>
      <c r="N598" s="16"/>
      <c r="O598" s="16"/>
      <c r="P598" s="16"/>
      <c r="Q598" s="7"/>
    </row>
    <row r="599" spans="3:17" s="2" customFormat="1" ht="15.75" x14ac:dyDescent="0.25">
      <c r="C599" s="1"/>
      <c r="D599" s="1"/>
      <c r="E599" s="1"/>
      <c r="F599" s="1"/>
      <c r="G599" s="14"/>
      <c r="H599" s="1"/>
      <c r="I599" s="19"/>
      <c r="J599" s="19"/>
      <c r="K599" s="13"/>
      <c r="L599" s="19"/>
      <c r="M599" s="13"/>
      <c r="N599" s="16"/>
      <c r="O599" s="16"/>
      <c r="P599" s="16"/>
      <c r="Q599" s="7"/>
    </row>
    <row r="600" spans="3:17" s="2" customFormat="1" ht="15.75" x14ac:dyDescent="0.25">
      <c r="C600" s="1"/>
      <c r="D600" s="1"/>
      <c r="E600" s="1"/>
      <c r="F600" s="1"/>
      <c r="G600" s="14"/>
      <c r="H600" s="1"/>
      <c r="I600" s="19"/>
      <c r="J600" s="19"/>
      <c r="K600" s="13"/>
      <c r="L600" s="19"/>
      <c r="M600" s="13"/>
      <c r="N600" s="16"/>
      <c r="O600" s="16"/>
      <c r="P600" s="16"/>
      <c r="Q600" s="7"/>
    </row>
  </sheetData>
  <autoFilter ref="B4:Q291">
    <filterColumn colId="1">
      <filters>
        <filter val="Sandia Prk"/>
      </filters>
    </filterColumn>
  </autoFilter>
  <mergeCells count="2">
    <mergeCell ref="F1:M1"/>
    <mergeCell ref="G3:H3"/>
  </mergeCells>
  <conditionalFormatting sqref="O129:O135 N292:N1048576 O145:O291 N1:N4 O5:O118">
    <cfRule type="cellIs" dxfId="4" priority="7" operator="between">
      <formula>-0.001</formula>
      <formula>-999999999</formula>
    </cfRule>
  </conditionalFormatting>
  <conditionalFormatting sqref="O119:O128">
    <cfRule type="cellIs" dxfId="3" priority="5" operator="between">
      <formula>-0.001</formula>
      <formula>-999999999</formula>
    </cfRule>
  </conditionalFormatting>
  <conditionalFormatting sqref="O142:O144">
    <cfRule type="cellIs" dxfId="2" priority="4" operator="between">
      <formula>-0.001</formula>
      <formula>-999999999</formula>
    </cfRule>
  </conditionalFormatting>
  <conditionalFormatting sqref="O139:O141">
    <cfRule type="cellIs" dxfId="1" priority="3" operator="between">
      <formula>-0.001</formula>
      <formula>-999999999</formula>
    </cfRule>
  </conditionalFormatting>
  <conditionalFormatting sqref="O136:O138">
    <cfRule type="cellIs" dxfId="0" priority="2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3"/>
  <sheetViews>
    <sheetView showGridLines="0" workbookViewId="0">
      <selection activeCell="D31" sqref="D31"/>
    </sheetView>
  </sheetViews>
  <sheetFormatPr defaultRowHeight="15" x14ac:dyDescent="0.25"/>
  <cols>
    <col min="1" max="1" width="2.42578125" customWidth="1"/>
    <col min="2" max="2" width="14.7109375" style="14" customWidth="1"/>
    <col min="3" max="3" width="10.7109375" style="14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20" t="s">
        <v>37</v>
      </c>
      <c r="C2" s="120" t="s">
        <v>2</v>
      </c>
      <c r="D2" s="122" t="s">
        <v>38</v>
      </c>
    </row>
    <row r="3" spans="2:11" ht="15.75" customHeight="1" thickBot="1" x14ac:dyDescent="0.3">
      <c r="B3" s="121"/>
      <c r="C3" s="121"/>
      <c r="D3" s="123"/>
    </row>
    <row r="4" spans="2:11" x14ac:dyDescent="0.25">
      <c r="B4" s="124" t="s">
        <v>36</v>
      </c>
      <c r="C4" s="35" t="s">
        <v>15</v>
      </c>
      <c r="D4" s="32">
        <f>SUM(SUMIF('Raw Data'!H5:H500,{"B"}, 'Raw Data'!K5:K500))/SUM(COUNTIF('Raw Data'!H5:H500,{"B"}))</f>
        <v>0.53162585605545876</v>
      </c>
      <c r="K4" s="6">
        <f>SUM('Product Margin Analysis'!D4)</f>
        <v>0.53162585605545876</v>
      </c>
    </row>
    <row r="5" spans="2:11" ht="15.75" thickBot="1" x14ac:dyDescent="0.3">
      <c r="B5" s="125"/>
      <c r="C5" s="36" t="s">
        <v>16</v>
      </c>
      <c r="D5" s="34">
        <f>SUM(SUMIF('Raw Data'!H5:H500,{"K"}, 'Raw Data'!K5:K500))/SUM(COUNTIF('Raw Data'!H5:H500,{"K"}))</f>
        <v>0.40713938207773109</v>
      </c>
    </row>
    <row r="6" spans="2:11" x14ac:dyDescent="0.25">
      <c r="B6" s="126" t="s">
        <v>35</v>
      </c>
      <c r="C6" s="35" t="s">
        <v>24</v>
      </c>
      <c r="D6" s="32">
        <f>SUM(SUMIF('Raw Data'!H5:H500,{"FP","FP-LC","FP-IR","FP-VP","FP-OP"}, 'Raw Data'!K5:K500))/SUM(COUNTIF('Raw Data'!H5:H500,{"FP","FP-LC","FP-IR","FP-VP","FP-OP"}))</f>
        <v>0.49960581640534363</v>
      </c>
    </row>
    <row r="7" spans="2:11" x14ac:dyDescent="0.25">
      <c r="B7" s="127"/>
      <c r="C7" s="30" t="s">
        <v>14</v>
      </c>
      <c r="D7" s="33">
        <f>SUM(SUMIF('Raw Data'!H5:H500,{"IR","IR-LC","IR-FP","IR-VP","IR-OP","IR-Sky"}, 'Raw Data'!K5:K500))/SUM(COUNTIF('Raw Data'!H5:H500,{"IR","IR-LC","IR-FP","IR-VP","IR-OP","IR-Sky"}))</f>
        <v>0.48024004812029264</v>
      </c>
    </row>
    <row r="8" spans="2:11" x14ac:dyDescent="0.25">
      <c r="B8" s="127"/>
      <c r="C8" s="30" t="s">
        <v>17</v>
      </c>
      <c r="D8" s="33">
        <f>SUM(SUMIF('Raw Data'!H5:H500,{"LC","LC-IR","LC-FP","LC-VP","LC-OP","LC-Sky"}, 'Raw Data'!K5:K500))/SUM(COUNTIF('Raw Data'!H5:H500,{"LC","LC-IR","LC-FP","LC-VP","LC-OP","LC-Sky"}))</f>
        <v>0.49823569993591293</v>
      </c>
    </row>
    <row r="9" spans="2:11" x14ac:dyDescent="0.25">
      <c r="B9" s="127"/>
      <c r="C9" s="30" t="s">
        <v>19</v>
      </c>
      <c r="D9" s="33">
        <f>SUM(SUMIF('Raw Data'!H5:H500,{"OP","OP-IR","OP-FP","OP-VP","OP-LC"}, 'Raw Data'!K5:K500))/SUM(COUNTIF('Raw Data'!H5:H500,{"OP","OP-IR","OP-FP","OP-VP","OP-LC"}))</f>
        <v>0.38451179139884878</v>
      </c>
    </row>
    <row r="10" spans="2:11" ht="15.75" thickBot="1" x14ac:dyDescent="0.3">
      <c r="B10" s="128"/>
      <c r="C10" s="36" t="s">
        <v>22</v>
      </c>
      <c r="D10" s="34">
        <f>SUM(SUMIF('Raw Data'!H5:H500,{"VP","VP-IR","VP-FP","VP-OP","VP-LC"}, 'Raw Data'!K5:K500))/SUM(COUNTIF('Raw Data'!H5:H500,{"VP","VP-IR","VP-FP","VP-OP","VP-LC"}))</f>
        <v>0.55217208245536231</v>
      </c>
    </row>
    <row r="11" spans="2:11" x14ac:dyDescent="0.25">
      <c r="B11" s="129" t="s">
        <v>33</v>
      </c>
      <c r="C11" s="35" t="s">
        <v>29</v>
      </c>
      <c r="D11" s="32">
        <f>SUM(SUMIF('Raw Data'!H5:H500,{"SR-206","SR-206-Sky"}, 'Raw Data'!K5:K500))/SUM(COUNTIF('Raw Data'!H5:H500,{"SR-206","SR-206-Sky"}))</f>
        <v>0.62337282881664757</v>
      </c>
    </row>
    <row r="12" spans="2:11" x14ac:dyDescent="0.25">
      <c r="B12" s="130"/>
      <c r="C12" s="30" t="s">
        <v>28</v>
      </c>
      <c r="D12" s="33">
        <f>SUM(SUMIF('Raw Data'!H5:H500,{"SR-306","SR-306-Sky"}, 'Raw Data'!K5:K500))/SUM(COUNTIF('Raw Data'!H5:H500,{"SR-306","SR-306-Sky"}))</f>
        <v>0.51584779385342105</v>
      </c>
    </row>
    <row r="13" spans="2:11" x14ac:dyDescent="0.25">
      <c r="B13" s="130"/>
      <c r="C13" s="30" t="s">
        <v>30</v>
      </c>
      <c r="D13" s="33" t="e">
        <f>SUM(SUMIF('Raw Data'!H5:H500,{"SR-406","SR-406-Sky"}, 'Raw Data'!K5:K500))/SUM(COUNTIF('Raw Data'!H5:H500,{"SR-406","SR-406-Sky"}))</f>
        <v>#DIV/0!</v>
      </c>
    </row>
    <row r="14" spans="2:11" x14ac:dyDescent="0.25">
      <c r="B14" s="130"/>
      <c r="C14" s="30" t="s">
        <v>27</v>
      </c>
      <c r="D14" s="33">
        <f>SUM(SUMIF('Raw Data'!H5:H500,{"SR-VV"}, 'Raw Data'!K5:K500))/SUM(COUNTIF('Raw Data'!H5:H500,{"SR-VV"}))</f>
        <v>0.58909972166391733</v>
      </c>
    </row>
    <row r="15" spans="2:11" ht="15.75" thickBot="1" x14ac:dyDescent="0.3">
      <c r="B15" s="131"/>
      <c r="C15" s="36" t="s">
        <v>31</v>
      </c>
      <c r="D15" s="33" t="e">
        <f>SUM(SUMIF('Raw Data'!H6:H501,{"SCR-WO"}, 'Raw Data'!K6:K501))/SUM(COUNTIF('Raw Data'!H6:H501,{"SCR-WO"}))</f>
        <v>#DIV/0!</v>
      </c>
    </row>
    <row r="16" spans="2:11" x14ac:dyDescent="0.25">
      <c r="B16" s="115" t="s">
        <v>34</v>
      </c>
      <c r="C16" s="35" t="s">
        <v>54</v>
      </c>
      <c r="D16" s="33">
        <f>SUM(SUMIF('Raw Data'!H4:H499,{"D"}, 'Raw Data'!K4:K499))/SUM(COUNTIF('Raw Data'!H4:H499,{"D"}))</f>
        <v>0.47635352731517255</v>
      </c>
    </row>
    <row r="17" spans="2:4" x14ac:dyDescent="0.25">
      <c r="B17" s="116"/>
      <c r="C17" s="31" t="s">
        <v>13</v>
      </c>
      <c r="D17" s="33">
        <f>SUM(SUMIF('Raw Data'!H5:H500,{"W (A)"}, 'Raw Data'!K5:K500))/SUM(COUNTIF('Raw Data'!H5:H500,{"W (A)"}))</f>
        <v>0.51765853743780599</v>
      </c>
    </row>
    <row r="18" spans="2:4" ht="15.75" thickBot="1" x14ac:dyDescent="0.3">
      <c r="B18" s="117"/>
      <c r="C18" s="36" t="s">
        <v>18</v>
      </c>
      <c r="D18" s="37">
        <f>SUM(SUMIF('Raw Data'!H5:H500,{"W"}, 'Raw Data'!K5:K500))/SUM(COUNTIF('Raw Data'!H5:H500,{"W"}))</f>
        <v>0.48694724687061397</v>
      </c>
    </row>
    <row r="19" spans="2:4" ht="15.75" customHeight="1" thickBot="1" x14ac:dyDescent="0.3">
      <c r="B19" s="118" t="s">
        <v>32</v>
      </c>
      <c r="C19" s="119"/>
      <c r="D19" s="28">
        <f>'Raw Data'!$K$3</f>
        <v>0.66472764083407987</v>
      </c>
    </row>
    <row r="20" spans="2:4" ht="15.75" thickBot="1" x14ac:dyDescent="0.3"/>
    <row r="21" spans="2:4" ht="15" customHeight="1" x14ac:dyDescent="0.25">
      <c r="B21" s="140" t="s">
        <v>37</v>
      </c>
      <c r="C21" s="122"/>
      <c r="D21" s="120" t="s">
        <v>51</v>
      </c>
    </row>
    <row r="22" spans="2:4" ht="15.75" customHeight="1" thickBot="1" x14ac:dyDescent="0.3">
      <c r="B22" s="141"/>
      <c r="C22" s="123"/>
      <c r="D22" s="121"/>
    </row>
    <row r="23" spans="2:4" ht="15.75" thickBot="1" x14ac:dyDescent="0.3">
      <c r="B23" s="138" t="s">
        <v>36</v>
      </c>
      <c r="C23" s="139"/>
      <c r="D23" s="81">
        <f>AVERAGE(D4:D5)</f>
        <v>0.46938261906659495</v>
      </c>
    </row>
    <row r="24" spans="2:4" ht="15.75" thickBot="1" x14ac:dyDescent="0.3">
      <c r="B24" s="132" t="s">
        <v>35</v>
      </c>
      <c r="C24" s="133"/>
      <c r="D24" s="81">
        <f>AVERAGE(D6:D10)</f>
        <v>0.48295308766315204</v>
      </c>
    </row>
    <row r="25" spans="2:4" ht="15.75" thickBot="1" x14ac:dyDescent="0.3">
      <c r="B25" s="134" t="s">
        <v>33</v>
      </c>
      <c r="C25" s="135"/>
      <c r="D25" s="81" t="e">
        <f>AVERAGE(D11:D15)</f>
        <v>#DIV/0!</v>
      </c>
    </row>
    <row r="26" spans="2:4" ht="15.75" thickBot="1" x14ac:dyDescent="0.3">
      <c r="B26" s="136" t="s">
        <v>34</v>
      </c>
      <c r="C26" s="137"/>
      <c r="D26" s="81">
        <f>AVERAGE(D16:D18)</f>
        <v>0.49365310387453087</v>
      </c>
    </row>
    <row r="27" spans="2:4" ht="16.5" thickBot="1" x14ac:dyDescent="0.3">
      <c r="B27" s="118" t="s">
        <v>32</v>
      </c>
      <c r="C27" s="119"/>
      <c r="D27" s="28">
        <f>'Raw Data'!$K$3</f>
        <v>0.66472764083407987</v>
      </c>
    </row>
    <row r="28" spans="2:4" x14ac:dyDescent="0.25">
      <c r="B28" s="74"/>
    </row>
    <row r="29" spans="2:4" x14ac:dyDescent="0.25">
      <c r="B29" s="74"/>
    </row>
    <row r="30" spans="2:4" x14ac:dyDescent="0.25">
      <c r="B30" s="74"/>
    </row>
    <row r="31" spans="2:4" x14ac:dyDescent="0.25">
      <c r="B31" s="74"/>
    </row>
    <row r="32" spans="2:4" x14ac:dyDescent="0.25">
      <c r="B32" s="74"/>
    </row>
    <row r="33" spans="2:28" x14ac:dyDescent="0.25">
      <c r="B33" s="74"/>
    </row>
    <row r="34" spans="2:28" x14ac:dyDescent="0.25">
      <c r="B34" s="74"/>
    </row>
    <row r="35" spans="2:28" x14ac:dyDescent="0.25">
      <c r="B35" s="74"/>
    </row>
    <row r="36" spans="2:28" x14ac:dyDescent="0.25">
      <c r="B36" s="74"/>
    </row>
    <row r="37" spans="2:28" ht="15.75" thickBot="1" x14ac:dyDescent="0.3"/>
    <row r="38" spans="2:28" x14ac:dyDescent="0.25">
      <c r="F38" s="78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</row>
    <row r="39" spans="2:28" x14ac:dyDescent="0.25">
      <c r="F39" s="79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9"/>
    </row>
    <row r="40" spans="2:28" x14ac:dyDescent="0.25">
      <c r="F40" s="79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9"/>
    </row>
    <row r="41" spans="2:28" x14ac:dyDescent="0.25">
      <c r="F41" s="7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9"/>
    </row>
    <row r="42" spans="2:28" x14ac:dyDescent="0.25">
      <c r="F42" s="79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9"/>
    </row>
    <row r="43" spans="2:28" x14ac:dyDescent="0.25">
      <c r="F43" s="79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9"/>
    </row>
    <row r="44" spans="2:28" x14ac:dyDescent="0.25">
      <c r="F44" s="79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9"/>
    </row>
    <row r="45" spans="2:28" x14ac:dyDescent="0.25">
      <c r="F45" s="79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9"/>
    </row>
    <row r="46" spans="2:28" x14ac:dyDescent="0.25">
      <c r="F46" s="79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9"/>
    </row>
    <row r="47" spans="2:28" x14ac:dyDescent="0.25">
      <c r="F47" s="7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9"/>
    </row>
    <row r="48" spans="2:28" x14ac:dyDescent="0.25">
      <c r="F48" s="79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9"/>
    </row>
    <row r="49" spans="6:28" x14ac:dyDescent="0.25">
      <c r="F49" s="79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9"/>
    </row>
    <row r="50" spans="6:28" x14ac:dyDescent="0.25">
      <c r="F50" s="79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</row>
    <row r="51" spans="6:28" x14ac:dyDescent="0.25">
      <c r="F51" s="79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</row>
    <row r="52" spans="6:28" x14ac:dyDescent="0.25">
      <c r="F52" s="79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</row>
    <row r="53" spans="6:28" x14ac:dyDescent="0.25">
      <c r="F53" s="79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</row>
    <row r="54" spans="6:28" x14ac:dyDescent="0.25">
      <c r="F54" s="7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</row>
    <row r="55" spans="6:28" x14ac:dyDescent="0.25">
      <c r="F55" s="79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9"/>
    </row>
    <row r="56" spans="6:28" x14ac:dyDescent="0.25">
      <c r="F56" s="79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9"/>
    </row>
    <row r="57" spans="6:28" x14ac:dyDescent="0.25">
      <c r="F57" s="79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9"/>
    </row>
    <row r="58" spans="6:28" x14ac:dyDescent="0.25">
      <c r="F58" s="79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9"/>
    </row>
    <row r="59" spans="6:28" x14ac:dyDescent="0.25">
      <c r="F59" s="79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9"/>
    </row>
    <row r="60" spans="6:28" x14ac:dyDescent="0.25">
      <c r="F60" s="79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9"/>
    </row>
    <row r="61" spans="6:28" x14ac:dyDescent="0.25">
      <c r="F61" s="79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9"/>
    </row>
    <row r="62" spans="6:28" x14ac:dyDescent="0.25">
      <c r="F62" s="79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9"/>
    </row>
    <row r="63" spans="6:28" x14ac:dyDescent="0.25">
      <c r="F63" s="79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9"/>
    </row>
    <row r="64" spans="6:28" x14ac:dyDescent="0.25">
      <c r="F64" s="79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9"/>
    </row>
    <row r="65" spans="6:28" x14ac:dyDescent="0.25">
      <c r="F65" s="79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9"/>
    </row>
    <row r="66" spans="6:28" x14ac:dyDescent="0.25">
      <c r="F66" s="79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9"/>
    </row>
    <row r="67" spans="6:28" x14ac:dyDescent="0.25">
      <c r="F67" s="79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9"/>
    </row>
    <row r="68" spans="6:28" x14ac:dyDescent="0.25">
      <c r="F68" s="79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9"/>
    </row>
    <row r="69" spans="6:28" x14ac:dyDescent="0.25">
      <c r="F69" s="79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9"/>
    </row>
    <row r="70" spans="6:28" x14ac:dyDescent="0.25">
      <c r="F70" s="79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9"/>
    </row>
    <row r="71" spans="6:28" x14ac:dyDescent="0.25">
      <c r="F71" s="79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9"/>
    </row>
    <row r="72" spans="6:28" x14ac:dyDescent="0.25">
      <c r="F72" s="79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9"/>
    </row>
    <row r="73" spans="6:28" ht="15.75" thickBot="1" x14ac:dyDescent="0.3">
      <c r="F73" s="80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4"/>
    </row>
  </sheetData>
  <mergeCells count="15">
    <mergeCell ref="B24:C24"/>
    <mergeCell ref="B25:C25"/>
    <mergeCell ref="B26:C26"/>
    <mergeCell ref="B27:C27"/>
    <mergeCell ref="D21:D22"/>
    <mergeCell ref="B23:C23"/>
    <mergeCell ref="B21:C22"/>
    <mergeCell ref="B16:B18"/>
    <mergeCell ref="B19:C19"/>
    <mergeCell ref="B2:B3"/>
    <mergeCell ref="C2:C3"/>
    <mergeCell ref="D2:D3"/>
    <mergeCell ref="B4:B5"/>
    <mergeCell ref="B6:B10"/>
    <mergeCell ref="B11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showGridLines="0" workbookViewId="0">
      <selection activeCell="E28" sqref="E28"/>
    </sheetView>
  </sheetViews>
  <sheetFormatPr defaultRowHeight="15" x14ac:dyDescent="0.25"/>
  <cols>
    <col min="1" max="1" width="2.42578125" customWidth="1"/>
    <col min="2" max="2" width="14.7109375" style="14" customWidth="1"/>
    <col min="3" max="3" width="10.7109375" style="14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20" t="s">
        <v>37</v>
      </c>
      <c r="C2" s="120" t="s">
        <v>2</v>
      </c>
      <c r="D2" s="122" t="s">
        <v>3</v>
      </c>
      <c r="E2" s="122" t="s">
        <v>39</v>
      </c>
    </row>
    <row r="3" spans="1:12" ht="15.75" customHeight="1" thickBot="1" x14ac:dyDescent="0.3">
      <c r="B3" s="121"/>
      <c r="C3" s="121"/>
      <c r="D3" s="123"/>
      <c r="E3" s="123"/>
    </row>
    <row r="4" spans="1:12" x14ac:dyDescent="0.25">
      <c r="A4" s="46"/>
      <c r="B4" s="124" t="s">
        <v>36</v>
      </c>
      <c r="C4" s="35" t="s">
        <v>15</v>
      </c>
      <c r="D4" s="38">
        <f>SUM(SUMIF('Raw Data'!$H$5:$H$500,{"B"}, 'Raw Data'!$I$5:$I$500))</f>
        <v>667787.82579841639</v>
      </c>
      <c r="E4" s="38">
        <f>SUM(SUMIF('Raw Data'!$H$5:$H$500,{"B"}, 'Raw Data'!$I$5:$I$500))/SUM(COUNTIF('Raw Data'!$H$5:$H$500,{"B"}))</f>
        <v>9539.8260828345192</v>
      </c>
      <c r="L4" s="6">
        <f>SUM('Product Revenue Analysis'!D4)</f>
        <v>667787.82579841639</v>
      </c>
    </row>
    <row r="5" spans="1:12" ht="15.75" thickBot="1" x14ac:dyDescent="0.3">
      <c r="A5" s="46"/>
      <c r="B5" s="125"/>
      <c r="C5" s="36" t="s">
        <v>16</v>
      </c>
      <c r="D5" s="41">
        <f>SUM(SUMIF('Raw Data'!$H$5:$H$500,{"K"}, 'Raw Data'!$I$5:$I$500))</f>
        <v>376306.74860465113</v>
      </c>
      <c r="E5" s="41">
        <f>SUM(SUMIF('Raw Data'!$H$5:$H$500,{"K"}, 'Raw Data'!$I$5:$I$500))/SUM(COUNTIF('Raw Data'!$H$5:$H$500,{"K"}))</f>
        <v>26879.053471760795</v>
      </c>
    </row>
    <row r="6" spans="1:12" x14ac:dyDescent="0.25">
      <c r="A6" s="46"/>
      <c r="B6" s="126" t="s">
        <v>35</v>
      </c>
      <c r="C6" s="35" t="s">
        <v>24</v>
      </c>
      <c r="D6" s="38">
        <f>SUM(SUMIF('Raw Data'!$H$5:$H$500,{"FP","FP-LC","FP-IR","FP-VP","FP-OP"}, 'Raw Data'!$I$5:$I$500))</f>
        <v>79420.33</v>
      </c>
      <c r="E6" s="38">
        <f>SUM(SUMIF('Raw Data'!$H$5:$H$500,{"FP","FP-LC","FP-IR","FP-VP","FP-OP"}, 'Raw Data'!$I$5:$I$500))/SUM(COUNTIF('Raw Data'!$H$5:$H$500,{"FP","FP-LC","FP-IR","FP-VP","FP-OP"}))</f>
        <v>6618.3608333333332</v>
      </c>
    </row>
    <row r="7" spans="1:12" x14ac:dyDescent="0.25">
      <c r="A7" s="46"/>
      <c r="B7" s="127"/>
      <c r="C7" s="30" t="s">
        <v>14</v>
      </c>
      <c r="D7" s="40">
        <f>SUM(SUMIF('Raw Data'!$H$5:$H$500,{"IR","IR-LC","IR-FP","IR-VP","IR-OP","IR-Sky"}, 'Raw Data'!$I$5:$I$500))</f>
        <v>340490.05959302332</v>
      </c>
      <c r="E7" s="40">
        <f>SUM(SUMIF('Raw Data'!$H$5:$H$500,{"IR","IR-LC","IR-FP","IR-VP","IR-OP","IR-Sky"}, 'Raw Data'!$I$5:$I$500))/SUM(COUNTIF('Raw Data'!$H$5:$H$500,{"IR","IR-LC","IR-FP","IR-VP","IR-OP","IR-Sky"}))</f>
        <v>9728.2874169435236</v>
      </c>
    </row>
    <row r="8" spans="1:12" x14ac:dyDescent="0.25">
      <c r="A8" s="46"/>
      <c r="B8" s="127"/>
      <c r="C8" s="30" t="s">
        <v>17</v>
      </c>
      <c r="D8" s="40">
        <f>SUM(SUMIF('Raw Data'!$H$5:$H$500,{"LC","LC-IR","LC-FP","LC-VP","LC-OP","LC-Sky"}, 'Raw Data'!$I$5:$I$500))</f>
        <v>140698.03618294842</v>
      </c>
      <c r="E8" s="41">
        <f>SUM(SUMIF('Raw Data'!$H$5:$H$500,{"LC","LC-IR","LC-FP","LC-VP","LC-OP","LC-Sky"}, 'Raw Data'!$I$5:$I$500))/SUM(COUNTIF('Raw Data'!$H$5:$H$500,{"LC","LC-IR","LC-FP","LC-VP","LC-OP","LC-Sky"}))</f>
        <v>6395.3652810431095</v>
      </c>
    </row>
    <row r="9" spans="1:12" x14ac:dyDescent="0.25">
      <c r="A9" s="46"/>
      <c r="B9" s="127"/>
      <c r="C9" s="30" t="s">
        <v>19</v>
      </c>
      <c r="D9" s="40">
        <f>SUM(SUMIF('Raw Data'!$H$5:$H$500,{"OP","OP-IR"}, 'Raw Data'!$I$5:$I$500))</f>
        <v>63440.79</v>
      </c>
      <c r="E9" s="40">
        <f>SUM(SUMIF('Raw Data'!$H$5:$H$500,{"OP","OP-IR"}, 'Raw Data'!$I$5:$I$500))/SUM(COUNTIF('Raw Data'!$H$5:$H$500,{"OP","OP-IR"}))</f>
        <v>15860.1975</v>
      </c>
    </row>
    <row r="10" spans="1:12" ht="15.75" thickBot="1" x14ac:dyDescent="0.3">
      <c r="A10" s="46"/>
      <c r="B10" s="128"/>
      <c r="C10" s="36" t="s">
        <v>22</v>
      </c>
      <c r="D10" s="41">
        <f>SUM(SUMIF('Raw Data'!$H$5:$H$500,{"VP","VP-IR","VP-FP","VP-OP","VP-LC"}, 'Raw Data'!$I$5:$I$500))</f>
        <v>68401.83</v>
      </c>
      <c r="E10" s="39">
        <f>SUM(SUMIF('Raw Data'!$H$5:$H$500,{"VP","VP-IR","VP-FP","VP-OP","VP-LC"}, 'Raw Data'!$I$5:$I$500))/SUM(COUNTIF('Raw Data'!$H$5:$H$500,{"VP","VP-IR","VP-FP","VP-OP","VP-LC"}))</f>
        <v>7600.2033333333338</v>
      </c>
    </row>
    <row r="11" spans="1:12" x14ac:dyDescent="0.25">
      <c r="A11" s="46"/>
      <c r="B11" s="129" t="s">
        <v>33</v>
      </c>
      <c r="C11" s="35" t="s">
        <v>29</v>
      </c>
      <c r="D11" s="38">
        <f>SUM(SUMIF('Raw Data'!$H$5:$H$500,{"SR-206","SR-206-Sky"}, 'Raw Data'!$I$5:$I$500))</f>
        <v>80461.079999999987</v>
      </c>
      <c r="E11" s="38">
        <f>SUM(SUMIF('Raw Data'!$H$5:$H$500,{"SR-206","SR-206-Sky"}, 'Raw Data'!$I$5:$I$500))/SUM(COUNTIF('Raw Data'!$H$5:$H$500,{"SR-206","SR-206-Sky"}))</f>
        <v>16092.215999999997</v>
      </c>
    </row>
    <row r="12" spans="1:12" x14ac:dyDescent="0.25">
      <c r="A12" s="46"/>
      <c r="B12" s="130"/>
      <c r="C12" s="30" t="s">
        <v>28</v>
      </c>
      <c r="D12" s="40">
        <f>SUM(SUMIF('Raw Data'!$H$5:$H$500,{"SR-306","SR-306-Sky"}, 'Raw Data'!$I$5:$I$500))</f>
        <v>246767.3</v>
      </c>
      <c r="E12" s="40">
        <f>SUM(SUMIF('Raw Data'!$H$5:$H$500,{"SR-306","SR-306-Sky"}, 'Raw Data'!$I$5:$I$500))/SUM(COUNTIF('Raw Data'!$H$5:$H$500,{"SR-306","SR-306-Sky"}))</f>
        <v>30845.912499999999</v>
      </c>
    </row>
    <row r="13" spans="1:12" x14ac:dyDescent="0.25">
      <c r="A13" s="46"/>
      <c r="B13" s="130"/>
      <c r="C13" s="30" t="s">
        <v>30</v>
      </c>
      <c r="D13" s="40">
        <f>SUM(SUMIF('Raw Data'!$H$5:$H$500,{"SR-406","SR-406-Sky"}, 'Raw Data'!$I$5:$I$500))</f>
        <v>0</v>
      </c>
      <c r="E13" s="40" t="e">
        <f>SUM(SUMIF('Raw Data'!$H$5:$H$500,{"SR-406","SR-406-Sky"}, 'Raw Data'!$I$5:$I$500))/SUM(COUNTIF('Raw Data'!$H$5:$H$500,{"SR-406","SR-406-Sky"}))</f>
        <v>#DIV/0!</v>
      </c>
    </row>
    <row r="14" spans="1:12" x14ac:dyDescent="0.25">
      <c r="A14" s="46"/>
      <c r="B14" s="130"/>
      <c r="C14" s="30" t="s">
        <v>27</v>
      </c>
      <c r="D14" s="40">
        <f>SUM(SUMIF('Raw Data'!$H$5:$H$500,{"SR-VV"}, 'Raw Data'!$I$5:$I$500))</f>
        <v>113884.80454915648</v>
      </c>
      <c r="E14" s="40">
        <f>SUM(SUMIF('Raw Data'!$H$5:$H$500,{"SR-VV"}, 'Raw Data'!$I$5:$I$500))/SUM(COUNTIF('Raw Data'!$H$5:$H$500,{"SR-VV"}))</f>
        <v>14235.600568644561</v>
      </c>
    </row>
    <row r="15" spans="1:12" ht="15.75" thickBot="1" x14ac:dyDescent="0.3">
      <c r="B15" s="131"/>
      <c r="C15" s="36" t="s">
        <v>31</v>
      </c>
      <c r="D15" s="41">
        <f>SUM(SUMIF('Raw Data'!$H$5:$H$500,{"SCR-WO"}, 'Raw Data'!$I$5:$I$500))</f>
        <v>0</v>
      </c>
      <c r="E15" s="40" t="e">
        <f>SUM(SUMIF('Raw Data'!$H$5:$H$500,{"SCR-WO"}, 'Raw Data'!$I$5:$I$500))/SUM(COUNTIF('Raw Data'!$H$5:$H$500,{"SCR-WO"}))</f>
        <v>#DIV/0!</v>
      </c>
    </row>
    <row r="16" spans="1:12" x14ac:dyDescent="0.25">
      <c r="B16" s="115" t="s">
        <v>34</v>
      </c>
      <c r="C16" s="35" t="s">
        <v>54</v>
      </c>
      <c r="D16" s="38">
        <f>SUM(SUMIF('Raw Data'!$H$5:$H$500,{"D"}, 'Raw Data'!$I$5:$I$500))</f>
        <v>76687.88</v>
      </c>
      <c r="E16" s="40">
        <f>SUM(SUMIF('Raw Data'!$H$5:$H$500,{"D"}, 'Raw Data'!$I$5:$I$500))/SUM(COUNTIF('Raw Data'!$H$5:$H$500,{"D"}))</f>
        <v>5477.7057142857147</v>
      </c>
    </row>
    <row r="17" spans="2:5" x14ac:dyDescent="0.25">
      <c r="B17" s="116"/>
      <c r="C17" s="31" t="s">
        <v>13</v>
      </c>
      <c r="D17" s="40">
        <f>SUM(SUMIF('Raw Data'!$H$5:$H$500,{"W (A)"}, 'Raw Data'!$I$5:$I$500))</f>
        <v>148952.69208964924</v>
      </c>
      <c r="E17" s="40">
        <f>SUM(SUMIF('Raw Data'!$H$5:$H$500,{"W (A)"}, 'Raw Data'!$I$5:$I$500))/SUM(COUNTIF('Raw Data'!$H$5:$H$500,{"W (A)"}))</f>
        <v>7447.6346044824622</v>
      </c>
    </row>
    <row r="18" spans="2:5" ht="15.75" thickBot="1" x14ac:dyDescent="0.3">
      <c r="B18" s="117"/>
      <c r="C18" s="36" t="s">
        <v>18</v>
      </c>
      <c r="D18" s="41">
        <f>SUM(SUMIF('Raw Data'!$H$5:$H$500,{"W"}, 'Raw Data'!$I$5:$I$500))</f>
        <v>399318.21537795727</v>
      </c>
      <c r="E18" s="40">
        <f>SUM(SUMIF('Raw Data'!$H$5:$H$500,{"W"}, 'Raw Data'!$I$5:$I$500))/SUM(COUNTIF('Raw Data'!$H$5:$H$500,{"W"}))</f>
        <v>14789.563532516935</v>
      </c>
    </row>
    <row r="19" spans="2:5" ht="15.75" customHeight="1" thickBot="1" x14ac:dyDescent="0.3">
      <c r="B19" s="118" t="s">
        <v>32</v>
      </c>
      <c r="C19" s="119"/>
      <c r="D19" s="45">
        <f>SUM(D4:D18)</f>
        <v>2802617.5921958024</v>
      </c>
      <c r="E19" s="45" t="e">
        <f>AVERAGE(E4:E18)</f>
        <v>#DIV/0!</v>
      </c>
    </row>
    <row r="20" spans="2:5" ht="15.75" thickBot="1" x14ac:dyDescent="0.3"/>
    <row r="21" spans="2:5" ht="15" customHeight="1" x14ac:dyDescent="0.25">
      <c r="B21" s="140" t="s">
        <v>50</v>
      </c>
      <c r="C21" s="122"/>
      <c r="D21" s="122" t="s">
        <v>3</v>
      </c>
      <c r="E21" s="122" t="s">
        <v>39</v>
      </c>
    </row>
    <row r="22" spans="2:5" ht="15.75" customHeight="1" thickBot="1" x14ac:dyDescent="0.3">
      <c r="B22" s="141"/>
      <c r="C22" s="123"/>
      <c r="D22" s="123"/>
      <c r="E22" s="123"/>
    </row>
    <row r="23" spans="2:5" ht="15.75" thickBot="1" x14ac:dyDescent="0.3">
      <c r="B23" s="138" t="s">
        <v>36</v>
      </c>
      <c r="C23" s="143"/>
      <c r="D23" s="77">
        <f>SUM(D4:D5)</f>
        <v>1044094.5744030676</v>
      </c>
      <c r="E23" s="77">
        <f>AVERAGE(E4:E5)</f>
        <v>18209.439777297659</v>
      </c>
    </row>
    <row r="24" spans="2:5" ht="15.75" thickBot="1" x14ac:dyDescent="0.3">
      <c r="B24" s="144" t="s">
        <v>35</v>
      </c>
      <c r="C24" s="145"/>
      <c r="D24" s="41">
        <f>SUM(D6:D10)</f>
        <v>692451.04577597172</v>
      </c>
      <c r="E24" s="41">
        <f>AVERAGE(E6:E10)</f>
        <v>9240.4828729306591</v>
      </c>
    </row>
    <row r="25" spans="2:5" ht="15.75" thickBot="1" x14ac:dyDescent="0.3">
      <c r="B25" s="134" t="s">
        <v>33</v>
      </c>
      <c r="C25" s="146"/>
      <c r="D25" s="77">
        <f>SUM(D11:D15)</f>
        <v>441113.18454915646</v>
      </c>
      <c r="E25" s="77" t="e">
        <f>AVERAGE(E11:E15)</f>
        <v>#DIV/0!</v>
      </c>
    </row>
    <row r="26" spans="2:5" ht="15.75" thickBot="1" x14ac:dyDescent="0.3">
      <c r="B26" s="136" t="s">
        <v>34</v>
      </c>
      <c r="C26" s="147"/>
      <c r="D26" s="77">
        <f>SUM(D16:D18)</f>
        <v>624958.78746760648</v>
      </c>
      <c r="E26" s="77">
        <f>AVERAGE(E16:E18)</f>
        <v>9238.3012837617043</v>
      </c>
    </row>
    <row r="27" spans="2:5" x14ac:dyDescent="0.25">
      <c r="B27" s="74"/>
      <c r="C27" s="75"/>
      <c r="D27" s="68"/>
      <c r="E27" s="68"/>
    </row>
    <row r="28" spans="2:5" x14ac:dyDescent="0.25">
      <c r="B28" s="74"/>
      <c r="C28" s="75"/>
      <c r="D28" s="68"/>
      <c r="E28" s="68"/>
    </row>
    <row r="29" spans="2:5" x14ac:dyDescent="0.25">
      <c r="B29" s="74"/>
      <c r="C29" s="75"/>
      <c r="D29" s="68"/>
      <c r="E29" s="68"/>
    </row>
    <row r="30" spans="2:5" x14ac:dyDescent="0.25">
      <c r="B30" s="74"/>
      <c r="C30" s="75"/>
      <c r="D30" s="68"/>
      <c r="E30" s="68"/>
    </row>
    <row r="31" spans="2:5" x14ac:dyDescent="0.25">
      <c r="B31" s="74"/>
      <c r="C31" s="75"/>
      <c r="D31" s="68"/>
      <c r="E31" s="68"/>
    </row>
    <row r="32" spans="2:5" x14ac:dyDescent="0.25">
      <c r="B32" s="74"/>
      <c r="C32" s="75"/>
      <c r="D32" s="68"/>
      <c r="E32" s="68"/>
    </row>
    <row r="33" spans="2:5" x14ac:dyDescent="0.25">
      <c r="B33" s="74"/>
      <c r="C33" s="75"/>
      <c r="D33" s="68"/>
      <c r="E33" s="68"/>
    </row>
    <row r="34" spans="2:5" x14ac:dyDescent="0.25">
      <c r="B34" s="74"/>
      <c r="C34" s="75"/>
      <c r="D34" s="68"/>
      <c r="E34" s="68"/>
    </row>
    <row r="35" spans="2:5" x14ac:dyDescent="0.25">
      <c r="B35" s="74"/>
      <c r="C35" s="75"/>
      <c r="D35" s="68"/>
      <c r="E35" s="68"/>
    </row>
    <row r="36" spans="2:5" x14ac:dyDescent="0.25">
      <c r="B36" s="74"/>
      <c r="C36" s="75"/>
      <c r="D36" s="68"/>
      <c r="E36" s="68"/>
    </row>
    <row r="37" spans="2:5" x14ac:dyDescent="0.25">
      <c r="B37" s="74"/>
      <c r="C37" s="75"/>
      <c r="D37" s="68"/>
      <c r="E37" s="68"/>
    </row>
    <row r="38" spans="2:5" ht="15.75" x14ac:dyDescent="0.25">
      <c r="B38" s="142"/>
      <c r="C38" s="142"/>
      <c r="D38" s="76"/>
      <c r="E38" s="76"/>
    </row>
    <row r="39" spans="2:5" x14ac:dyDescent="0.25">
      <c r="C39" s="43"/>
      <c r="D39" s="44"/>
      <c r="E39" s="44"/>
    </row>
    <row r="40" spans="2:5" x14ac:dyDescent="0.25">
      <c r="C40" s="43"/>
      <c r="D40" s="44"/>
      <c r="E40" s="44"/>
    </row>
    <row r="74" spans="7:28" ht="15.75" thickBot="1" x14ac:dyDescent="0.3"/>
    <row r="75" spans="7:28" x14ac:dyDescent="0.25">
      <c r="G75" s="78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6"/>
    </row>
    <row r="76" spans="7:28" x14ac:dyDescent="0.25">
      <c r="G76" s="79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9"/>
    </row>
    <row r="77" spans="7:28" x14ac:dyDescent="0.25">
      <c r="G77" s="79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9"/>
    </row>
    <row r="78" spans="7:28" x14ac:dyDescent="0.25">
      <c r="G78" s="79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9"/>
    </row>
    <row r="79" spans="7:28" x14ac:dyDescent="0.25">
      <c r="G79" s="79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9"/>
    </row>
    <row r="80" spans="7:28" x14ac:dyDescent="0.25">
      <c r="G80" s="79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9"/>
    </row>
    <row r="81" spans="7:28" x14ac:dyDescent="0.25">
      <c r="G81" s="79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9"/>
    </row>
    <row r="82" spans="7:28" x14ac:dyDescent="0.25">
      <c r="G82" s="79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9"/>
    </row>
    <row r="83" spans="7:28" x14ac:dyDescent="0.25">
      <c r="G83" s="79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</row>
    <row r="84" spans="7:28" x14ac:dyDescent="0.25">
      <c r="G84" s="79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9"/>
    </row>
    <row r="85" spans="7:28" x14ac:dyDescent="0.25">
      <c r="G85" s="79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9"/>
    </row>
    <row r="86" spans="7:28" x14ac:dyDescent="0.25">
      <c r="G86" s="79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9"/>
    </row>
    <row r="87" spans="7:28" x14ac:dyDescent="0.25">
      <c r="G87" s="79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9"/>
    </row>
    <row r="88" spans="7:28" x14ac:dyDescent="0.25">
      <c r="G88" s="79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9"/>
    </row>
    <row r="89" spans="7:28" x14ac:dyDescent="0.25">
      <c r="G89" s="79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9"/>
    </row>
    <row r="90" spans="7:28" x14ac:dyDescent="0.25">
      <c r="G90" s="79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9"/>
    </row>
    <row r="91" spans="7:28" x14ac:dyDescent="0.25">
      <c r="G91" s="79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9"/>
    </row>
    <row r="92" spans="7:28" x14ac:dyDescent="0.25">
      <c r="G92" s="79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9"/>
    </row>
    <row r="93" spans="7:28" x14ac:dyDescent="0.25">
      <c r="G93" s="79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9"/>
    </row>
    <row r="94" spans="7:28" x14ac:dyDescent="0.25">
      <c r="G94" s="79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9"/>
    </row>
    <row r="95" spans="7:28" x14ac:dyDescent="0.25">
      <c r="G95" s="79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9"/>
    </row>
    <row r="96" spans="7:28" x14ac:dyDescent="0.25">
      <c r="G96" s="79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9"/>
    </row>
    <row r="97" spans="7:28" x14ac:dyDescent="0.25">
      <c r="G97" s="79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9"/>
    </row>
    <row r="98" spans="7:28" x14ac:dyDescent="0.25">
      <c r="G98" s="79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9"/>
    </row>
    <row r="99" spans="7:28" x14ac:dyDescent="0.25">
      <c r="G99" s="79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9"/>
    </row>
    <row r="100" spans="7:28" x14ac:dyDescent="0.25">
      <c r="G100" s="79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9"/>
    </row>
    <row r="101" spans="7:28" x14ac:dyDescent="0.25">
      <c r="G101" s="79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9"/>
    </row>
    <row r="102" spans="7:28" x14ac:dyDescent="0.25">
      <c r="G102" s="79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9"/>
    </row>
    <row r="103" spans="7:28" x14ac:dyDescent="0.25">
      <c r="G103" s="79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9"/>
    </row>
    <row r="104" spans="7:28" x14ac:dyDescent="0.25">
      <c r="G104" s="79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9"/>
    </row>
    <row r="105" spans="7:28" x14ac:dyDescent="0.25">
      <c r="G105" s="79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9"/>
    </row>
    <row r="106" spans="7:28" x14ac:dyDescent="0.25">
      <c r="G106" s="79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9"/>
    </row>
    <row r="107" spans="7:28" x14ac:dyDescent="0.25">
      <c r="G107" s="79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9"/>
    </row>
    <row r="108" spans="7:28" x14ac:dyDescent="0.25">
      <c r="G108" s="79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9"/>
    </row>
    <row r="109" spans="7:28" x14ac:dyDescent="0.25">
      <c r="G109" s="79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9"/>
    </row>
    <row r="110" spans="7:28" ht="15.75" thickBot="1" x14ac:dyDescent="0.3">
      <c r="G110" s="80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4"/>
    </row>
  </sheetData>
  <mergeCells count="17">
    <mergeCell ref="B38:C38"/>
    <mergeCell ref="B23:C23"/>
    <mergeCell ref="B24:C24"/>
    <mergeCell ref="B25:C25"/>
    <mergeCell ref="B26:C26"/>
    <mergeCell ref="D21:D22"/>
    <mergeCell ref="E21:E22"/>
    <mergeCell ref="B21:C22"/>
    <mergeCell ref="B16:B18"/>
    <mergeCell ref="B19:C19"/>
    <mergeCell ref="B6:B10"/>
    <mergeCell ref="B11:B15"/>
    <mergeCell ref="E2:E3"/>
    <mergeCell ref="B2:B3"/>
    <mergeCell ref="C2:C3"/>
    <mergeCell ref="D2:D3"/>
    <mergeCell ref="B4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C29" sqref="C29"/>
    </sheetView>
  </sheetViews>
  <sheetFormatPr defaultRowHeight="15" x14ac:dyDescent="0.25"/>
  <cols>
    <col min="1" max="1" width="2.42578125" customWidth="1"/>
    <col min="2" max="2" width="14.7109375" style="14" customWidth="1"/>
    <col min="3" max="3" width="15.7109375" style="14" customWidth="1"/>
    <col min="4" max="4" width="16.7109375" style="1" customWidth="1"/>
    <col min="5" max="5" width="2.42578125" customWidth="1"/>
  </cols>
  <sheetData>
    <row r="1" spans="1:28" ht="15.75" thickBot="1" x14ac:dyDescent="0.3"/>
    <row r="2" spans="1:28" ht="15" customHeight="1" x14ac:dyDescent="0.25">
      <c r="B2" s="120" t="s">
        <v>37</v>
      </c>
      <c r="C2" s="120" t="s">
        <v>8</v>
      </c>
      <c r="D2" s="122" t="s">
        <v>21</v>
      </c>
      <c r="F2" s="78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ht="15.75" customHeight="1" thickBot="1" x14ac:dyDescent="0.3">
      <c r="B3" s="150"/>
      <c r="C3" s="121"/>
      <c r="D3" s="123"/>
      <c r="F3" s="79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25">
      <c r="A4" s="46"/>
      <c r="B4" s="91"/>
      <c r="C4" s="94"/>
      <c r="D4" s="47" t="e">
        <f>SUM(SUMIF('Raw Data'!$E$5:$E$500,$C4, 'Raw Data'!$K$5:$K$500))/SUM(COUNTIF('Raw Data'!$E$5:$E$500,$C4))</f>
        <v>#DIV/0!</v>
      </c>
      <c r="F4" s="79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25">
      <c r="A5" s="46"/>
      <c r="B5" s="92"/>
      <c r="C5" s="95"/>
      <c r="D5" s="49" t="e">
        <f>SUM(SUMIF('Raw Data'!$E$5:$E$500,$C5, 'Raw Data'!$K$5:$K$500))/SUM(COUNTIF('Raw Data'!$E$5:$E$500,$C5))</f>
        <v>#DIV/0!</v>
      </c>
      <c r="F5" s="79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9"/>
    </row>
    <row r="6" spans="1:28" x14ac:dyDescent="0.25">
      <c r="A6" s="46"/>
      <c r="B6" s="92"/>
      <c r="C6" s="95"/>
      <c r="D6" s="49" t="e">
        <f>SUM(SUMIF('Raw Data'!$E$5:$E$500,$C6, 'Raw Data'!$K$5:$K$500))/SUM(COUNTIF('Raw Data'!$E$5:$E$500,$C6))</f>
        <v>#DIV/0!</v>
      </c>
      <c r="F6" s="79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/>
    </row>
    <row r="7" spans="1:28" x14ac:dyDescent="0.25">
      <c r="A7" s="46"/>
      <c r="B7" s="92"/>
      <c r="C7" s="95"/>
      <c r="D7" s="49" t="e">
        <f>SUM(SUMIF('Raw Data'!$E$5:$E$500,$C7, 'Raw Data'!$K$5:$K$500))/SUM(COUNTIF('Raw Data'!$E$5:$E$500,$C7))</f>
        <v>#DIV/0!</v>
      </c>
      <c r="F7" s="79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x14ac:dyDescent="0.25">
      <c r="B8" s="92"/>
      <c r="C8" s="96"/>
      <c r="D8" s="49" t="e">
        <f>SUM(SUMIF('Raw Data'!$E$5:$E$500,$C8, 'Raw Data'!$K$5:$K$500))/SUM(COUNTIF('Raw Data'!$E$5:$E$500,$C8))</f>
        <v>#DIV/0!</v>
      </c>
      <c r="F8" s="7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9"/>
    </row>
    <row r="9" spans="1:28" x14ac:dyDescent="0.25">
      <c r="B9" s="92"/>
      <c r="C9" s="95"/>
      <c r="D9" s="49" t="e">
        <f>SUM(SUMIF('Raw Data'!$E$5:$E$500,$C9, 'Raw Data'!$K$5:$K$500))/SUM(COUNTIF('Raw Data'!$E$5:$E$500,$C9))</f>
        <v>#DIV/0!</v>
      </c>
      <c r="F9" s="79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/>
    </row>
    <row r="10" spans="1:28" x14ac:dyDescent="0.25">
      <c r="B10" s="92"/>
      <c r="C10" s="104"/>
      <c r="D10" s="49" t="e">
        <f>SUM(SUMIF('Raw Data'!$E$5:$E$500,$C10, 'Raw Data'!$K$5:$K$500))/SUM(COUNTIF('Raw Data'!$E$5:$E$500,$C10))</f>
        <v>#DIV/0!</v>
      </c>
      <c r="F10" s="7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9"/>
    </row>
    <row r="11" spans="1:28" x14ac:dyDescent="0.25">
      <c r="A11" s="46"/>
      <c r="B11" s="92"/>
      <c r="C11" s="96"/>
      <c r="D11" s="48" t="e">
        <f>SUM(SUMIF('Raw Data'!$E$5:$E$500,$C11, 'Raw Data'!$K$5:$K$500))/SUM(COUNTIF('Raw Data'!$E$5:$E$500,$C11))</f>
        <v>#DIV/0!</v>
      </c>
      <c r="F11" s="79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9"/>
    </row>
    <row r="12" spans="1:28" x14ac:dyDescent="0.25">
      <c r="A12" s="46"/>
      <c r="B12" s="92"/>
      <c r="C12" s="95"/>
      <c r="D12" s="49" t="e">
        <f>SUM(SUMIF('Raw Data'!$E$5:$E$500,$C12, 'Raw Data'!$K$5:$K$500))/SUM(COUNTIF('Raw Data'!$E$5:$E$500,$C12))</f>
        <v>#DIV/0!</v>
      </c>
      <c r="F12" s="79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</row>
    <row r="13" spans="1:28" ht="15.75" customHeight="1" x14ac:dyDescent="0.25">
      <c r="B13" s="92"/>
      <c r="C13" s="95"/>
      <c r="D13" s="49" t="e">
        <f>SUM(SUMIF('Raw Data'!$E$5:$E$500,$C13, 'Raw Data'!$K$5:$K$500))/SUM(COUNTIF('Raw Data'!$E$5:$E$500,$C13))</f>
        <v>#DIV/0!</v>
      </c>
      <c r="F13" s="79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9"/>
    </row>
    <row r="14" spans="1:28" ht="15.75" customHeight="1" x14ac:dyDescent="0.25">
      <c r="B14" s="92"/>
      <c r="C14" s="95"/>
      <c r="D14" s="49" t="e">
        <f>SUM(SUMIF('Raw Data'!$E$5:$E$500,$C14, 'Raw Data'!$K$5:$K$500))/SUM(COUNTIF('Raw Data'!$E$5:$E$500,$C14))</f>
        <v>#DIV/0!</v>
      </c>
      <c r="F14" s="79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9"/>
    </row>
    <row r="15" spans="1:28" x14ac:dyDescent="0.25">
      <c r="B15" s="92"/>
      <c r="C15" s="95"/>
      <c r="D15" s="49" t="e">
        <f>SUM(SUMIF('Raw Data'!$E$5:$E$500,$C15, 'Raw Data'!$K$5:$K$500))/SUM(COUNTIF('Raw Data'!$E$5:$E$500,$C15))</f>
        <v>#DIV/0!</v>
      </c>
      <c r="F15" s="79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</row>
    <row r="16" spans="1:28" x14ac:dyDescent="0.25">
      <c r="B16" s="92"/>
      <c r="C16" s="95"/>
      <c r="D16" s="49" t="e">
        <f>SUM(SUMIF('Raw Data'!$E$5:$E$500,$C16, 'Raw Data'!$K$5:$K$500))/SUM(COUNTIF('Raw Data'!$E$5:$E$500,$C16))</f>
        <v>#DIV/0!</v>
      </c>
      <c r="F16" s="79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</row>
    <row r="17" spans="1:28" x14ac:dyDescent="0.25">
      <c r="B17" s="92"/>
      <c r="C17" s="104"/>
      <c r="D17" s="49" t="e">
        <f>SUM(SUMIF('Raw Data'!$E$5:$E$500,$C17, 'Raw Data'!$K$5:$K$500))/SUM(COUNTIF('Raw Data'!$E$5:$E$500,$C17))</f>
        <v>#DIV/0!</v>
      </c>
      <c r="F17" s="79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9"/>
    </row>
    <row r="18" spans="1:28" x14ac:dyDescent="0.25">
      <c r="A18" s="46"/>
      <c r="B18" s="103"/>
      <c r="C18" s="104"/>
      <c r="D18" s="49" t="e">
        <f>SUM(SUMIF('Raw Data'!$E$5:$E$500,$C18, 'Raw Data'!$K$5:$K$500))/SUM(COUNTIF('Raw Data'!$E$5:$E$500,$C18))</f>
        <v>#DIV/0!</v>
      </c>
      <c r="F18" s="79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9"/>
    </row>
    <row r="19" spans="1:28" x14ac:dyDescent="0.25">
      <c r="A19" s="46"/>
      <c r="B19" s="92"/>
      <c r="C19" s="96"/>
      <c r="D19" s="48" t="e">
        <f>SUM(SUMIF('Raw Data'!$E$5:$E$500,$C19, 'Raw Data'!$K$5:$K$500))/SUM(COUNTIF('Raw Data'!$E$5:$E$500,$C19))</f>
        <v>#DIV/0!</v>
      </c>
      <c r="F19" s="79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9"/>
    </row>
    <row r="20" spans="1:28" x14ac:dyDescent="0.25">
      <c r="A20" s="46"/>
      <c r="B20" s="92"/>
      <c r="C20" s="95"/>
      <c r="D20" s="48" t="e">
        <f>SUM(SUMIF('Raw Data'!$E$5:$E$500,$C20, 'Raw Data'!$K$5:$K$500))/SUM(COUNTIF('Raw Data'!$E$5:$E$500,$C20))</f>
        <v>#DIV/0!</v>
      </c>
      <c r="F20" s="79"/>
      <c r="G20" s="58"/>
      <c r="H20" s="58"/>
      <c r="I20" s="58"/>
      <c r="J20" s="58"/>
      <c r="K20" s="89" t="e">
        <f>SUM('Installer Analysis'!D4)</f>
        <v>#DIV/0!</v>
      </c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9"/>
    </row>
    <row r="21" spans="1:28" x14ac:dyDescent="0.25">
      <c r="B21" s="92"/>
      <c r="C21" s="95"/>
      <c r="D21" s="49" t="e">
        <f>SUM(SUMIF('Raw Data'!$E$5:$E$500,$C21, 'Raw Data'!$K$5:$K$500))/SUM(COUNTIF('Raw Data'!$E$5:$E$500,$C21))</f>
        <v>#DIV/0!</v>
      </c>
      <c r="F21" s="79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9"/>
    </row>
    <row r="22" spans="1:28" ht="15.75" thickBot="1" x14ac:dyDescent="0.3">
      <c r="B22" s="93"/>
      <c r="C22" s="102"/>
      <c r="D22" s="97" t="e">
        <f>SUM(SUMIF('Raw Data'!$E$5:$E$500,$C22, 'Raw Data'!$K$5:$K$500))/SUM(COUNTIF('Raw Data'!$E$5:$E$500,$C22))</f>
        <v>#DIV/0!</v>
      </c>
      <c r="F22" s="79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9"/>
    </row>
    <row r="23" spans="1:28" ht="15.75" thickBot="1" x14ac:dyDescent="0.3">
      <c r="B23" s="148" t="s">
        <v>56</v>
      </c>
      <c r="C23" s="149"/>
      <c r="D23" s="100">
        <f>'Raw Data'!K3</f>
        <v>0.66472764083407987</v>
      </c>
      <c r="F23" s="79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9"/>
    </row>
    <row r="24" spans="1:28" x14ac:dyDescent="0.25">
      <c r="B24" s="50"/>
      <c r="C24" s="43"/>
      <c r="D24" s="90"/>
      <c r="F24" s="79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9"/>
    </row>
    <row r="25" spans="1:28" ht="15.75" thickBot="1" x14ac:dyDescent="0.3">
      <c r="B25" s="50"/>
      <c r="C25" s="43"/>
      <c r="D25" s="90"/>
      <c r="F25" s="79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9"/>
    </row>
    <row r="26" spans="1:28" ht="15.75" thickBot="1" x14ac:dyDescent="0.3">
      <c r="B26" s="71" t="s">
        <v>36</v>
      </c>
      <c r="C26" s="43"/>
      <c r="D26" s="90"/>
      <c r="F26" s="79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</row>
    <row r="27" spans="1:28" ht="15.75" thickBot="1" x14ac:dyDescent="0.3">
      <c r="B27" s="72" t="s">
        <v>40</v>
      </c>
      <c r="C27" s="43"/>
      <c r="D27" s="44"/>
      <c r="F27" s="79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9"/>
    </row>
    <row r="28" spans="1:28" ht="15.75" thickBot="1" x14ac:dyDescent="0.3">
      <c r="B28" s="98" t="s">
        <v>55</v>
      </c>
      <c r="C28" s="43"/>
      <c r="D28" s="44"/>
      <c r="F28" s="79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</row>
    <row r="29" spans="1:28" x14ac:dyDescent="0.25">
      <c r="B29" s="70" t="s">
        <v>34</v>
      </c>
      <c r="C29" s="43"/>
      <c r="D29" s="44"/>
      <c r="F29" s="79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9"/>
    </row>
    <row r="30" spans="1:28" x14ac:dyDescent="0.25">
      <c r="B30" s="74"/>
      <c r="C30" s="43"/>
      <c r="D30" s="44"/>
      <c r="F30" s="79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9"/>
    </row>
    <row r="31" spans="1:28" x14ac:dyDescent="0.25">
      <c r="B31" s="74"/>
      <c r="C31" s="43"/>
      <c r="D31" s="90"/>
      <c r="F31" s="79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</row>
    <row r="32" spans="1:28" x14ac:dyDescent="0.25">
      <c r="B32" s="74"/>
      <c r="C32" s="43"/>
      <c r="D32" s="44"/>
      <c r="F32" s="79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</row>
    <row r="33" spans="2:28" x14ac:dyDescent="0.25">
      <c r="B33" s="99"/>
      <c r="C33" s="43"/>
      <c r="D33" s="44"/>
      <c r="F33" s="79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9"/>
    </row>
    <row r="34" spans="2:28" x14ac:dyDescent="0.25">
      <c r="C34" s="43"/>
      <c r="D34" s="44"/>
      <c r="F34" s="79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</row>
    <row r="35" spans="2:28" x14ac:dyDescent="0.25">
      <c r="F35" s="79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9"/>
    </row>
    <row r="36" spans="2:28" ht="15.75" thickBot="1" x14ac:dyDescent="0.3">
      <c r="F36" s="80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4"/>
    </row>
  </sheetData>
  <sortState ref="A4:AB22">
    <sortCondition ref="B4:B22"/>
    <sortCondition ref="C4:C22"/>
  </sortState>
  <mergeCells count="4">
    <mergeCell ref="B23:C23"/>
    <mergeCell ref="B2:B3"/>
    <mergeCell ref="C2:C3"/>
    <mergeCell ref="D2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0"/>
  <sheetViews>
    <sheetView showGridLines="0" workbookViewId="0">
      <selection activeCell="O7" sqref="O7"/>
    </sheetView>
  </sheetViews>
  <sheetFormatPr defaultRowHeight="15" x14ac:dyDescent="0.25"/>
  <cols>
    <col min="1" max="1" width="2.42578125" customWidth="1"/>
    <col min="2" max="2" width="14.7109375" style="14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52"/>
    </row>
    <row r="2" spans="1:23" ht="15" customHeight="1" x14ac:dyDescent="0.25">
      <c r="B2" s="120" t="s">
        <v>20</v>
      </c>
      <c r="C2" s="122" t="s">
        <v>41</v>
      </c>
      <c r="D2" s="122" t="s">
        <v>48</v>
      </c>
      <c r="E2" s="122" t="s">
        <v>42</v>
      </c>
      <c r="F2" s="122" t="s">
        <v>43</v>
      </c>
      <c r="G2" s="122" t="s">
        <v>44</v>
      </c>
      <c r="H2" s="122" t="s">
        <v>45</v>
      </c>
      <c r="I2" s="122" t="s">
        <v>47</v>
      </c>
      <c r="J2" s="122" t="s">
        <v>46</v>
      </c>
    </row>
    <row r="3" spans="1:23" ht="15.75" customHeight="1" thickBot="1" x14ac:dyDescent="0.3">
      <c r="B3" s="121"/>
      <c r="C3" s="123"/>
      <c r="D3" s="123"/>
      <c r="E3" s="123"/>
      <c r="F3" s="123"/>
      <c r="G3" s="123"/>
      <c r="H3" s="123"/>
      <c r="I3" s="123"/>
      <c r="J3" s="123"/>
    </row>
    <row r="4" spans="1:23" x14ac:dyDescent="0.25">
      <c r="A4" s="46"/>
      <c r="B4" s="30"/>
      <c r="C4" s="41">
        <f>SUM(SUMIF('Raw Data'!$D$5:$D$500,$B4, 'Raw Data'!$I$5:$KI$500))</f>
        <v>0</v>
      </c>
      <c r="D4" s="51">
        <f>SUM(COUNTIF('Raw Data'!$D$5:$D$500,$B4))</f>
        <v>0</v>
      </c>
      <c r="E4" s="41" t="e">
        <f>SUM(SUMIF('Raw Data'!$D$5:$D$500,$B4, 'Raw Data'!$I$5:$I$500))/SUM(COUNTIF('Raw Data'!$D$5:$D$500,$B4))</f>
        <v>#DIV/0!</v>
      </c>
      <c r="F4" s="48" t="e">
        <f>SUM(SUMIF('Raw Data'!$D$5:$D$500,$B4, 'Raw Data'!$K$5:$K$500))/SUM(COUNTIF('Raw Data'!$D$5:$D$500,$B4))</f>
        <v>#DIV/0!</v>
      </c>
      <c r="G4" s="48" t="e">
        <f>SUM(SUMIF('Raw Data'!$D$5:$D$500,$B4, 'Raw Data'!$M$5:$M$500))/SUM(COUNTIF('Raw Data'!$D$5:$D$500,$B4))</f>
        <v>#DIV/0!</v>
      </c>
      <c r="H4" s="41" t="e">
        <f>SUM(SUMIF('Raw Data'!$D$5:$D$500,$B4, 'Raw Data'!$N$5:$N$500))/SUM(COUNTIF('Raw Data'!$D$5:$D$500,$B4))</f>
        <v>#DIV/0!</v>
      </c>
      <c r="I4" s="41">
        <f>SUM(SUMIF('Raw Data'!$D$5:$D$500,$B4, 'Raw Data'!$O$5:$O$500))</f>
        <v>0</v>
      </c>
      <c r="J4" s="41" t="e">
        <f>SUM(SUMIF('Raw Data'!$D$5:$D$500,$B4, 'Raw Data'!$O$5:$O$500))/SUM(COUNTIF('Raw Data'!$D$5:$D$500,$B4))</f>
        <v>#DIV/0!</v>
      </c>
    </row>
    <row r="5" spans="1:23" x14ac:dyDescent="0.25">
      <c r="A5" s="46"/>
      <c r="B5" s="30"/>
      <c r="C5" s="41">
        <f>SUM(SUMIF('Raw Data'!$D$5:$D$500,$B5, 'Raw Data'!$I$5:$KI$500))</f>
        <v>0</v>
      </c>
      <c r="D5" s="51">
        <f>SUM(COUNTIF('Raw Data'!$D$5:$D$500,$B5))</f>
        <v>0</v>
      </c>
      <c r="E5" s="41" t="e">
        <f>SUM(SUMIF('Raw Data'!$D$5:$D$500,$B5, 'Raw Data'!$I$5:$I$500))/SUM(COUNTIF('Raw Data'!$D$5:$D$500,$B5))</f>
        <v>#DIV/0!</v>
      </c>
      <c r="F5" s="48" t="e">
        <f>SUM(SUMIF('Raw Data'!$D$5:$D$500,$B5, 'Raw Data'!$K$5:$K$500))/SUM(COUNTIF('Raw Data'!$D$5:$D$500,$B5))</f>
        <v>#DIV/0!</v>
      </c>
      <c r="G5" s="48" t="e">
        <f>SUM(SUMIF('Raw Data'!$D$5:$D$500,$B5, 'Raw Data'!$M$5:$M$500))/SUM(COUNTIF('Raw Data'!$D$5:$D$500,$B5))</f>
        <v>#DIV/0!</v>
      </c>
      <c r="H5" s="41" t="e">
        <f>SUM(SUMIF('Raw Data'!$D$5:$D$500,$B5, 'Raw Data'!$N$5:$N$500))/SUM(COUNTIF('Raw Data'!$D$5:$D$500,$B5))</f>
        <v>#DIV/0!</v>
      </c>
      <c r="I5" s="41">
        <f>SUM(SUMIF('Raw Data'!$D$5:$D$500,$B5, 'Raw Data'!$O$5:$O$500))</f>
        <v>0</v>
      </c>
      <c r="J5" s="41" t="e">
        <f>SUM(SUMIF('Raw Data'!$D$5:$D$500,$B5, 'Raw Data'!$O$5:$O$500))/SUM(COUNTIF('Raw Data'!$D$5:$D$500,$B5))</f>
        <v>#DIV/0!</v>
      </c>
    </row>
    <row r="6" spans="1:23" x14ac:dyDescent="0.25">
      <c r="A6" s="46"/>
      <c r="B6" s="29"/>
      <c r="C6" s="41">
        <f>SUM(SUMIF('Raw Data'!$D$5:$D$500,$B6, 'Raw Data'!$I$5:$KI$500))</f>
        <v>0</v>
      </c>
      <c r="D6" s="51">
        <f>SUM(COUNTIF('Raw Data'!$D$5:$D$500,$B6))</f>
        <v>0</v>
      </c>
      <c r="E6" s="41" t="e">
        <f>SUM(SUMIF('Raw Data'!$D$5:$D$500,$B6, 'Raw Data'!$I$5:$I$500))/SUM(COUNTIF('Raw Data'!$D$5:$D$500,$B6))</f>
        <v>#DIV/0!</v>
      </c>
      <c r="F6" s="48" t="e">
        <f>SUM(SUMIF('Raw Data'!$D$5:$D$500,$B6, 'Raw Data'!$K$5:$K$500))/SUM(COUNTIF('Raw Data'!$D$5:$D$500,$B6))</f>
        <v>#DIV/0!</v>
      </c>
      <c r="G6" s="48" t="e">
        <f>SUM(SUMIF('Raw Data'!$D$5:$D$500,$B6, 'Raw Data'!$M$5:$M$500))/SUM(COUNTIF('Raw Data'!$D$5:$D$500,$B6))</f>
        <v>#DIV/0!</v>
      </c>
      <c r="H6" s="41" t="e">
        <f>SUM(SUMIF('Raw Data'!$D$5:$D$500,$B6, 'Raw Data'!$N$5:$N$500))/SUM(COUNTIF('Raw Data'!$D$5:$D$500,$B6))</f>
        <v>#DIV/0!</v>
      </c>
      <c r="I6" s="41">
        <f>SUM(SUMIF('Raw Data'!$D$5:$D$500,$B6, 'Raw Data'!$O$5:$O$500))</f>
        <v>0</v>
      </c>
      <c r="J6" s="41" t="e">
        <f>SUM(SUMIF('Raw Data'!$D$5:$D$500,$B6, 'Raw Data'!$O$5:$O$500))/SUM(COUNTIF('Raw Data'!$D$5:$D$500,$B6))</f>
        <v>#DIV/0!</v>
      </c>
    </row>
    <row r="7" spans="1:23" x14ac:dyDescent="0.25">
      <c r="A7" s="46"/>
      <c r="B7" s="30"/>
      <c r="C7" s="41">
        <f>SUM(SUMIF('Raw Data'!$D$5:$D$500,$B7, 'Raw Data'!$I$5:$KI$500))</f>
        <v>0</v>
      </c>
      <c r="D7" s="51">
        <f>SUM(COUNTIF('Raw Data'!$D$5:$D$500,$B7))</f>
        <v>0</v>
      </c>
      <c r="E7" s="41" t="e">
        <f>SUM(SUMIF('Raw Data'!$D$5:$D$500,$B7, 'Raw Data'!$I$5:$I$500))/SUM(COUNTIF('Raw Data'!$D$5:$D$500,$B7))</f>
        <v>#DIV/0!</v>
      </c>
      <c r="F7" s="48" t="e">
        <f>SUM(SUMIF('Raw Data'!$D$5:$D$500,$B7, 'Raw Data'!$K$5:$K$500))/SUM(COUNTIF('Raw Data'!$D$5:$D$500,$B7))</f>
        <v>#DIV/0!</v>
      </c>
      <c r="G7" s="48" t="e">
        <f>SUM(SUMIF('Raw Data'!$D$5:$D$500,$B7, 'Raw Data'!$M$5:$M$500))/SUM(COUNTIF('Raw Data'!$D$5:$D$500,$B7))</f>
        <v>#DIV/0!</v>
      </c>
      <c r="H7" s="41" t="e">
        <f>SUM(SUMIF('Raw Data'!$D$5:$D$500,$B7, 'Raw Data'!$N$5:$N$500))/SUM(COUNTIF('Raw Data'!$D$5:$D$500,$B7))</f>
        <v>#DIV/0!</v>
      </c>
      <c r="I7" s="41">
        <f>SUM(SUMIF('Raw Data'!$D$5:$D$500,$B7, 'Raw Data'!$O$5:$O$500))</f>
        <v>0</v>
      </c>
      <c r="J7" s="41" t="e">
        <f>SUM(SUMIF('Raw Data'!$D$5:$D$500,$B7, 'Raw Data'!$O$5:$O$500))/SUM(COUNTIF('Raw Data'!$D$5:$D$500,$B7))</f>
        <v>#DIV/0!</v>
      </c>
      <c r="Q7" s="6"/>
    </row>
    <row r="8" spans="1:23" x14ac:dyDescent="0.25">
      <c r="A8" s="46"/>
      <c r="B8" s="29"/>
      <c r="C8" s="41">
        <f>SUM(SUMIF('Raw Data'!$D$5:$D$500,$B8, 'Raw Data'!$I$5:$KI$500))</f>
        <v>0</v>
      </c>
      <c r="D8" s="51">
        <f>SUM(COUNTIF('Raw Data'!$D$5:$D$500,$B8))</f>
        <v>0</v>
      </c>
      <c r="E8" s="41" t="e">
        <f>SUM(SUMIF('Raw Data'!$D$5:$D$500,$B8, 'Raw Data'!$I$5:$I$500))/SUM(COUNTIF('Raw Data'!$D$5:$D$500,$B8))</f>
        <v>#DIV/0!</v>
      </c>
      <c r="F8" s="48" t="e">
        <f>SUM(SUMIF('Raw Data'!$D$5:$D$500,$B8, 'Raw Data'!$K$5:$K$500))/SUM(COUNTIF('Raw Data'!$D$5:$D$500,$B8))</f>
        <v>#DIV/0!</v>
      </c>
      <c r="G8" s="48" t="e">
        <f>SUM(SUMIF('Raw Data'!$D$5:$D$500,$B8, 'Raw Data'!$M$5:$M$500))/SUM(COUNTIF('Raw Data'!$D$5:$D$500,$B8))</f>
        <v>#DIV/0!</v>
      </c>
      <c r="H8" s="41" t="e">
        <f>SUM(SUMIF('Raw Data'!$D$5:$D$500,$B8, 'Raw Data'!$N$5:$N$500))/SUM(COUNTIF('Raw Data'!$D$5:$D$500,$B8))</f>
        <v>#DIV/0!</v>
      </c>
      <c r="I8" s="41">
        <f>SUM(SUMIF('Raw Data'!$D$5:$D$500,$B8, 'Raw Data'!$O$5:$O$500))</f>
        <v>0</v>
      </c>
      <c r="J8" s="41" t="e">
        <f>SUM(SUMIF('Raw Data'!$D$5:$D$500,$B8, 'Raw Data'!$O$5:$O$500))/SUM(COUNTIF('Raw Data'!$D$5:$D$500,$B8))</f>
        <v>#DIV/0!</v>
      </c>
    </row>
    <row r="9" spans="1:23" x14ac:dyDescent="0.25">
      <c r="A9" s="46"/>
      <c r="B9" s="29"/>
      <c r="C9" s="41">
        <f>SUM(SUMIF('Raw Data'!$D$5:$D$500,$B9, 'Raw Data'!$I$5:$KI$500))</f>
        <v>0</v>
      </c>
      <c r="D9" s="51">
        <f>SUM(COUNTIF('Raw Data'!$D$5:$D$500,$B9))</f>
        <v>0</v>
      </c>
      <c r="E9" s="41" t="e">
        <f>SUM(SUMIF('Raw Data'!$D$5:$D$500,$B9, 'Raw Data'!$I$5:$I$500))/SUM(COUNTIF('Raw Data'!$D$5:$D$500,$B9))</f>
        <v>#DIV/0!</v>
      </c>
      <c r="F9" s="48" t="e">
        <f>SUM(SUMIF('Raw Data'!$D$5:$D$500,$B9, 'Raw Data'!$K$5:$K$500))/SUM(COUNTIF('Raw Data'!$D$5:$D$500,$B9))</f>
        <v>#DIV/0!</v>
      </c>
      <c r="G9" s="48" t="e">
        <f>SUM(SUMIF('Raw Data'!$D$5:$D$500,$B9, 'Raw Data'!$M$5:$M$500))/SUM(COUNTIF('Raw Data'!$D$5:$D$500,$B9))</f>
        <v>#DIV/0!</v>
      </c>
      <c r="H9" s="41" t="e">
        <f>SUM(SUMIF('Raw Data'!$D$5:$D$500,$B9, 'Raw Data'!$N$5:$N$500))/SUM(COUNTIF('Raw Data'!$D$5:$D$500,$B9))</f>
        <v>#DIV/0!</v>
      </c>
      <c r="I9" s="41">
        <f>SUM(SUMIF('Raw Data'!$D$5:$D$500,$B9, 'Raw Data'!$O$5:$O$500))</f>
        <v>0</v>
      </c>
      <c r="J9" s="41" t="e">
        <f>SUM(SUMIF('Raw Data'!$D$5:$D$500,$B9, 'Raw Data'!$O$5:$O$500))/SUM(COUNTIF('Raw Data'!$D$5:$D$500,$B9))</f>
        <v>#DIV/0!</v>
      </c>
    </row>
    <row r="10" spans="1:23" x14ac:dyDescent="0.25">
      <c r="A10" s="46"/>
      <c r="B10" s="29"/>
      <c r="C10" s="41">
        <f>SUM(SUMIF('Raw Data'!$D$5:$D$500,$B10, 'Raw Data'!$I$5:$KI$500))</f>
        <v>0</v>
      </c>
      <c r="D10" s="51">
        <f>SUM(COUNTIF('Raw Data'!$D$5:$D$500,$B10))</f>
        <v>0</v>
      </c>
      <c r="E10" s="41" t="e">
        <f>SUM(SUMIF('Raw Data'!$D$5:$D$500,$B10, 'Raw Data'!$I$5:$I$500))/SUM(COUNTIF('Raw Data'!$D$5:$D$500,$B10))</f>
        <v>#DIV/0!</v>
      </c>
      <c r="F10" s="48" t="e">
        <f>SUM(SUMIF('Raw Data'!$D$5:$D$500,$B10, 'Raw Data'!$K$5:$K$500))/SUM(COUNTIF('Raw Data'!$D$5:$D$500,$B10))</f>
        <v>#DIV/0!</v>
      </c>
      <c r="G10" s="48" t="e">
        <f>SUM(SUMIF('Raw Data'!$D$5:$D$500,$B10, 'Raw Data'!$M$5:$M$500))/SUM(COUNTIF('Raw Data'!$D$5:$D$500,$B10))</f>
        <v>#DIV/0!</v>
      </c>
      <c r="H10" s="41" t="e">
        <f>SUM(SUMIF('Raw Data'!$D$5:$D$500,$B10, 'Raw Data'!$N$5:$N$500))/SUM(COUNTIF('Raw Data'!$D$5:$D$500,$B10))</f>
        <v>#DIV/0!</v>
      </c>
      <c r="I10" s="41">
        <f>SUM(SUMIF('Raw Data'!$D$5:$D$500,$B10, 'Raw Data'!$O$5:$O$500))</f>
        <v>0</v>
      </c>
      <c r="J10" s="41" t="e">
        <f>SUM(SUMIF('Raw Data'!$D$5:$D$500,$B10, 'Raw Data'!$O$5:$O$500))/SUM(COUNTIF('Raw Data'!$D$5:$D$500,$B10))</f>
        <v>#DIV/0!</v>
      </c>
    </row>
    <row r="11" spans="1:23" x14ac:dyDescent="0.25">
      <c r="A11" s="46"/>
      <c r="B11" s="30"/>
      <c r="C11" s="41">
        <f>SUM(SUMIF('Raw Data'!$D$5:$D$500,$B11, 'Raw Data'!$I$5:$KI$500))</f>
        <v>0</v>
      </c>
      <c r="D11" s="51">
        <f>SUM(COUNTIF('Raw Data'!$D$5:$D$500,$B11))</f>
        <v>0</v>
      </c>
      <c r="E11" s="41" t="e">
        <f>SUM(SUMIF('Raw Data'!$D$5:$D$500,$B11, 'Raw Data'!$I$5:$I$500))/SUM(COUNTIF('Raw Data'!$D$5:$D$500,$B11))</f>
        <v>#DIV/0!</v>
      </c>
      <c r="F11" s="48" t="e">
        <f>SUM(SUMIF('Raw Data'!$D$5:$D$500,$B11, 'Raw Data'!$K$5:$K$500))/SUM(COUNTIF('Raw Data'!$D$5:$D$500,$B11))</f>
        <v>#DIV/0!</v>
      </c>
      <c r="G11" s="48" t="e">
        <f>SUM(SUMIF('Raw Data'!$D$5:$D$500,$B11, 'Raw Data'!$M$5:$M$500))/SUM(COUNTIF('Raw Data'!$D$5:$D$500,$B11))</f>
        <v>#DIV/0!</v>
      </c>
      <c r="H11" s="41" t="e">
        <f>SUM(SUMIF('Raw Data'!$D$5:$D$500,$B11, 'Raw Data'!$N$5:$N$500))/SUM(COUNTIF('Raw Data'!$D$5:$D$500,$B11))</f>
        <v>#DIV/0!</v>
      </c>
      <c r="I11" s="41">
        <f>SUM(SUMIF('Raw Data'!$D$5:$D$500,$B11, 'Raw Data'!$O$5:$O$500))</f>
        <v>0</v>
      </c>
      <c r="J11" s="41" t="e">
        <f>SUM(SUMIF('Raw Data'!$D$5:$D$500,$B11, 'Raw Data'!$O$5:$O$500))/SUM(COUNTIF('Raw Data'!$D$5:$D$500,$B11))</f>
        <v>#DIV/0!</v>
      </c>
    </row>
    <row r="12" spans="1:23" ht="15.75" thickBot="1" x14ac:dyDescent="0.3">
      <c r="A12" s="46"/>
      <c r="B12" s="29"/>
      <c r="C12" s="41">
        <f>SUM(SUMIF('Raw Data'!$D$5:$D$500,$B12, 'Raw Data'!$I$5:$KI$500))</f>
        <v>0</v>
      </c>
      <c r="D12" s="51">
        <f>SUM(COUNTIF('Raw Data'!$D$5:$D$500,$B12))</f>
        <v>0</v>
      </c>
      <c r="E12" s="41" t="e">
        <f>SUM(SUMIF('Raw Data'!$D$5:$D$500,$B12, 'Raw Data'!$I$5:$I$500))/SUM(COUNTIF('Raw Data'!$D$5:$D$500,$B12))</f>
        <v>#DIV/0!</v>
      </c>
      <c r="F12" s="48" t="e">
        <f>SUM(SUMIF('Raw Data'!$D$5:$D$500,$B12, 'Raw Data'!$K$5:$K$500))/SUM(COUNTIF('Raw Data'!$D$5:$D$500,$B12))</f>
        <v>#DIV/0!</v>
      </c>
      <c r="G12" s="48" t="e">
        <f>SUM(SUMIF('Raw Data'!$D$5:$D$500,$B12, 'Raw Data'!$M$5:$M$500))/SUM(COUNTIF('Raw Data'!$D$5:$D$500,$B12))</f>
        <v>#DIV/0!</v>
      </c>
      <c r="H12" s="41" t="e">
        <f>SUM(SUMIF('Raw Data'!$D$5:$D$500,$B12, 'Raw Data'!$N$5:$N$500))/SUM(COUNTIF('Raw Data'!$D$5:$D$500,$B12))</f>
        <v>#DIV/0!</v>
      </c>
      <c r="I12" s="41">
        <f>SUM(SUMIF('Raw Data'!$D$5:$D$500,$B12, 'Raw Data'!$O$5:$O$500))</f>
        <v>0</v>
      </c>
      <c r="J12" s="41" t="e">
        <f>SUM(SUMIF('Raw Data'!$D$5:$D$500,$B12, 'Raw Data'!$O$5:$O$500))/SUM(COUNTIF('Raw Data'!$D$5:$D$500,$B12))</f>
        <v>#DIV/0!</v>
      </c>
    </row>
    <row r="13" spans="1:23" ht="15.75" customHeight="1" x14ac:dyDescent="0.25">
      <c r="B13" s="120"/>
      <c r="C13" s="151">
        <f>SUM(C4:C11)</f>
        <v>0</v>
      </c>
      <c r="D13" s="155">
        <f>SUM(D4:D11)</f>
        <v>0</v>
      </c>
      <c r="E13" s="151" t="e">
        <f>AVERAGE(E4:E11)</f>
        <v>#DIV/0!</v>
      </c>
      <c r="F13" s="153" t="e">
        <f>AVERAGE(F4:F11)</f>
        <v>#DIV/0!</v>
      </c>
      <c r="G13" s="153" t="e">
        <f>AVERAGE(G4:G11)</f>
        <v>#DIV/0!</v>
      </c>
      <c r="H13" s="151" t="e">
        <f>AVERAGE(H4:H11)</f>
        <v>#DIV/0!</v>
      </c>
      <c r="I13" s="151">
        <f>SUM(I4:I11)</f>
        <v>0</v>
      </c>
      <c r="J13" s="151" t="e">
        <f>AVERAGE(J4:J11)</f>
        <v>#DIV/0!</v>
      </c>
    </row>
    <row r="14" spans="1:23" ht="15.75" customHeight="1" thickBot="1" x14ac:dyDescent="0.3">
      <c r="B14" s="121"/>
      <c r="C14" s="152"/>
      <c r="D14" s="156"/>
      <c r="E14" s="152"/>
      <c r="F14" s="154"/>
      <c r="G14" s="154"/>
      <c r="H14" s="152"/>
      <c r="I14" s="152"/>
      <c r="J14" s="152"/>
    </row>
    <row r="15" spans="1:23" ht="15.75" thickBot="1" x14ac:dyDescent="0.3">
      <c r="B15" s="42"/>
      <c r="C15" s="43"/>
      <c r="D15" s="43"/>
      <c r="E15" s="43"/>
      <c r="F15" s="43"/>
      <c r="G15" s="43"/>
      <c r="H15" s="43"/>
      <c r="I15" s="43"/>
      <c r="J15" s="43"/>
    </row>
    <row r="16" spans="1:23" x14ac:dyDescent="0.25">
      <c r="B16" s="53"/>
      <c r="C16" s="54"/>
      <c r="D16" s="54"/>
      <c r="E16" s="54"/>
      <c r="F16" s="54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</row>
    <row r="17" spans="2:23" x14ac:dyDescent="0.25">
      <c r="B17" s="57"/>
      <c r="C17" s="44"/>
      <c r="D17" s="44"/>
      <c r="E17" s="44"/>
      <c r="F17" s="44"/>
      <c r="G17" s="44"/>
      <c r="H17" s="44"/>
      <c r="I17" s="44"/>
      <c r="J17" s="44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9"/>
    </row>
    <row r="18" spans="2:23" x14ac:dyDescent="0.25">
      <c r="B18" s="57"/>
      <c r="C18" s="44"/>
      <c r="D18" s="44"/>
      <c r="E18" s="44"/>
      <c r="F18" s="44"/>
      <c r="G18" s="44"/>
      <c r="H18" s="44"/>
      <c r="I18" s="44"/>
      <c r="J18" s="44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9"/>
    </row>
    <row r="19" spans="2:23" x14ac:dyDescent="0.25">
      <c r="B19" s="57"/>
      <c r="C19" s="44"/>
      <c r="D19" s="44"/>
      <c r="E19" s="44"/>
      <c r="F19" s="44"/>
      <c r="G19" s="44"/>
      <c r="H19" s="44"/>
      <c r="I19" s="44"/>
      <c r="J19" s="44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9"/>
    </row>
    <row r="20" spans="2:23" x14ac:dyDescent="0.25">
      <c r="B20" s="57"/>
      <c r="C20" s="44"/>
      <c r="D20" s="44"/>
      <c r="E20" s="44"/>
      <c r="F20" s="44"/>
      <c r="G20" s="44"/>
      <c r="H20" s="44"/>
      <c r="I20" s="44"/>
      <c r="J20" s="44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9"/>
    </row>
    <row r="21" spans="2:23" x14ac:dyDescent="0.25">
      <c r="B21" s="57"/>
      <c r="C21" s="44"/>
      <c r="D21" s="44"/>
      <c r="E21" s="44"/>
      <c r="F21" s="44"/>
      <c r="G21" s="44"/>
      <c r="H21" s="44"/>
      <c r="I21" s="44"/>
      <c r="J21" s="44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9"/>
    </row>
    <row r="22" spans="2:23" x14ac:dyDescent="0.25">
      <c r="B22" s="57"/>
      <c r="C22" s="44"/>
      <c r="D22" s="44"/>
      <c r="E22" s="44"/>
      <c r="F22" s="44"/>
      <c r="G22" s="44"/>
      <c r="H22" s="44"/>
      <c r="I22" s="44"/>
      <c r="J22" s="44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</row>
    <row r="23" spans="2:23" x14ac:dyDescent="0.25">
      <c r="B23" s="57"/>
      <c r="C23" s="44"/>
      <c r="D23" s="44"/>
      <c r="E23" s="44"/>
      <c r="F23" s="44"/>
      <c r="G23" s="44"/>
      <c r="H23" s="44"/>
      <c r="I23" s="44"/>
      <c r="J23" s="44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9"/>
    </row>
    <row r="24" spans="2:23" x14ac:dyDescent="0.25">
      <c r="B24" s="57"/>
      <c r="C24" s="44"/>
      <c r="D24" s="44"/>
      <c r="E24" s="44"/>
      <c r="F24" s="44"/>
      <c r="G24" s="44"/>
      <c r="H24" s="44"/>
      <c r="I24" s="44"/>
      <c r="J24" s="44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9"/>
    </row>
    <row r="25" spans="2:23" x14ac:dyDescent="0.25">
      <c r="B25" s="57"/>
      <c r="C25" s="44"/>
      <c r="D25" s="44"/>
      <c r="E25" s="44"/>
      <c r="F25" s="44"/>
      <c r="G25" s="44"/>
      <c r="H25" s="44"/>
      <c r="I25" s="44"/>
      <c r="J25" s="44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9"/>
    </row>
    <row r="26" spans="2:23" x14ac:dyDescent="0.25">
      <c r="B26" s="57"/>
      <c r="C26" s="44"/>
      <c r="D26" s="44"/>
      <c r="E26" s="44"/>
      <c r="F26" s="44"/>
      <c r="G26" s="44"/>
      <c r="H26" s="44"/>
      <c r="I26" s="44"/>
      <c r="J26" s="44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9"/>
    </row>
    <row r="27" spans="2:23" x14ac:dyDescent="0.25">
      <c r="B27" s="57"/>
      <c r="C27" s="44"/>
      <c r="D27" s="44"/>
      <c r="E27" s="44"/>
      <c r="F27" s="44"/>
      <c r="G27" s="44"/>
      <c r="H27" s="44"/>
      <c r="I27" s="44"/>
      <c r="J27" s="44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9"/>
    </row>
    <row r="28" spans="2:23" x14ac:dyDescent="0.25">
      <c r="B28" s="57"/>
      <c r="C28" s="44"/>
      <c r="D28" s="44"/>
      <c r="E28" s="44"/>
      <c r="F28" s="44"/>
      <c r="G28" s="44"/>
      <c r="H28" s="44"/>
      <c r="I28" s="44"/>
      <c r="J28" s="44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9"/>
    </row>
    <row r="29" spans="2:23" x14ac:dyDescent="0.25">
      <c r="B29" s="57"/>
      <c r="C29" s="44"/>
      <c r="D29" s="44"/>
      <c r="E29" s="44"/>
      <c r="F29" s="44"/>
      <c r="G29" s="44"/>
      <c r="H29" s="44"/>
      <c r="I29" s="44"/>
      <c r="J29" s="44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9"/>
    </row>
    <row r="30" spans="2:23" x14ac:dyDescent="0.25">
      <c r="B30" s="57"/>
      <c r="C30" s="44"/>
      <c r="D30" s="44"/>
      <c r="E30" s="44"/>
      <c r="F30" s="44"/>
      <c r="G30" s="44"/>
      <c r="H30" s="44"/>
      <c r="I30" s="44"/>
      <c r="J30" s="44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9"/>
    </row>
    <row r="31" spans="2:23" x14ac:dyDescent="0.25">
      <c r="B31" s="57"/>
      <c r="C31" s="44"/>
      <c r="D31" s="44"/>
      <c r="E31" s="44"/>
      <c r="F31" s="44"/>
      <c r="G31" s="44"/>
      <c r="H31" s="44"/>
      <c r="I31" s="44"/>
      <c r="J31" s="44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9"/>
    </row>
    <row r="32" spans="2:23" x14ac:dyDescent="0.25">
      <c r="B32" s="57"/>
      <c r="C32" s="44"/>
      <c r="D32" s="44"/>
      <c r="E32" s="44"/>
      <c r="F32" s="44"/>
      <c r="G32" s="44"/>
      <c r="H32" s="44"/>
      <c r="I32" s="44"/>
      <c r="J32" s="44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9"/>
    </row>
    <row r="33" spans="2:23" x14ac:dyDescent="0.25">
      <c r="B33" s="57"/>
      <c r="C33" s="44"/>
      <c r="D33" s="44"/>
      <c r="E33" s="44"/>
      <c r="F33" s="44"/>
      <c r="G33" s="44"/>
      <c r="H33" s="44"/>
      <c r="I33" s="44"/>
      <c r="J33" s="44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9"/>
    </row>
    <row r="34" spans="2:23" x14ac:dyDescent="0.25">
      <c r="B34" s="57"/>
      <c r="C34" s="44"/>
      <c r="D34" s="44"/>
      <c r="E34" s="44"/>
      <c r="F34" s="44"/>
      <c r="G34" s="44"/>
      <c r="H34" s="44"/>
      <c r="I34" s="44"/>
      <c r="J34" s="44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9"/>
    </row>
    <row r="35" spans="2:23" x14ac:dyDescent="0.25">
      <c r="B35" s="60"/>
      <c r="C35" s="43"/>
      <c r="D35" s="43"/>
      <c r="E35" s="43"/>
      <c r="F35" s="43"/>
      <c r="G35" s="43"/>
      <c r="H35" s="43"/>
      <c r="I35" s="43"/>
      <c r="J35" s="43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9"/>
    </row>
    <row r="36" spans="2:23" x14ac:dyDescent="0.25">
      <c r="B36" s="60"/>
      <c r="C36" s="43"/>
      <c r="D36" s="43"/>
      <c r="E36" s="43"/>
      <c r="F36" s="43"/>
      <c r="G36" s="43"/>
      <c r="H36" s="43"/>
      <c r="I36" s="43"/>
      <c r="J36" s="43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</row>
    <row r="37" spans="2:23" x14ac:dyDescent="0.25">
      <c r="B37" s="60"/>
      <c r="C37" s="43"/>
      <c r="D37" s="43"/>
      <c r="E37" s="43"/>
      <c r="F37" s="43"/>
      <c r="G37" s="43"/>
      <c r="H37" s="43"/>
      <c r="I37" s="43"/>
      <c r="J37" s="43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9"/>
    </row>
    <row r="38" spans="2:23" x14ac:dyDescent="0.25">
      <c r="B38" s="60"/>
      <c r="C38" s="43"/>
      <c r="D38" s="43"/>
      <c r="E38" s="43"/>
      <c r="F38" s="43"/>
      <c r="G38" s="43"/>
      <c r="H38" s="43"/>
      <c r="I38" s="43"/>
      <c r="J38" s="43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9"/>
    </row>
    <row r="39" spans="2:23" x14ac:dyDescent="0.25">
      <c r="B39" s="60"/>
      <c r="C39" s="43"/>
      <c r="D39" s="43"/>
      <c r="E39" s="43"/>
      <c r="F39" s="43"/>
      <c r="G39" s="43"/>
      <c r="H39" s="43"/>
      <c r="I39" s="43"/>
      <c r="J39" s="43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9"/>
    </row>
    <row r="40" spans="2:23" x14ac:dyDescent="0.25">
      <c r="B40" s="60"/>
      <c r="C40" s="43"/>
      <c r="D40" s="43"/>
      <c r="E40" s="43"/>
      <c r="F40" s="43"/>
      <c r="G40" s="43"/>
      <c r="H40" s="43"/>
      <c r="I40" s="43"/>
      <c r="J40" s="43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9"/>
    </row>
    <row r="41" spans="2:23" x14ac:dyDescent="0.25">
      <c r="B41" s="60"/>
      <c r="C41" s="43"/>
      <c r="D41" s="43"/>
      <c r="E41" s="43"/>
      <c r="F41" s="43"/>
      <c r="G41" s="43"/>
      <c r="H41" s="43"/>
      <c r="I41" s="43"/>
      <c r="J41" s="43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9"/>
    </row>
    <row r="42" spans="2:23" x14ac:dyDescent="0.25">
      <c r="B42" s="60"/>
      <c r="C42" s="43"/>
      <c r="D42" s="43"/>
      <c r="E42" s="43"/>
      <c r="F42" s="43"/>
      <c r="G42" s="43"/>
      <c r="H42" s="43"/>
      <c r="I42" s="43"/>
      <c r="J42" s="43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9"/>
    </row>
    <row r="43" spans="2:23" x14ac:dyDescent="0.25">
      <c r="B43" s="60"/>
      <c r="C43" s="43"/>
      <c r="D43" s="43"/>
      <c r="E43" s="43"/>
      <c r="F43" s="43"/>
      <c r="G43" s="43"/>
      <c r="H43" s="43"/>
      <c r="I43" s="43"/>
      <c r="J43" s="43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9"/>
    </row>
    <row r="44" spans="2:23" x14ac:dyDescent="0.25">
      <c r="B44" s="60"/>
      <c r="C44" s="43"/>
      <c r="D44" s="43"/>
      <c r="E44" s="43"/>
      <c r="F44" s="43"/>
      <c r="G44" s="43"/>
      <c r="H44" s="43"/>
      <c r="I44" s="43"/>
      <c r="J44" s="43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</row>
    <row r="45" spans="2:23" x14ac:dyDescent="0.25">
      <c r="B45" s="60"/>
      <c r="C45" s="43"/>
      <c r="D45" s="43"/>
      <c r="E45" s="43"/>
      <c r="F45" s="43"/>
      <c r="G45" s="43"/>
      <c r="H45" s="43"/>
      <c r="I45" s="43"/>
      <c r="J45" s="43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</row>
    <row r="46" spans="2:23" ht="15.75" thickBot="1" x14ac:dyDescent="0.3">
      <c r="B46" s="61"/>
      <c r="C46" s="62"/>
      <c r="D46" s="62"/>
      <c r="E46" s="62"/>
      <c r="F46" s="62"/>
      <c r="G46" s="62"/>
      <c r="H46" s="62"/>
      <c r="I46" s="62"/>
      <c r="J46" s="62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</row>
    <row r="47" spans="2:23" ht="15.75" thickBot="1" x14ac:dyDescent="0.3"/>
    <row r="48" spans="2:23" x14ac:dyDescent="0.25">
      <c r="B48" s="65"/>
      <c r="C48" s="66"/>
      <c r="D48" s="66"/>
      <c r="E48" s="66"/>
      <c r="F48" s="66"/>
      <c r="G48" s="66"/>
      <c r="H48" s="66"/>
      <c r="I48" s="66"/>
      <c r="J48" s="6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6"/>
    </row>
    <row r="49" spans="2:23" x14ac:dyDescent="0.25">
      <c r="B49" s="60"/>
      <c r="C49" s="43"/>
      <c r="D49" s="43"/>
      <c r="E49" s="43"/>
      <c r="F49" s="43"/>
      <c r="G49" s="43"/>
      <c r="H49" s="43"/>
      <c r="I49" s="43"/>
      <c r="J49" s="43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9"/>
    </row>
    <row r="50" spans="2:23" x14ac:dyDescent="0.25">
      <c r="B50" s="60"/>
      <c r="C50" s="43"/>
      <c r="D50" s="43"/>
      <c r="E50" s="43"/>
      <c r="F50" s="43"/>
      <c r="G50" s="43"/>
      <c r="H50" s="43"/>
      <c r="I50" s="43"/>
      <c r="J50" s="43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9"/>
    </row>
    <row r="51" spans="2:23" x14ac:dyDescent="0.25">
      <c r="B51" s="60"/>
      <c r="C51" s="43"/>
      <c r="D51" s="43"/>
      <c r="E51" s="43"/>
      <c r="F51" s="43"/>
      <c r="G51" s="43"/>
      <c r="H51" s="43"/>
      <c r="I51" s="43"/>
      <c r="J51" s="43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9"/>
    </row>
    <row r="52" spans="2:23" x14ac:dyDescent="0.25">
      <c r="B52" s="60"/>
      <c r="C52" s="43"/>
      <c r="D52" s="43"/>
      <c r="E52" s="43"/>
      <c r="F52" s="43"/>
      <c r="G52" s="43"/>
      <c r="H52" s="43"/>
      <c r="I52" s="43"/>
      <c r="J52" s="43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9"/>
    </row>
    <row r="53" spans="2:23" x14ac:dyDescent="0.25">
      <c r="B53" s="60"/>
      <c r="C53" s="43"/>
      <c r="D53" s="43"/>
      <c r="E53" s="43"/>
      <c r="F53" s="43"/>
      <c r="G53" s="43"/>
      <c r="H53" s="43"/>
      <c r="I53" s="43"/>
      <c r="J53" s="43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9"/>
    </row>
    <row r="54" spans="2:23" x14ac:dyDescent="0.25">
      <c r="B54" s="60"/>
      <c r="C54" s="43"/>
      <c r="D54" s="43"/>
      <c r="E54" s="43"/>
      <c r="F54" s="43"/>
      <c r="G54" s="43"/>
      <c r="H54" s="43"/>
      <c r="I54" s="43"/>
      <c r="J54" s="43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9"/>
    </row>
    <row r="55" spans="2:23" x14ac:dyDescent="0.25">
      <c r="B55" s="60"/>
      <c r="C55" s="43"/>
      <c r="D55" s="43"/>
      <c r="E55" s="43"/>
      <c r="F55" s="43"/>
      <c r="G55" s="43"/>
      <c r="H55" s="43"/>
      <c r="I55" s="43"/>
      <c r="J55" s="43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9"/>
    </row>
    <row r="56" spans="2:23" x14ac:dyDescent="0.25">
      <c r="B56" s="60"/>
      <c r="C56" s="43"/>
      <c r="D56" s="43"/>
      <c r="E56" s="43"/>
      <c r="F56" s="43"/>
      <c r="G56" s="43"/>
      <c r="H56" s="43"/>
      <c r="I56" s="43"/>
      <c r="J56" s="43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9"/>
    </row>
    <row r="57" spans="2:23" x14ac:dyDescent="0.25">
      <c r="B57" s="60"/>
      <c r="C57" s="43"/>
      <c r="D57" s="43"/>
      <c r="E57" s="43"/>
      <c r="F57" s="43"/>
      <c r="G57" s="43"/>
      <c r="H57" s="43"/>
      <c r="I57" s="43"/>
      <c r="J57" s="43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9"/>
    </row>
    <row r="58" spans="2:23" x14ac:dyDescent="0.25">
      <c r="B58" s="60"/>
      <c r="C58" s="43"/>
      <c r="D58" s="43"/>
      <c r="E58" s="43"/>
      <c r="F58" s="43"/>
      <c r="G58" s="43"/>
      <c r="H58" s="43"/>
      <c r="I58" s="43"/>
      <c r="J58" s="43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9"/>
    </row>
    <row r="59" spans="2:23" x14ac:dyDescent="0.25">
      <c r="B59" s="60"/>
      <c r="C59" s="43"/>
      <c r="D59" s="43"/>
      <c r="E59" s="43"/>
      <c r="F59" s="43"/>
      <c r="G59" s="43"/>
      <c r="H59" s="43"/>
      <c r="I59" s="43"/>
      <c r="J59" s="43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9"/>
    </row>
    <row r="60" spans="2:23" x14ac:dyDescent="0.25">
      <c r="B60" s="60"/>
      <c r="C60" s="43"/>
      <c r="D60" s="43"/>
      <c r="E60" s="43"/>
      <c r="F60" s="43"/>
      <c r="G60" s="43"/>
      <c r="H60" s="43"/>
      <c r="I60" s="43"/>
      <c r="J60" s="43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9"/>
    </row>
    <row r="61" spans="2:23" x14ac:dyDescent="0.25">
      <c r="B61" s="60"/>
      <c r="C61" s="43"/>
      <c r="D61" s="43"/>
      <c r="E61" s="43"/>
      <c r="F61" s="43"/>
      <c r="G61" s="43"/>
      <c r="H61" s="43"/>
      <c r="I61" s="43"/>
      <c r="J61" s="43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9"/>
    </row>
    <row r="62" spans="2:23" x14ac:dyDescent="0.25">
      <c r="B62" s="60"/>
      <c r="C62" s="43"/>
      <c r="D62" s="43"/>
      <c r="E62" s="43"/>
      <c r="F62" s="43"/>
      <c r="G62" s="43"/>
      <c r="H62" s="43"/>
      <c r="I62" s="43"/>
      <c r="J62" s="43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9"/>
    </row>
    <row r="63" spans="2:23" x14ac:dyDescent="0.25">
      <c r="B63" s="60"/>
      <c r="C63" s="43"/>
      <c r="D63" s="43"/>
      <c r="E63" s="43"/>
      <c r="F63" s="43"/>
      <c r="G63" s="43"/>
      <c r="H63" s="43"/>
      <c r="I63" s="43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9"/>
    </row>
    <row r="64" spans="2:23" x14ac:dyDescent="0.25">
      <c r="B64" s="60"/>
      <c r="C64" s="43"/>
      <c r="D64" s="43"/>
      <c r="E64" s="43"/>
      <c r="F64" s="43"/>
      <c r="G64" s="43"/>
      <c r="H64" s="43"/>
      <c r="I64" s="43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9"/>
    </row>
    <row r="65" spans="2:23" x14ac:dyDescent="0.25">
      <c r="B65" s="60"/>
      <c r="C65" s="43"/>
      <c r="D65" s="43"/>
      <c r="E65" s="43"/>
      <c r="F65" s="43"/>
      <c r="G65" s="43"/>
      <c r="H65" s="43"/>
      <c r="I65" s="43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9"/>
    </row>
    <row r="66" spans="2:23" x14ac:dyDescent="0.25">
      <c r="B66" s="60"/>
      <c r="C66" s="43"/>
      <c r="D66" s="43"/>
      <c r="E66" s="43"/>
      <c r="F66" s="43"/>
      <c r="G66" s="43"/>
      <c r="H66" s="43"/>
      <c r="I66" s="43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9"/>
    </row>
    <row r="67" spans="2:23" x14ac:dyDescent="0.25">
      <c r="B67" s="60"/>
      <c r="C67" s="43"/>
      <c r="D67" s="43"/>
      <c r="E67" s="43"/>
      <c r="F67" s="43"/>
      <c r="G67" s="43"/>
      <c r="H67" s="43"/>
      <c r="I67" s="43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9"/>
    </row>
    <row r="68" spans="2:23" x14ac:dyDescent="0.25">
      <c r="B68" s="60"/>
      <c r="C68" s="43"/>
      <c r="D68" s="43"/>
      <c r="E68" s="43"/>
      <c r="F68" s="43"/>
      <c r="G68" s="43"/>
      <c r="H68" s="43"/>
      <c r="I68" s="43"/>
      <c r="J68" s="43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9"/>
    </row>
    <row r="69" spans="2:23" x14ac:dyDescent="0.25">
      <c r="B69" s="60"/>
      <c r="C69" s="43"/>
      <c r="D69" s="43"/>
      <c r="E69" s="43"/>
      <c r="F69" s="43"/>
      <c r="G69" s="43"/>
      <c r="H69" s="43"/>
      <c r="I69" s="43"/>
      <c r="J69" s="43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9"/>
    </row>
    <row r="70" spans="2:23" x14ac:dyDescent="0.25">
      <c r="B70" s="60"/>
      <c r="C70" s="43"/>
      <c r="D70" s="43"/>
      <c r="E70" s="43"/>
      <c r="F70" s="43"/>
      <c r="G70" s="43"/>
      <c r="H70" s="43"/>
      <c r="I70" s="43"/>
      <c r="J70" s="43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9"/>
    </row>
    <row r="71" spans="2:23" x14ac:dyDescent="0.25">
      <c r="B71" s="60"/>
      <c r="C71" s="43"/>
      <c r="D71" s="43"/>
      <c r="E71" s="43"/>
      <c r="F71" s="43"/>
      <c r="G71" s="43"/>
      <c r="H71" s="43"/>
      <c r="I71" s="43"/>
      <c r="J71" s="43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9"/>
    </row>
    <row r="72" spans="2:23" x14ac:dyDescent="0.25">
      <c r="B72" s="60"/>
      <c r="C72" s="43"/>
      <c r="D72" s="43"/>
      <c r="E72" s="43"/>
      <c r="F72" s="43"/>
      <c r="G72" s="43"/>
      <c r="H72" s="43"/>
      <c r="I72" s="43"/>
      <c r="J72" s="43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9"/>
    </row>
    <row r="73" spans="2:23" x14ac:dyDescent="0.25">
      <c r="B73" s="60"/>
      <c r="C73" s="43"/>
      <c r="D73" s="43"/>
      <c r="E73" s="43"/>
      <c r="F73" s="43"/>
      <c r="G73" s="43"/>
      <c r="H73" s="43"/>
      <c r="I73" s="43"/>
      <c r="J73" s="43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9"/>
    </row>
    <row r="74" spans="2:23" x14ac:dyDescent="0.25">
      <c r="B74" s="60"/>
      <c r="C74" s="43"/>
      <c r="D74" s="43"/>
      <c r="E74" s="43"/>
      <c r="F74" s="43"/>
      <c r="G74" s="43"/>
      <c r="H74" s="43"/>
      <c r="I74" s="43"/>
      <c r="J74" s="43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9"/>
    </row>
    <row r="75" spans="2:23" x14ac:dyDescent="0.25">
      <c r="B75" s="60"/>
      <c r="C75" s="43"/>
      <c r="D75" s="43"/>
      <c r="E75" s="43"/>
      <c r="F75" s="43"/>
      <c r="G75" s="43"/>
      <c r="H75" s="43"/>
      <c r="I75" s="43"/>
      <c r="J75" s="43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9"/>
    </row>
    <row r="76" spans="2:23" x14ac:dyDescent="0.25">
      <c r="B76" s="60"/>
      <c r="C76" s="43"/>
      <c r="D76" s="43"/>
      <c r="E76" s="43"/>
      <c r="F76" s="43"/>
      <c r="G76" s="43"/>
      <c r="H76" s="43"/>
      <c r="I76" s="43"/>
      <c r="J76" s="43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9"/>
    </row>
    <row r="77" spans="2:23" x14ac:dyDescent="0.25">
      <c r="B77" s="60"/>
      <c r="C77" s="43"/>
      <c r="D77" s="43"/>
      <c r="E77" s="43"/>
      <c r="F77" s="43"/>
      <c r="G77" s="43"/>
      <c r="H77" s="43"/>
      <c r="I77" s="43"/>
      <c r="J77" s="43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9"/>
    </row>
    <row r="78" spans="2:23" ht="15.75" thickBot="1" x14ac:dyDescent="0.3">
      <c r="B78" s="61"/>
      <c r="C78" s="62"/>
      <c r="D78" s="62"/>
      <c r="E78" s="62"/>
      <c r="F78" s="62"/>
      <c r="G78" s="62"/>
      <c r="H78" s="62"/>
      <c r="I78" s="62"/>
      <c r="J78" s="62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4"/>
    </row>
    <row r="79" spans="2:23" ht="15.75" thickBot="1" x14ac:dyDescent="0.3"/>
    <row r="80" spans="2:23" x14ac:dyDescent="0.25">
      <c r="B80" s="65"/>
      <c r="C80" s="66"/>
      <c r="D80" s="66"/>
      <c r="E80" s="66"/>
      <c r="F80" s="66"/>
      <c r="G80" s="66"/>
      <c r="H80" s="66"/>
      <c r="I80" s="66"/>
      <c r="J80" s="66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6"/>
    </row>
    <row r="81" spans="2:23" x14ac:dyDescent="0.25">
      <c r="B81" s="60"/>
      <c r="C81" s="43"/>
      <c r="D81" s="43"/>
      <c r="E81" s="43"/>
      <c r="F81" s="43"/>
      <c r="G81" s="43"/>
      <c r="H81" s="43"/>
      <c r="I81" s="43"/>
      <c r="J81" s="43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9"/>
    </row>
    <row r="82" spans="2:23" x14ac:dyDescent="0.25">
      <c r="B82" s="60"/>
      <c r="C82" s="43"/>
      <c r="D82" s="43"/>
      <c r="E82" s="43"/>
      <c r="F82" s="43"/>
      <c r="G82" s="43"/>
      <c r="H82" s="43"/>
      <c r="I82" s="43"/>
      <c r="J82" s="43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9"/>
    </row>
    <row r="83" spans="2:23" x14ac:dyDescent="0.25">
      <c r="B83" s="60"/>
      <c r="C83" s="43"/>
      <c r="D83" s="43"/>
      <c r="E83" s="43"/>
      <c r="F83" s="43"/>
      <c r="G83" s="43"/>
      <c r="H83" s="43"/>
      <c r="I83" s="43"/>
      <c r="J83" s="43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9"/>
    </row>
    <row r="84" spans="2:23" x14ac:dyDescent="0.25">
      <c r="B84" s="60"/>
      <c r="C84" s="43"/>
      <c r="D84" s="43"/>
      <c r="E84" s="43"/>
      <c r="F84" s="43"/>
      <c r="G84" s="43"/>
      <c r="H84" s="43"/>
      <c r="I84" s="43"/>
      <c r="J84" s="43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9"/>
    </row>
    <row r="85" spans="2:23" x14ac:dyDescent="0.25">
      <c r="B85" s="60"/>
      <c r="C85" s="43"/>
      <c r="D85" s="43"/>
      <c r="E85" s="43"/>
      <c r="F85" s="43"/>
      <c r="G85" s="43"/>
      <c r="H85" s="43"/>
      <c r="I85" s="43"/>
      <c r="J85" s="43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9"/>
    </row>
    <row r="86" spans="2:23" x14ac:dyDescent="0.25">
      <c r="B86" s="60"/>
      <c r="C86" s="43"/>
      <c r="D86" s="43"/>
      <c r="E86" s="43"/>
      <c r="F86" s="43"/>
      <c r="G86" s="43"/>
      <c r="H86" s="43"/>
      <c r="I86" s="43"/>
      <c r="J86" s="43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9"/>
    </row>
    <row r="87" spans="2:23" x14ac:dyDescent="0.25">
      <c r="B87" s="60"/>
      <c r="C87" s="43"/>
      <c r="D87" s="43"/>
      <c r="E87" s="43"/>
      <c r="F87" s="43"/>
      <c r="G87" s="43"/>
      <c r="H87" s="43"/>
      <c r="I87" s="43"/>
      <c r="J87" s="43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9"/>
    </row>
    <row r="88" spans="2:23" x14ac:dyDescent="0.25">
      <c r="B88" s="60"/>
      <c r="C88" s="43"/>
      <c r="D88" s="43"/>
      <c r="E88" s="43"/>
      <c r="F88" s="43"/>
      <c r="G88" s="43"/>
      <c r="H88" s="43"/>
      <c r="I88" s="43"/>
      <c r="J88" s="43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9"/>
    </row>
    <row r="89" spans="2:23" x14ac:dyDescent="0.25">
      <c r="B89" s="60"/>
      <c r="C89" s="43"/>
      <c r="D89" s="43"/>
      <c r="E89" s="43"/>
      <c r="F89" s="43"/>
      <c r="G89" s="43"/>
      <c r="H89" s="43"/>
      <c r="I89" s="43"/>
      <c r="J89" s="43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9"/>
    </row>
    <row r="90" spans="2:23" x14ac:dyDescent="0.25">
      <c r="B90" s="60"/>
      <c r="C90" s="43"/>
      <c r="D90" s="43"/>
      <c r="E90" s="43"/>
      <c r="F90" s="43"/>
      <c r="G90" s="43"/>
      <c r="H90" s="43"/>
      <c r="I90" s="43"/>
      <c r="J90" s="43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9"/>
    </row>
    <row r="91" spans="2:23" x14ac:dyDescent="0.25">
      <c r="B91" s="60"/>
      <c r="C91" s="43"/>
      <c r="D91" s="43"/>
      <c r="E91" s="43"/>
      <c r="F91" s="43"/>
      <c r="G91" s="43"/>
      <c r="H91" s="43"/>
      <c r="I91" s="43"/>
      <c r="J91" s="43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9"/>
    </row>
    <row r="92" spans="2:23" x14ac:dyDescent="0.25">
      <c r="B92" s="60"/>
      <c r="C92" s="43"/>
      <c r="D92" s="43"/>
      <c r="E92" s="43"/>
      <c r="F92" s="43"/>
      <c r="G92" s="43"/>
      <c r="H92" s="43"/>
      <c r="I92" s="43"/>
      <c r="J92" s="43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9"/>
    </row>
    <row r="93" spans="2:23" x14ac:dyDescent="0.25">
      <c r="B93" s="60"/>
      <c r="C93" s="43"/>
      <c r="D93" s="43"/>
      <c r="E93" s="43"/>
      <c r="F93" s="43"/>
      <c r="G93" s="43"/>
      <c r="H93" s="43"/>
      <c r="I93" s="43"/>
      <c r="J93" s="43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9"/>
    </row>
    <row r="94" spans="2:23" x14ac:dyDescent="0.25">
      <c r="B94" s="60"/>
      <c r="C94" s="43"/>
      <c r="D94" s="43"/>
      <c r="E94" s="43"/>
      <c r="F94" s="43"/>
      <c r="G94" s="43"/>
      <c r="H94" s="43"/>
      <c r="I94" s="43"/>
      <c r="J94" s="43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9"/>
    </row>
    <row r="95" spans="2:23" x14ac:dyDescent="0.25">
      <c r="B95" s="60"/>
      <c r="C95" s="43"/>
      <c r="D95" s="43"/>
      <c r="E95" s="43"/>
      <c r="F95" s="43"/>
      <c r="G95" s="43"/>
      <c r="H95" s="43"/>
      <c r="I95" s="43"/>
      <c r="J95" s="43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9"/>
    </row>
    <row r="96" spans="2:23" x14ac:dyDescent="0.25">
      <c r="B96" s="60"/>
      <c r="C96" s="43"/>
      <c r="D96" s="43"/>
      <c r="E96" s="43"/>
      <c r="F96" s="43"/>
      <c r="G96" s="43"/>
      <c r="H96" s="43"/>
      <c r="I96" s="43"/>
      <c r="J96" s="43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9"/>
    </row>
    <row r="97" spans="2:23" x14ac:dyDescent="0.25">
      <c r="B97" s="60"/>
      <c r="C97" s="43"/>
      <c r="D97" s="43"/>
      <c r="E97" s="43"/>
      <c r="F97" s="43"/>
      <c r="G97" s="43"/>
      <c r="H97" s="43"/>
      <c r="I97" s="43"/>
      <c r="J97" s="43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9"/>
    </row>
    <row r="98" spans="2:23" x14ac:dyDescent="0.25">
      <c r="B98" s="60"/>
      <c r="C98" s="43"/>
      <c r="D98" s="43"/>
      <c r="E98" s="43"/>
      <c r="F98" s="43"/>
      <c r="G98" s="43"/>
      <c r="H98" s="43"/>
      <c r="I98" s="43"/>
      <c r="J98" s="43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9"/>
    </row>
    <row r="99" spans="2:23" x14ac:dyDescent="0.25">
      <c r="B99" s="60"/>
      <c r="C99" s="43"/>
      <c r="D99" s="43"/>
      <c r="E99" s="43"/>
      <c r="F99" s="43"/>
      <c r="G99" s="43"/>
      <c r="H99" s="43"/>
      <c r="I99" s="43"/>
      <c r="J99" s="43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9"/>
    </row>
    <row r="100" spans="2:23" x14ac:dyDescent="0.25">
      <c r="B100" s="60"/>
      <c r="C100" s="43"/>
      <c r="D100" s="43"/>
      <c r="E100" s="43"/>
      <c r="F100" s="43"/>
      <c r="G100" s="43"/>
      <c r="H100" s="43"/>
      <c r="I100" s="43"/>
      <c r="J100" s="43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9"/>
    </row>
    <row r="101" spans="2:23" x14ac:dyDescent="0.25">
      <c r="B101" s="60"/>
      <c r="C101" s="43"/>
      <c r="D101" s="43"/>
      <c r="E101" s="43"/>
      <c r="F101" s="43"/>
      <c r="G101" s="43"/>
      <c r="H101" s="43"/>
      <c r="I101" s="43"/>
      <c r="J101" s="43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9"/>
    </row>
    <row r="102" spans="2:23" x14ac:dyDescent="0.25">
      <c r="B102" s="60"/>
      <c r="C102" s="43"/>
      <c r="D102" s="43"/>
      <c r="E102" s="43"/>
      <c r="F102" s="43"/>
      <c r="G102" s="43"/>
      <c r="H102" s="43"/>
      <c r="I102" s="43"/>
      <c r="J102" s="43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9"/>
    </row>
    <row r="103" spans="2:23" x14ac:dyDescent="0.25">
      <c r="B103" s="60"/>
      <c r="C103" s="43"/>
      <c r="D103" s="43"/>
      <c r="E103" s="43"/>
      <c r="F103" s="43"/>
      <c r="G103" s="43"/>
      <c r="H103" s="43"/>
      <c r="I103" s="43"/>
      <c r="J103" s="43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9"/>
    </row>
    <row r="104" spans="2:23" x14ac:dyDescent="0.25">
      <c r="B104" s="60"/>
      <c r="C104" s="43"/>
      <c r="D104" s="43"/>
      <c r="E104" s="43"/>
      <c r="F104" s="43"/>
      <c r="G104" s="43"/>
      <c r="H104" s="43"/>
      <c r="I104" s="43"/>
      <c r="J104" s="43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9"/>
    </row>
    <row r="105" spans="2:23" x14ac:dyDescent="0.25">
      <c r="B105" s="60"/>
      <c r="C105" s="43"/>
      <c r="D105" s="43"/>
      <c r="E105" s="43"/>
      <c r="F105" s="43"/>
      <c r="G105" s="43"/>
      <c r="H105" s="43"/>
      <c r="I105" s="43"/>
      <c r="J105" s="43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9"/>
    </row>
    <row r="106" spans="2:23" x14ac:dyDescent="0.25">
      <c r="B106" s="60"/>
      <c r="C106" s="43"/>
      <c r="D106" s="43"/>
      <c r="E106" s="43"/>
      <c r="F106" s="43"/>
      <c r="G106" s="43"/>
      <c r="H106" s="43"/>
      <c r="I106" s="43"/>
      <c r="J106" s="43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9"/>
    </row>
    <row r="107" spans="2:23" x14ac:dyDescent="0.25">
      <c r="B107" s="60"/>
      <c r="C107" s="43"/>
      <c r="D107" s="43"/>
      <c r="E107" s="43"/>
      <c r="F107" s="43"/>
      <c r="G107" s="43"/>
      <c r="H107" s="43"/>
      <c r="I107" s="43"/>
      <c r="J107" s="43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9"/>
    </row>
    <row r="108" spans="2:23" x14ac:dyDescent="0.25">
      <c r="B108" s="60"/>
      <c r="C108" s="43"/>
      <c r="D108" s="43"/>
      <c r="E108" s="43"/>
      <c r="F108" s="43"/>
      <c r="G108" s="43"/>
      <c r="H108" s="43"/>
      <c r="I108" s="43"/>
      <c r="J108" s="43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9"/>
    </row>
    <row r="109" spans="2:23" x14ac:dyDescent="0.25">
      <c r="B109" s="60"/>
      <c r="C109" s="43"/>
      <c r="D109" s="43"/>
      <c r="E109" s="43"/>
      <c r="F109" s="43"/>
      <c r="G109" s="43"/>
      <c r="H109" s="43"/>
      <c r="I109" s="43"/>
      <c r="J109" s="43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9"/>
    </row>
    <row r="110" spans="2:23" ht="15.75" thickBot="1" x14ac:dyDescent="0.3">
      <c r="B110" s="61"/>
      <c r="C110" s="62"/>
      <c r="D110" s="62"/>
      <c r="E110" s="62"/>
      <c r="F110" s="62"/>
      <c r="G110" s="62"/>
      <c r="H110" s="62"/>
      <c r="I110" s="62"/>
      <c r="J110" s="62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4"/>
    </row>
    <row r="111" spans="2:23" ht="15.75" thickBot="1" x14ac:dyDescent="0.3"/>
    <row r="112" spans="2:23" x14ac:dyDescent="0.25">
      <c r="B112" s="65"/>
      <c r="C112" s="66"/>
      <c r="D112" s="66"/>
      <c r="E112" s="66"/>
      <c r="F112" s="66"/>
      <c r="G112" s="66"/>
      <c r="H112" s="66"/>
      <c r="I112" s="66"/>
      <c r="J112" s="66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6"/>
    </row>
    <row r="113" spans="2:23" x14ac:dyDescent="0.25">
      <c r="B113" s="60"/>
      <c r="C113" s="43"/>
      <c r="D113" s="43"/>
      <c r="E113" s="43"/>
      <c r="F113" s="43"/>
      <c r="G113" s="43"/>
      <c r="H113" s="43"/>
      <c r="I113" s="43"/>
      <c r="J113" s="43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9"/>
    </row>
    <row r="114" spans="2:23" x14ac:dyDescent="0.25">
      <c r="B114" s="60"/>
      <c r="C114" s="43"/>
      <c r="D114" s="43"/>
      <c r="E114" s="43"/>
      <c r="F114" s="43"/>
      <c r="G114" s="43"/>
      <c r="H114" s="43"/>
      <c r="I114" s="43"/>
      <c r="J114" s="43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9"/>
    </row>
    <row r="115" spans="2:23" x14ac:dyDescent="0.25">
      <c r="B115" s="60"/>
      <c r="C115" s="43"/>
      <c r="D115" s="43"/>
      <c r="E115" s="43"/>
      <c r="F115" s="43"/>
      <c r="G115" s="43"/>
      <c r="H115" s="43"/>
      <c r="I115" s="43"/>
      <c r="J115" s="43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9"/>
    </row>
    <row r="116" spans="2:23" x14ac:dyDescent="0.25">
      <c r="B116" s="60"/>
      <c r="C116" s="43"/>
      <c r="D116" s="43"/>
      <c r="E116" s="43"/>
      <c r="F116" s="43"/>
      <c r="G116" s="43"/>
      <c r="H116" s="43"/>
      <c r="I116" s="43"/>
      <c r="J116" s="43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9"/>
    </row>
    <row r="117" spans="2:23" x14ac:dyDescent="0.25">
      <c r="B117" s="60"/>
      <c r="C117" s="43"/>
      <c r="D117" s="43"/>
      <c r="E117" s="43"/>
      <c r="F117" s="43"/>
      <c r="G117" s="43"/>
      <c r="H117" s="43"/>
      <c r="I117" s="43"/>
      <c r="J117" s="43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9"/>
    </row>
    <row r="118" spans="2:23" x14ac:dyDescent="0.25">
      <c r="B118" s="60"/>
      <c r="C118" s="43"/>
      <c r="D118" s="43"/>
      <c r="E118" s="43"/>
      <c r="F118" s="43"/>
      <c r="G118" s="43"/>
      <c r="H118" s="43"/>
      <c r="I118" s="43"/>
      <c r="J118" s="43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9"/>
    </row>
    <row r="119" spans="2:23" x14ac:dyDescent="0.25">
      <c r="B119" s="60"/>
      <c r="C119" s="43"/>
      <c r="D119" s="43"/>
      <c r="E119" s="43"/>
      <c r="F119" s="43"/>
      <c r="G119" s="43"/>
      <c r="H119" s="43"/>
      <c r="I119" s="43"/>
      <c r="J119" s="43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9"/>
    </row>
    <row r="120" spans="2:23" x14ac:dyDescent="0.25">
      <c r="B120" s="60"/>
      <c r="C120" s="43"/>
      <c r="D120" s="43"/>
      <c r="E120" s="43"/>
      <c r="F120" s="43"/>
      <c r="G120" s="43"/>
      <c r="H120" s="43"/>
      <c r="I120" s="43"/>
      <c r="J120" s="43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9"/>
    </row>
    <row r="121" spans="2:23" x14ac:dyDescent="0.25">
      <c r="B121" s="60"/>
      <c r="C121" s="43"/>
      <c r="D121" s="43"/>
      <c r="E121" s="43"/>
      <c r="F121" s="43"/>
      <c r="G121" s="43"/>
      <c r="H121" s="43"/>
      <c r="I121" s="43"/>
      <c r="J121" s="43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9"/>
    </row>
    <row r="122" spans="2:23" x14ac:dyDescent="0.25">
      <c r="B122" s="60"/>
      <c r="C122" s="43"/>
      <c r="D122" s="43"/>
      <c r="E122" s="43"/>
      <c r="F122" s="43"/>
      <c r="G122" s="43"/>
      <c r="H122" s="43"/>
      <c r="I122" s="43"/>
      <c r="J122" s="43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9"/>
    </row>
    <row r="123" spans="2:23" x14ac:dyDescent="0.25">
      <c r="B123" s="60"/>
      <c r="C123" s="43"/>
      <c r="D123" s="43"/>
      <c r="E123" s="43"/>
      <c r="F123" s="43"/>
      <c r="G123" s="43"/>
      <c r="H123" s="43"/>
      <c r="I123" s="43"/>
      <c r="J123" s="43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9"/>
    </row>
    <row r="124" spans="2:23" x14ac:dyDescent="0.25">
      <c r="B124" s="60"/>
      <c r="C124" s="43"/>
      <c r="D124" s="43"/>
      <c r="E124" s="43"/>
      <c r="F124" s="43"/>
      <c r="G124" s="43"/>
      <c r="H124" s="43"/>
      <c r="I124" s="43"/>
      <c r="J124" s="43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9"/>
    </row>
    <row r="125" spans="2:23" x14ac:dyDescent="0.25">
      <c r="B125" s="60"/>
      <c r="C125" s="43"/>
      <c r="D125" s="43"/>
      <c r="E125" s="43"/>
      <c r="F125" s="43"/>
      <c r="G125" s="43"/>
      <c r="H125" s="43"/>
      <c r="I125" s="43"/>
      <c r="J125" s="43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9"/>
    </row>
    <row r="126" spans="2:23" x14ac:dyDescent="0.25">
      <c r="B126" s="60"/>
      <c r="C126" s="43"/>
      <c r="D126" s="43"/>
      <c r="E126" s="43"/>
      <c r="F126" s="43"/>
      <c r="G126" s="43"/>
      <c r="H126" s="43"/>
      <c r="I126" s="43"/>
      <c r="J126" s="43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9"/>
    </row>
    <row r="127" spans="2:23" x14ac:dyDescent="0.25">
      <c r="B127" s="60"/>
      <c r="C127" s="43"/>
      <c r="D127" s="43"/>
      <c r="E127" s="43"/>
      <c r="F127" s="43"/>
      <c r="G127" s="43"/>
      <c r="H127" s="43"/>
      <c r="I127" s="43"/>
      <c r="J127" s="43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9"/>
    </row>
    <row r="128" spans="2:23" x14ac:dyDescent="0.25">
      <c r="B128" s="60"/>
      <c r="C128" s="43"/>
      <c r="D128" s="43"/>
      <c r="E128" s="43"/>
      <c r="F128" s="43"/>
      <c r="G128" s="43"/>
      <c r="H128" s="43"/>
      <c r="I128" s="43"/>
      <c r="J128" s="43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9"/>
    </row>
    <row r="129" spans="2:23" x14ac:dyDescent="0.25">
      <c r="B129" s="60"/>
      <c r="C129" s="43"/>
      <c r="D129" s="43"/>
      <c r="E129" s="43"/>
      <c r="F129" s="43"/>
      <c r="G129" s="43"/>
      <c r="H129" s="43"/>
      <c r="I129" s="43"/>
      <c r="J129" s="43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9"/>
    </row>
    <row r="130" spans="2:23" x14ac:dyDescent="0.25">
      <c r="B130" s="60"/>
      <c r="C130" s="43"/>
      <c r="D130" s="43"/>
      <c r="E130" s="43"/>
      <c r="F130" s="43"/>
      <c r="G130" s="43"/>
      <c r="H130" s="43"/>
      <c r="I130" s="43"/>
      <c r="J130" s="43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9"/>
    </row>
    <row r="131" spans="2:23" x14ac:dyDescent="0.25">
      <c r="B131" s="60"/>
      <c r="C131" s="43"/>
      <c r="D131" s="43"/>
      <c r="E131" s="43"/>
      <c r="F131" s="43"/>
      <c r="G131" s="43"/>
      <c r="H131" s="43"/>
      <c r="I131" s="43"/>
      <c r="J131" s="43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9"/>
    </row>
    <row r="132" spans="2:23" x14ac:dyDescent="0.25">
      <c r="B132" s="60"/>
      <c r="C132" s="43"/>
      <c r="D132" s="43"/>
      <c r="E132" s="43"/>
      <c r="F132" s="43"/>
      <c r="G132" s="43"/>
      <c r="H132" s="43"/>
      <c r="I132" s="43"/>
      <c r="J132" s="43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9"/>
    </row>
    <row r="133" spans="2:23" x14ac:dyDescent="0.25">
      <c r="B133" s="60"/>
      <c r="C133" s="43"/>
      <c r="D133" s="43"/>
      <c r="E133" s="43"/>
      <c r="F133" s="43"/>
      <c r="G133" s="43"/>
      <c r="H133" s="43"/>
      <c r="I133" s="43"/>
      <c r="J133" s="43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9"/>
    </row>
    <row r="134" spans="2:23" x14ac:dyDescent="0.25">
      <c r="B134" s="60"/>
      <c r="C134" s="43"/>
      <c r="D134" s="43"/>
      <c r="E134" s="43"/>
      <c r="F134" s="43"/>
      <c r="G134" s="43"/>
      <c r="H134" s="43"/>
      <c r="I134" s="43"/>
      <c r="J134" s="43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9"/>
    </row>
    <row r="135" spans="2:23" x14ac:dyDescent="0.25">
      <c r="B135" s="60"/>
      <c r="C135" s="43"/>
      <c r="D135" s="43"/>
      <c r="E135" s="43"/>
      <c r="F135" s="43"/>
      <c r="G135" s="43"/>
      <c r="H135" s="43"/>
      <c r="I135" s="43"/>
      <c r="J135" s="43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9"/>
    </row>
    <row r="136" spans="2:23" x14ac:dyDescent="0.25">
      <c r="B136" s="60"/>
      <c r="C136" s="43"/>
      <c r="D136" s="43"/>
      <c r="E136" s="43"/>
      <c r="F136" s="43"/>
      <c r="G136" s="43"/>
      <c r="H136" s="43"/>
      <c r="I136" s="43"/>
      <c r="J136" s="43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9"/>
    </row>
    <row r="137" spans="2:23" x14ac:dyDescent="0.25">
      <c r="B137" s="60"/>
      <c r="C137" s="43"/>
      <c r="D137" s="43"/>
      <c r="E137" s="43"/>
      <c r="F137" s="43"/>
      <c r="G137" s="43"/>
      <c r="H137" s="43"/>
      <c r="I137" s="43"/>
      <c r="J137" s="43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9"/>
    </row>
    <row r="138" spans="2:23" x14ac:dyDescent="0.25">
      <c r="B138" s="60"/>
      <c r="C138" s="43"/>
      <c r="D138" s="43"/>
      <c r="E138" s="43"/>
      <c r="F138" s="43"/>
      <c r="G138" s="43"/>
      <c r="H138" s="43"/>
      <c r="I138" s="43"/>
      <c r="J138" s="43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9"/>
    </row>
    <row r="139" spans="2:23" x14ac:dyDescent="0.25">
      <c r="B139" s="60"/>
      <c r="C139" s="43"/>
      <c r="D139" s="43"/>
      <c r="E139" s="43"/>
      <c r="F139" s="43"/>
      <c r="G139" s="43"/>
      <c r="H139" s="43"/>
      <c r="I139" s="43"/>
      <c r="J139" s="43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9"/>
    </row>
    <row r="140" spans="2:23" x14ac:dyDescent="0.25">
      <c r="B140" s="60"/>
      <c r="C140" s="43"/>
      <c r="D140" s="43"/>
      <c r="E140" s="43"/>
      <c r="F140" s="43"/>
      <c r="G140" s="43"/>
      <c r="H140" s="43"/>
      <c r="I140" s="43"/>
      <c r="J140" s="43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9"/>
    </row>
    <row r="141" spans="2:23" x14ac:dyDescent="0.25">
      <c r="B141" s="60"/>
      <c r="C141" s="43"/>
      <c r="D141" s="43"/>
      <c r="E141" s="43"/>
      <c r="F141" s="43"/>
      <c r="G141" s="43"/>
      <c r="H141" s="43"/>
      <c r="I141" s="43"/>
      <c r="J141" s="43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9"/>
    </row>
    <row r="142" spans="2:23" ht="15.75" thickBot="1" x14ac:dyDescent="0.3">
      <c r="B142" s="61"/>
      <c r="C142" s="62"/>
      <c r="D142" s="62"/>
      <c r="E142" s="62"/>
      <c r="F142" s="62"/>
      <c r="G142" s="62"/>
      <c r="H142" s="62"/>
      <c r="I142" s="62"/>
      <c r="J142" s="62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4"/>
    </row>
    <row r="143" spans="2:23" ht="15.75" thickBot="1" x14ac:dyDescent="0.3"/>
    <row r="144" spans="2:23" x14ac:dyDescent="0.25">
      <c r="B144" s="65"/>
      <c r="C144" s="66"/>
      <c r="D144" s="66"/>
      <c r="E144" s="66"/>
      <c r="F144" s="66"/>
      <c r="G144" s="66"/>
      <c r="H144" s="66"/>
      <c r="I144" s="66"/>
      <c r="J144" s="66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6"/>
    </row>
    <row r="145" spans="2:23" x14ac:dyDescent="0.25">
      <c r="B145" s="60"/>
      <c r="C145" s="43"/>
      <c r="D145" s="43"/>
      <c r="E145" s="43"/>
      <c r="F145" s="43"/>
      <c r="G145" s="43"/>
      <c r="H145" s="43"/>
      <c r="I145" s="43"/>
      <c r="J145" s="43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9"/>
    </row>
    <row r="146" spans="2:23" x14ac:dyDescent="0.25">
      <c r="B146" s="60"/>
      <c r="C146" s="43"/>
      <c r="D146" s="43"/>
      <c r="E146" s="43"/>
      <c r="F146" s="43"/>
      <c r="G146" s="43"/>
      <c r="H146" s="43"/>
      <c r="I146" s="43"/>
      <c r="J146" s="43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9"/>
    </row>
    <row r="147" spans="2:23" x14ac:dyDescent="0.25">
      <c r="B147" s="60"/>
      <c r="C147" s="43"/>
      <c r="D147" s="43"/>
      <c r="E147" s="43"/>
      <c r="F147" s="43"/>
      <c r="G147" s="43"/>
      <c r="H147" s="43"/>
      <c r="I147" s="43"/>
      <c r="J147" s="43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9"/>
    </row>
    <row r="148" spans="2:23" x14ac:dyDescent="0.25">
      <c r="B148" s="60"/>
      <c r="C148" s="43"/>
      <c r="D148" s="43"/>
      <c r="E148" s="43"/>
      <c r="F148" s="43"/>
      <c r="G148" s="43"/>
      <c r="H148" s="43"/>
      <c r="I148" s="43"/>
      <c r="J148" s="43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9"/>
    </row>
    <row r="149" spans="2:23" x14ac:dyDescent="0.25">
      <c r="B149" s="60"/>
      <c r="C149" s="43"/>
      <c r="D149" s="43"/>
      <c r="E149" s="43"/>
      <c r="F149" s="43"/>
      <c r="G149" s="43"/>
      <c r="H149" s="43"/>
      <c r="I149" s="43"/>
      <c r="J149" s="43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9"/>
    </row>
    <row r="150" spans="2:23" x14ac:dyDescent="0.25">
      <c r="B150" s="60"/>
      <c r="C150" s="43"/>
      <c r="D150" s="43"/>
      <c r="E150" s="43"/>
      <c r="F150" s="43"/>
      <c r="G150" s="43"/>
      <c r="H150" s="43"/>
      <c r="I150" s="43"/>
      <c r="J150" s="43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9"/>
    </row>
    <row r="151" spans="2:23" x14ac:dyDescent="0.25">
      <c r="B151" s="60"/>
      <c r="C151" s="43"/>
      <c r="D151" s="43"/>
      <c r="E151" s="43"/>
      <c r="F151" s="43"/>
      <c r="G151" s="43"/>
      <c r="H151" s="43"/>
      <c r="I151" s="43"/>
      <c r="J151" s="43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9"/>
    </row>
    <row r="152" spans="2:23" x14ac:dyDescent="0.25">
      <c r="B152" s="60"/>
      <c r="C152" s="43"/>
      <c r="D152" s="43"/>
      <c r="E152" s="43"/>
      <c r="F152" s="43"/>
      <c r="G152" s="43"/>
      <c r="H152" s="43"/>
      <c r="I152" s="43"/>
      <c r="J152" s="43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9"/>
    </row>
    <row r="153" spans="2:23" x14ac:dyDescent="0.25">
      <c r="B153" s="60"/>
      <c r="C153" s="43"/>
      <c r="D153" s="43"/>
      <c r="E153" s="43"/>
      <c r="F153" s="43"/>
      <c r="G153" s="43"/>
      <c r="H153" s="43"/>
      <c r="I153" s="43"/>
      <c r="J153" s="43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9"/>
    </row>
    <row r="154" spans="2:23" x14ac:dyDescent="0.25">
      <c r="B154" s="60"/>
      <c r="C154" s="43"/>
      <c r="D154" s="43"/>
      <c r="E154" s="43"/>
      <c r="F154" s="43"/>
      <c r="G154" s="43"/>
      <c r="H154" s="43"/>
      <c r="I154" s="43"/>
      <c r="J154" s="43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9"/>
    </row>
    <row r="155" spans="2:23" x14ac:dyDescent="0.25">
      <c r="B155" s="60"/>
      <c r="C155" s="43"/>
      <c r="D155" s="43"/>
      <c r="E155" s="43"/>
      <c r="F155" s="43"/>
      <c r="G155" s="43"/>
      <c r="H155" s="43"/>
      <c r="I155" s="43"/>
      <c r="J155" s="43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9"/>
    </row>
    <row r="156" spans="2:23" x14ac:dyDescent="0.25">
      <c r="B156" s="60"/>
      <c r="C156" s="43"/>
      <c r="D156" s="43"/>
      <c r="E156" s="43"/>
      <c r="F156" s="43"/>
      <c r="G156" s="43"/>
      <c r="H156" s="43"/>
      <c r="I156" s="43"/>
      <c r="J156" s="43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9"/>
    </row>
    <row r="157" spans="2:23" x14ac:dyDescent="0.25">
      <c r="B157" s="60"/>
      <c r="C157" s="43"/>
      <c r="D157" s="43"/>
      <c r="E157" s="43"/>
      <c r="F157" s="43"/>
      <c r="G157" s="43"/>
      <c r="H157" s="43"/>
      <c r="I157" s="43"/>
      <c r="J157" s="43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9"/>
    </row>
    <row r="158" spans="2:23" x14ac:dyDescent="0.25">
      <c r="B158" s="60"/>
      <c r="C158" s="43"/>
      <c r="D158" s="43"/>
      <c r="E158" s="43"/>
      <c r="F158" s="43"/>
      <c r="G158" s="43"/>
      <c r="H158" s="43"/>
      <c r="I158" s="43"/>
      <c r="J158" s="43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9"/>
    </row>
    <row r="159" spans="2:23" x14ac:dyDescent="0.25">
      <c r="B159" s="60"/>
      <c r="C159" s="43"/>
      <c r="D159" s="43"/>
      <c r="E159" s="43"/>
      <c r="F159" s="43"/>
      <c r="G159" s="43"/>
      <c r="H159" s="43"/>
      <c r="I159" s="43"/>
      <c r="J159" s="43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9"/>
    </row>
    <row r="160" spans="2:23" x14ac:dyDescent="0.25">
      <c r="B160" s="60"/>
      <c r="C160" s="43"/>
      <c r="D160" s="43"/>
      <c r="E160" s="43"/>
      <c r="F160" s="43"/>
      <c r="G160" s="43"/>
      <c r="H160" s="43"/>
      <c r="I160" s="43"/>
      <c r="J160" s="43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9"/>
    </row>
    <row r="161" spans="2:23" x14ac:dyDescent="0.25">
      <c r="B161" s="60"/>
      <c r="C161" s="43"/>
      <c r="D161" s="43"/>
      <c r="E161" s="43"/>
      <c r="F161" s="43"/>
      <c r="G161" s="43"/>
      <c r="H161" s="43"/>
      <c r="I161" s="43"/>
      <c r="J161" s="43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9"/>
    </row>
    <row r="162" spans="2:23" x14ac:dyDescent="0.25">
      <c r="B162" s="60"/>
      <c r="C162" s="43"/>
      <c r="D162" s="43"/>
      <c r="E162" s="43"/>
      <c r="F162" s="43"/>
      <c r="G162" s="43"/>
      <c r="H162" s="43"/>
      <c r="I162" s="43"/>
      <c r="J162" s="43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9"/>
    </row>
    <row r="163" spans="2:23" x14ac:dyDescent="0.25">
      <c r="B163" s="60"/>
      <c r="C163" s="43"/>
      <c r="D163" s="43"/>
      <c r="E163" s="43"/>
      <c r="F163" s="43"/>
      <c r="G163" s="43"/>
      <c r="H163" s="43"/>
      <c r="I163" s="43"/>
      <c r="J163" s="43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9"/>
    </row>
    <row r="164" spans="2:23" x14ac:dyDescent="0.25">
      <c r="B164" s="60"/>
      <c r="C164" s="43"/>
      <c r="D164" s="43"/>
      <c r="E164" s="43"/>
      <c r="F164" s="43"/>
      <c r="G164" s="43"/>
      <c r="H164" s="43"/>
      <c r="I164" s="43"/>
      <c r="J164" s="43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9"/>
    </row>
    <row r="165" spans="2:23" x14ac:dyDescent="0.25">
      <c r="B165" s="60"/>
      <c r="C165" s="43"/>
      <c r="D165" s="43"/>
      <c r="E165" s="43"/>
      <c r="F165" s="43"/>
      <c r="G165" s="43"/>
      <c r="H165" s="43"/>
      <c r="I165" s="43"/>
      <c r="J165" s="43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9"/>
    </row>
    <row r="166" spans="2:23" x14ac:dyDescent="0.25">
      <c r="B166" s="60"/>
      <c r="C166" s="43"/>
      <c r="D166" s="43"/>
      <c r="E166" s="43"/>
      <c r="F166" s="43"/>
      <c r="G166" s="43"/>
      <c r="H166" s="43"/>
      <c r="I166" s="43"/>
      <c r="J166" s="43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9"/>
    </row>
    <row r="167" spans="2:23" x14ac:dyDescent="0.25">
      <c r="B167" s="60"/>
      <c r="C167" s="43"/>
      <c r="D167" s="43"/>
      <c r="E167" s="43"/>
      <c r="F167" s="43"/>
      <c r="G167" s="43"/>
      <c r="H167" s="43"/>
      <c r="I167" s="43"/>
      <c r="J167" s="43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9"/>
    </row>
    <row r="168" spans="2:23" x14ac:dyDescent="0.25">
      <c r="B168" s="60"/>
      <c r="C168" s="43"/>
      <c r="D168" s="43"/>
      <c r="E168" s="43"/>
      <c r="F168" s="43"/>
      <c r="G168" s="43"/>
      <c r="H168" s="43"/>
      <c r="I168" s="43"/>
      <c r="J168" s="43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9"/>
    </row>
    <row r="169" spans="2:23" x14ac:dyDescent="0.25">
      <c r="B169" s="60"/>
      <c r="C169" s="43"/>
      <c r="D169" s="43"/>
      <c r="E169" s="43"/>
      <c r="F169" s="43"/>
      <c r="G169" s="43"/>
      <c r="H169" s="43"/>
      <c r="I169" s="43"/>
      <c r="J169" s="43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9"/>
    </row>
    <row r="170" spans="2:23" x14ac:dyDescent="0.25">
      <c r="B170" s="60"/>
      <c r="C170" s="43"/>
      <c r="D170" s="43"/>
      <c r="E170" s="43"/>
      <c r="F170" s="43"/>
      <c r="G170" s="43"/>
      <c r="H170" s="43"/>
      <c r="I170" s="43"/>
      <c r="J170" s="43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9"/>
    </row>
    <row r="171" spans="2:23" x14ac:dyDescent="0.25">
      <c r="B171" s="60"/>
      <c r="C171" s="43"/>
      <c r="D171" s="43"/>
      <c r="E171" s="43"/>
      <c r="F171" s="43"/>
      <c r="G171" s="43"/>
      <c r="H171" s="43"/>
      <c r="I171" s="43"/>
      <c r="J171" s="43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9"/>
    </row>
    <row r="172" spans="2:23" x14ac:dyDescent="0.25">
      <c r="B172" s="60"/>
      <c r="C172" s="43"/>
      <c r="D172" s="43"/>
      <c r="E172" s="43"/>
      <c r="F172" s="43"/>
      <c r="G172" s="43"/>
      <c r="H172" s="43"/>
      <c r="I172" s="43"/>
      <c r="J172" s="43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9"/>
    </row>
    <row r="173" spans="2:23" x14ac:dyDescent="0.25">
      <c r="B173" s="60"/>
      <c r="C173" s="43"/>
      <c r="D173" s="43"/>
      <c r="E173" s="43"/>
      <c r="F173" s="43"/>
      <c r="G173" s="43"/>
      <c r="H173" s="43"/>
      <c r="I173" s="43"/>
      <c r="J173" s="43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9"/>
    </row>
    <row r="174" spans="2:23" ht="15.75" thickBot="1" x14ac:dyDescent="0.3">
      <c r="B174" s="61"/>
      <c r="C174" s="62"/>
      <c r="D174" s="62"/>
      <c r="E174" s="62"/>
      <c r="F174" s="62"/>
      <c r="G174" s="62"/>
      <c r="H174" s="62"/>
      <c r="I174" s="62"/>
      <c r="J174" s="62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4"/>
    </row>
    <row r="175" spans="2:23" ht="15.75" thickBot="1" x14ac:dyDescent="0.3"/>
    <row r="176" spans="2:23" x14ac:dyDescent="0.25">
      <c r="B176" s="65"/>
      <c r="C176" s="66"/>
      <c r="D176" s="66"/>
      <c r="E176" s="66"/>
      <c r="F176" s="66"/>
      <c r="G176" s="66"/>
      <c r="H176" s="66"/>
      <c r="I176" s="66"/>
      <c r="J176" s="66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6"/>
    </row>
    <row r="177" spans="2:23" x14ac:dyDescent="0.25">
      <c r="B177" s="60"/>
      <c r="C177" s="43"/>
      <c r="D177" s="43"/>
      <c r="E177" s="43"/>
      <c r="F177" s="43"/>
      <c r="G177" s="43"/>
      <c r="H177" s="43"/>
      <c r="I177" s="43"/>
      <c r="J177" s="43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9"/>
    </row>
    <row r="178" spans="2:23" x14ac:dyDescent="0.25">
      <c r="B178" s="60"/>
      <c r="C178" s="43"/>
      <c r="D178" s="43"/>
      <c r="E178" s="43"/>
      <c r="F178" s="43"/>
      <c r="G178" s="43"/>
      <c r="H178" s="43"/>
      <c r="I178" s="43"/>
      <c r="J178" s="43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9"/>
    </row>
    <row r="179" spans="2:23" x14ac:dyDescent="0.25">
      <c r="B179" s="60"/>
      <c r="C179" s="43"/>
      <c r="D179" s="43"/>
      <c r="E179" s="43"/>
      <c r="F179" s="43"/>
      <c r="G179" s="43"/>
      <c r="H179" s="43"/>
      <c r="I179" s="43"/>
      <c r="J179" s="43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9"/>
    </row>
    <row r="180" spans="2:23" x14ac:dyDescent="0.25">
      <c r="B180" s="60"/>
      <c r="C180" s="43"/>
      <c r="D180" s="43"/>
      <c r="E180" s="43"/>
      <c r="F180" s="43"/>
      <c r="G180" s="43"/>
      <c r="H180" s="43"/>
      <c r="I180" s="43"/>
      <c r="J180" s="43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9"/>
    </row>
    <row r="181" spans="2:23" x14ac:dyDescent="0.25">
      <c r="B181" s="60"/>
      <c r="C181" s="43"/>
      <c r="D181" s="43"/>
      <c r="E181" s="43"/>
      <c r="F181" s="43"/>
      <c r="G181" s="43"/>
      <c r="H181" s="43"/>
      <c r="I181" s="43"/>
      <c r="J181" s="43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9"/>
    </row>
    <row r="182" spans="2:23" x14ac:dyDescent="0.25">
      <c r="B182" s="60"/>
      <c r="C182" s="43"/>
      <c r="D182" s="43"/>
      <c r="E182" s="43"/>
      <c r="F182" s="43"/>
      <c r="G182" s="43"/>
      <c r="H182" s="43"/>
      <c r="I182" s="43"/>
      <c r="J182" s="43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9"/>
    </row>
    <row r="183" spans="2:23" x14ac:dyDescent="0.25">
      <c r="B183" s="60"/>
      <c r="C183" s="43"/>
      <c r="D183" s="43"/>
      <c r="E183" s="43"/>
      <c r="F183" s="43"/>
      <c r="G183" s="43"/>
      <c r="H183" s="43"/>
      <c r="I183" s="43"/>
      <c r="J183" s="43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9"/>
    </row>
    <row r="184" spans="2:23" x14ac:dyDescent="0.25">
      <c r="B184" s="60"/>
      <c r="C184" s="43"/>
      <c r="D184" s="43"/>
      <c r="E184" s="43"/>
      <c r="F184" s="43"/>
      <c r="G184" s="43"/>
      <c r="H184" s="43"/>
      <c r="I184" s="43"/>
      <c r="J184" s="43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9"/>
    </row>
    <row r="185" spans="2:23" x14ac:dyDescent="0.25">
      <c r="B185" s="60"/>
      <c r="C185" s="43"/>
      <c r="D185" s="43"/>
      <c r="E185" s="43"/>
      <c r="F185" s="43"/>
      <c r="G185" s="43"/>
      <c r="H185" s="43"/>
      <c r="I185" s="43"/>
      <c r="J185" s="43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9"/>
    </row>
    <row r="186" spans="2:23" x14ac:dyDescent="0.25">
      <c r="B186" s="60"/>
      <c r="C186" s="43"/>
      <c r="D186" s="43"/>
      <c r="E186" s="43"/>
      <c r="F186" s="43"/>
      <c r="G186" s="43"/>
      <c r="H186" s="43"/>
      <c r="I186" s="43"/>
      <c r="J186" s="4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9"/>
    </row>
    <row r="187" spans="2:23" x14ac:dyDescent="0.25">
      <c r="B187" s="60"/>
      <c r="C187" s="43"/>
      <c r="D187" s="43"/>
      <c r="E187" s="43"/>
      <c r="F187" s="43"/>
      <c r="G187" s="43"/>
      <c r="H187" s="43"/>
      <c r="I187" s="43"/>
      <c r="J187" s="43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9"/>
    </row>
    <row r="188" spans="2:23" x14ac:dyDescent="0.25">
      <c r="B188" s="60"/>
      <c r="C188" s="43"/>
      <c r="D188" s="43"/>
      <c r="E188" s="43"/>
      <c r="F188" s="43"/>
      <c r="G188" s="43"/>
      <c r="H188" s="43"/>
      <c r="I188" s="43"/>
      <c r="J188" s="43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9"/>
    </row>
    <row r="189" spans="2:23" x14ac:dyDescent="0.25">
      <c r="B189" s="60"/>
      <c r="C189" s="43"/>
      <c r="D189" s="43"/>
      <c r="E189" s="43"/>
      <c r="F189" s="43"/>
      <c r="G189" s="43"/>
      <c r="H189" s="43"/>
      <c r="I189" s="43"/>
      <c r="J189" s="43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9"/>
    </row>
    <row r="190" spans="2:23" x14ac:dyDescent="0.25">
      <c r="B190" s="60"/>
      <c r="C190" s="43"/>
      <c r="D190" s="43"/>
      <c r="E190" s="43"/>
      <c r="F190" s="43"/>
      <c r="G190" s="43"/>
      <c r="H190" s="43"/>
      <c r="I190" s="43"/>
      <c r="J190" s="43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9"/>
    </row>
    <row r="191" spans="2:23" x14ac:dyDescent="0.25">
      <c r="B191" s="60"/>
      <c r="C191" s="43"/>
      <c r="D191" s="43"/>
      <c r="E191" s="43"/>
      <c r="F191" s="43"/>
      <c r="G191" s="43"/>
      <c r="H191" s="43"/>
      <c r="I191" s="43"/>
      <c r="J191" s="43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9"/>
    </row>
    <row r="192" spans="2:23" x14ac:dyDescent="0.25">
      <c r="B192" s="60"/>
      <c r="C192" s="43"/>
      <c r="D192" s="43"/>
      <c r="E192" s="43"/>
      <c r="F192" s="43"/>
      <c r="G192" s="43"/>
      <c r="H192" s="43"/>
      <c r="I192" s="43"/>
      <c r="J192" s="43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9"/>
    </row>
    <row r="193" spans="2:23" x14ac:dyDescent="0.25">
      <c r="B193" s="60"/>
      <c r="C193" s="43"/>
      <c r="D193" s="43"/>
      <c r="E193" s="43"/>
      <c r="F193" s="43"/>
      <c r="G193" s="43"/>
      <c r="H193" s="43"/>
      <c r="I193" s="43"/>
      <c r="J193" s="43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9"/>
    </row>
    <row r="194" spans="2:23" x14ac:dyDescent="0.25">
      <c r="B194" s="60"/>
      <c r="C194" s="43"/>
      <c r="D194" s="43"/>
      <c r="E194" s="43"/>
      <c r="F194" s="43"/>
      <c r="G194" s="43"/>
      <c r="H194" s="43"/>
      <c r="I194" s="43"/>
      <c r="J194" s="43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9"/>
    </row>
    <row r="195" spans="2:23" x14ac:dyDescent="0.25">
      <c r="B195" s="60"/>
      <c r="C195" s="43"/>
      <c r="D195" s="43"/>
      <c r="E195" s="43"/>
      <c r="F195" s="43"/>
      <c r="G195" s="43"/>
      <c r="H195" s="43"/>
      <c r="I195" s="43"/>
      <c r="J195" s="43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9"/>
    </row>
    <row r="196" spans="2:23" x14ac:dyDescent="0.25">
      <c r="B196" s="60"/>
      <c r="C196" s="43"/>
      <c r="D196" s="43"/>
      <c r="E196" s="43"/>
      <c r="F196" s="43"/>
      <c r="G196" s="43"/>
      <c r="H196" s="43"/>
      <c r="I196" s="43"/>
      <c r="J196" s="43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9"/>
    </row>
    <row r="197" spans="2:23" x14ac:dyDescent="0.25">
      <c r="B197" s="60"/>
      <c r="C197" s="43"/>
      <c r="D197" s="43"/>
      <c r="E197" s="43"/>
      <c r="F197" s="43"/>
      <c r="G197" s="43"/>
      <c r="H197" s="43"/>
      <c r="I197" s="43"/>
      <c r="J197" s="43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9"/>
    </row>
    <row r="198" spans="2:23" x14ac:dyDescent="0.25">
      <c r="B198" s="60"/>
      <c r="C198" s="43"/>
      <c r="D198" s="43"/>
      <c r="E198" s="43"/>
      <c r="F198" s="43"/>
      <c r="G198" s="43"/>
      <c r="H198" s="43"/>
      <c r="I198" s="43"/>
      <c r="J198" s="43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9"/>
    </row>
    <row r="199" spans="2:23" x14ac:dyDescent="0.25">
      <c r="B199" s="60"/>
      <c r="C199" s="43"/>
      <c r="D199" s="43"/>
      <c r="E199" s="43"/>
      <c r="F199" s="43"/>
      <c r="G199" s="43"/>
      <c r="H199" s="43"/>
      <c r="I199" s="43"/>
      <c r="J199" s="43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9"/>
    </row>
    <row r="200" spans="2:23" x14ac:dyDescent="0.25">
      <c r="B200" s="60"/>
      <c r="C200" s="43"/>
      <c r="D200" s="43"/>
      <c r="E200" s="43"/>
      <c r="F200" s="43"/>
      <c r="G200" s="43"/>
      <c r="H200" s="43"/>
      <c r="I200" s="43"/>
      <c r="J200" s="43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9"/>
    </row>
    <row r="201" spans="2:23" x14ac:dyDescent="0.25">
      <c r="B201" s="60"/>
      <c r="C201" s="43"/>
      <c r="D201" s="43"/>
      <c r="E201" s="43"/>
      <c r="F201" s="43"/>
      <c r="G201" s="43"/>
      <c r="H201" s="43"/>
      <c r="I201" s="43"/>
      <c r="J201" s="43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9"/>
    </row>
    <row r="202" spans="2:23" x14ac:dyDescent="0.25">
      <c r="B202" s="60"/>
      <c r="C202" s="43"/>
      <c r="D202" s="43"/>
      <c r="E202" s="43"/>
      <c r="F202" s="43"/>
      <c r="G202" s="43"/>
      <c r="H202" s="43"/>
      <c r="I202" s="43"/>
      <c r="J202" s="43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9"/>
    </row>
    <row r="203" spans="2:23" x14ac:dyDescent="0.25">
      <c r="B203" s="60"/>
      <c r="C203" s="43"/>
      <c r="D203" s="43"/>
      <c r="E203" s="43"/>
      <c r="F203" s="43"/>
      <c r="G203" s="43"/>
      <c r="H203" s="43"/>
      <c r="I203" s="43"/>
      <c r="J203" s="43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9"/>
    </row>
    <row r="204" spans="2:23" x14ac:dyDescent="0.25">
      <c r="B204" s="60"/>
      <c r="C204" s="43"/>
      <c r="D204" s="43"/>
      <c r="E204" s="43"/>
      <c r="F204" s="43"/>
      <c r="G204" s="43"/>
      <c r="H204" s="43"/>
      <c r="I204" s="43"/>
      <c r="J204" s="43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9"/>
    </row>
    <row r="205" spans="2:23" x14ac:dyDescent="0.25">
      <c r="B205" s="60"/>
      <c r="C205" s="43"/>
      <c r="D205" s="43"/>
      <c r="E205" s="43"/>
      <c r="F205" s="43"/>
      <c r="G205" s="43"/>
      <c r="H205" s="43"/>
      <c r="I205" s="43"/>
      <c r="J205" s="43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9"/>
    </row>
    <row r="206" spans="2:23" ht="15.75" thickBot="1" x14ac:dyDescent="0.3">
      <c r="B206" s="61"/>
      <c r="C206" s="62"/>
      <c r="D206" s="62"/>
      <c r="E206" s="62"/>
      <c r="F206" s="62"/>
      <c r="G206" s="62"/>
      <c r="H206" s="62"/>
      <c r="I206" s="62"/>
      <c r="J206" s="62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4"/>
    </row>
    <row r="207" spans="2:23" ht="15.75" thickBot="1" x14ac:dyDescent="0.3"/>
    <row r="208" spans="2:23" x14ac:dyDescent="0.25">
      <c r="B208" s="65"/>
      <c r="C208" s="66"/>
      <c r="D208" s="66"/>
      <c r="E208" s="66"/>
      <c r="F208" s="66"/>
      <c r="G208" s="66"/>
      <c r="H208" s="66"/>
      <c r="I208" s="66"/>
      <c r="J208" s="66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6"/>
    </row>
    <row r="209" spans="2:23" x14ac:dyDescent="0.25">
      <c r="B209" s="60"/>
      <c r="C209" s="43"/>
      <c r="D209" s="43"/>
      <c r="E209" s="43"/>
      <c r="F209" s="43"/>
      <c r="G209" s="43"/>
      <c r="H209" s="43"/>
      <c r="I209" s="43"/>
      <c r="J209" s="43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9"/>
    </row>
    <row r="210" spans="2:23" x14ac:dyDescent="0.25">
      <c r="B210" s="60"/>
      <c r="C210" s="43"/>
      <c r="D210" s="43"/>
      <c r="E210" s="43"/>
      <c r="F210" s="43"/>
      <c r="G210" s="43"/>
      <c r="H210" s="43"/>
      <c r="I210" s="43"/>
      <c r="J210" s="43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9"/>
    </row>
    <row r="211" spans="2:23" x14ac:dyDescent="0.25">
      <c r="B211" s="60"/>
      <c r="C211" s="43"/>
      <c r="D211" s="43"/>
      <c r="E211" s="43"/>
      <c r="F211" s="43"/>
      <c r="G211" s="43"/>
      <c r="H211" s="43"/>
      <c r="I211" s="43"/>
      <c r="J211" s="43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9"/>
    </row>
    <row r="212" spans="2:23" x14ac:dyDescent="0.25">
      <c r="B212" s="60"/>
      <c r="C212" s="43"/>
      <c r="D212" s="43"/>
      <c r="E212" s="43"/>
      <c r="F212" s="43"/>
      <c r="G212" s="43"/>
      <c r="H212" s="43"/>
      <c r="I212" s="43"/>
      <c r="J212" s="43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9"/>
    </row>
    <row r="213" spans="2:23" x14ac:dyDescent="0.25">
      <c r="B213" s="60"/>
      <c r="C213" s="43"/>
      <c r="D213" s="43"/>
      <c r="E213" s="43"/>
      <c r="F213" s="43"/>
      <c r="G213" s="43"/>
      <c r="H213" s="43"/>
      <c r="I213" s="43"/>
      <c r="J213" s="43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9"/>
    </row>
    <row r="214" spans="2:23" x14ac:dyDescent="0.25">
      <c r="B214" s="60"/>
      <c r="C214" s="43"/>
      <c r="D214" s="43"/>
      <c r="E214" s="43"/>
      <c r="F214" s="43"/>
      <c r="G214" s="43"/>
      <c r="H214" s="43"/>
      <c r="I214" s="43"/>
      <c r="J214" s="43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9"/>
    </row>
    <row r="215" spans="2:23" x14ac:dyDescent="0.25">
      <c r="B215" s="60"/>
      <c r="C215" s="43"/>
      <c r="D215" s="43"/>
      <c r="E215" s="43"/>
      <c r="F215" s="43"/>
      <c r="G215" s="43"/>
      <c r="H215" s="43"/>
      <c r="I215" s="43"/>
      <c r="J215" s="43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9"/>
    </row>
    <row r="216" spans="2:23" x14ac:dyDescent="0.25">
      <c r="B216" s="60"/>
      <c r="C216" s="43"/>
      <c r="D216" s="43"/>
      <c r="E216" s="43"/>
      <c r="F216" s="43"/>
      <c r="G216" s="43"/>
      <c r="H216" s="43"/>
      <c r="I216" s="43"/>
      <c r="J216" s="43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9"/>
    </row>
    <row r="217" spans="2:23" x14ac:dyDescent="0.25">
      <c r="B217" s="60"/>
      <c r="C217" s="43"/>
      <c r="D217" s="43"/>
      <c r="E217" s="43"/>
      <c r="F217" s="43"/>
      <c r="G217" s="43"/>
      <c r="H217" s="43"/>
      <c r="I217" s="43"/>
      <c r="J217" s="43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9"/>
    </row>
    <row r="218" spans="2:23" x14ac:dyDescent="0.25">
      <c r="B218" s="60"/>
      <c r="C218" s="43"/>
      <c r="D218" s="43"/>
      <c r="E218" s="43"/>
      <c r="F218" s="43"/>
      <c r="G218" s="43"/>
      <c r="H218" s="43"/>
      <c r="I218" s="43"/>
      <c r="J218" s="43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9"/>
    </row>
    <row r="219" spans="2:23" x14ac:dyDescent="0.25">
      <c r="B219" s="60"/>
      <c r="C219" s="43"/>
      <c r="D219" s="43"/>
      <c r="E219" s="43"/>
      <c r="F219" s="43"/>
      <c r="G219" s="43"/>
      <c r="H219" s="43"/>
      <c r="I219" s="43"/>
      <c r="J219" s="43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9"/>
    </row>
    <row r="220" spans="2:23" x14ac:dyDescent="0.25">
      <c r="B220" s="60"/>
      <c r="C220" s="43"/>
      <c r="D220" s="43"/>
      <c r="E220" s="43"/>
      <c r="F220" s="43"/>
      <c r="G220" s="43"/>
      <c r="H220" s="43"/>
      <c r="I220" s="43"/>
      <c r="J220" s="43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9"/>
    </row>
    <row r="221" spans="2:23" x14ac:dyDescent="0.25">
      <c r="B221" s="60"/>
      <c r="C221" s="43"/>
      <c r="D221" s="43"/>
      <c r="E221" s="43"/>
      <c r="F221" s="43"/>
      <c r="G221" s="43"/>
      <c r="H221" s="43"/>
      <c r="I221" s="43"/>
      <c r="J221" s="43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9"/>
    </row>
    <row r="222" spans="2:23" x14ac:dyDescent="0.25">
      <c r="B222" s="60"/>
      <c r="C222" s="43"/>
      <c r="D222" s="43"/>
      <c r="E222" s="43"/>
      <c r="F222" s="43"/>
      <c r="G222" s="43"/>
      <c r="H222" s="43"/>
      <c r="I222" s="43"/>
      <c r="J222" s="43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9"/>
    </row>
    <row r="223" spans="2:23" x14ac:dyDescent="0.25">
      <c r="B223" s="60"/>
      <c r="C223" s="43"/>
      <c r="D223" s="43"/>
      <c r="E223" s="43"/>
      <c r="F223" s="43"/>
      <c r="G223" s="43"/>
      <c r="H223" s="43"/>
      <c r="I223" s="43"/>
      <c r="J223" s="43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9"/>
    </row>
    <row r="224" spans="2:23" x14ac:dyDescent="0.25">
      <c r="B224" s="60"/>
      <c r="C224" s="43"/>
      <c r="D224" s="43"/>
      <c r="E224" s="43"/>
      <c r="F224" s="43"/>
      <c r="G224" s="43"/>
      <c r="H224" s="43"/>
      <c r="I224" s="43"/>
      <c r="J224" s="43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9"/>
    </row>
    <row r="225" spans="2:23" x14ac:dyDescent="0.25">
      <c r="B225" s="60"/>
      <c r="C225" s="43"/>
      <c r="D225" s="43"/>
      <c r="E225" s="43"/>
      <c r="F225" s="43"/>
      <c r="G225" s="43"/>
      <c r="H225" s="43"/>
      <c r="I225" s="43"/>
      <c r="J225" s="43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9"/>
    </row>
    <row r="226" spans="2:23" x14ac:dyDescent="0.25">
      <c r="B226" s="60"/>
      <c r="C226" s="43"/>
      <c r="D226" s="43"/>
      <c r="E226" s="43"/>
      <c r="F226" s="43"/>
      <c r="G226" s="43"/>
      <c r="H226" s="43"/>
      <c r="I226" s="43"/>
      <c r="J226" s="43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9"/>
    </row>
    <row r="227" spans="2:23" x14ac:dyDescent="0.25">
      <c r="B227" s="60"/>
      <c r="C227" s="43"/>
      <c r="D227" s="43"/>
      <c r="E227" s="43"/>
      <c r="F227" s="43"/>
      <c r="G227" s="43"/>
      <c r="H227" s="43"/>
      <c r="I227" s="43"/>
      <c r="J227" s="43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9"/>
    </row>
    <row r="228" spans="2:23" x14ac:dyDescent="0.25">
      <c r="B228" s="60"/>
      <c r="C228" s="43"/>
      <c r="D228" s="43"/>
      <c r="E228" s="43"/>
      <c r="F228" s="43"/>
      <c r="G228" s="43"/>
      <c r="H228" s="43"/>
      <c r="I228" s="43"/>
      <c r="J228" s="43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9"/>
    </row>
    <row r="229" spans="2:23" x14ac:dyDescent="0.25">
      <c r="B229" s="60"/>
      <c r="C229" s="43"/>
      <c r="D229" s="43"/>
      <c r="E229" s="43"/>
      <c r="F229" s="43"/>
      <c r="G229" s="43"/>
      <c r="H229" s="43"/>
      <c r="I229" s="43"/>
      <c r="J229" s="43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9"/>
    </row>
    <row r="230" spans="2:23" x14ac:dyDescent="0.25">
      <c r="B230" s="60"/>
      <c r="C230" s="43"/>
      <c r="D230" s="43"/>
      <c r="E230" s="43"/>
      <c r="F230" s="43"/>
      <c r="G230" s="43"/>
      <c r="H230" s="43"/>
      <c r="I230" s="43"/>
      <c r="J230" s="43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9"/>
    </row>
    <row r="231" spans="2:23" x14ac:dyDescent="0.25">
      <c r="B231" s="60"/>
      <c r="C231" s="43"/>
      <c r="D231" s="43"/>
      <c r="E231" s="43"/>
      <c r="F231" s="43"/>
      <c r="G231" s="43"/>
      <c r="H231" s="43"/>
      <c r="I231" s="43"/>
      <c r="J231" s="43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9"/>
    </row>
    <row r="232" spans="2:23" x14ac:dyDescent="0.25">
      <c r="B232" s="60"/>
      <c r="C232" s="43"/>
      <c r="D232" s="43"/>
      <c r="E232" s="43"/>
      <c r="F232" s="43"/>
      <c r="G232" s="43"/>
      <c r="H232" s="43"/>
      <c r="I232" s="43"/>
      <c r="J232" s="43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9"/>
    </row>
    <row r="233" spans="2:23" x14ac:dyDescent="0.25">
      <c r="B233" s="60"/>
      <c r="C233" s="43"/>
      <c r="D233" s="43"/>
      <c r="E233" s="43"/>
      <c r="F233" s="43"/>
      <c r="G233" s="43"/>
      <c r="H233" s="43"/>
      <c r="I233" s="43"/>
      <c r="J233" s="43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9"/>
    </row>
    <row r="234" spans="2:23" x14ac:dyDescent="0.25">
      <c r="B234" s="60"/>
      <c r="C234" s="43"/>
      <c r="D234" s="43"/>
      <c r="E234" s="43"/>
      <c r="F234" s="43"/>
      <c r="G234" s="43"/>
      <c r="H234" s="43"/>
      <c r="I234" s="43"/>
      <c r="J234" s="43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9"/>
    </row>
    <row r="235" spans="2:23" x14ac:dyDescent="0.25">
      <c r="B235" s="60"/>
      <c r="C235" s="43"/>
      <c r="D235" s="43"/>
      <c r="E235" s="43"/>
      <c r="F235" s="43"/>
      <c r="G235" s="43"/>
      <c r="H235" s="43"/>
      <c r="I235" s="43"/>
      <c r="J235" s="43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9"/>
    </row>
    <row r="236" spans="2:23" x14ac:dyDescent="0.25">
      <c r="B236" s="60"/>
      <c r="C236" s="43"/>
      <c r="D236" s="43"/>
      <c r="E236" s="43"/>
      <c r="F236" s="43"/>
      <c r="G236" s="43"/>
      <c r="H236" s="43"/>
      <c r="I236" s="43"/>
      <c r="J236" s="43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9"/>
    </row>
    <row r="237" spans="2:23" x14ac:dyDescent="0.25">
      <c r="B237" s="60"/>
      <c r="C237" s="43"/>
      <c r="D237" s="43"/>
      <c r="E237" s="43"/>
      <c r="F237" s="43"/>
      <c r="G237" s="43"/>
      <c r="H237" s="43"/>
      <c r="I237" s="43"/>
      <c r="J237" s="43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9"/>
    </row>
    <row r="238" spans="2:23" ht="15.75" thickBot="1" x14ac:dyDescent="0.3">
      <c r="B238" s="61"/>
      <c r="C238" s="62"/>
      <c r="D238" s="62"/>
      <c r="E238" s="62"/>
      <c r="F238" s="62"/>
      <c r="G238" s="62"/>
      <c r="H238" s="62"/>
      <c r="I238" s="62"/>
      <c r="J238" s="62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4"/>
    </row>
    <row r="239" spans="2:23" ht="15.75" thickBot="1" x14ac:dyDescent="0.3"/>
    <row r="240" spans="2:23" x14ac:dyDescent="0.25">
      <c r="B240" s="65"/>
      <c r="C240" s="66"/>
      <c r="D240" s="66"/>
      <c r="E240" s="66"/>
      <c r="F240" s="66"/>
      <c r="G240" s="66"/>
      <c r="H240" s="66"/>
      <c r="I240" s="66"/>
      <c r="J240" s="66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6"/>
    </row>
    <row r="241" spans="2:23" x14ac:dyDescent="0.25">
      <c r="B241" s="60"/>
      <c r="C241" s="43"/>
      <c r="D241" s="43"/>
      <c r="E241" s="43"/>
      <c r="F241" s="43"/>
      <c r="G241" s="43"/>
      <c r="H241" s="43"/>
      <c r="I241" s="43"/>
      <c r="J241" s="43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9"/>
    </row>
    <row r="242" spans="2:23" x14ac:dyDescent="0.25">
      <c r="B242" s="60"/>
      <c r="C242" s="43"/>
      <c r="D242" s="43"/>
      <c r="E242" s="43"/>
      <c r="F242" s="43"/>
      <c r="G242" s="43"/>
      <c r="H242" s="43"/>
      <c r="I242" s="43"/>
      <c r="J242" s="43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9"/>
    </row>
    <row r="243" spans="2:23" x14ac:dyDescent="0.25">
      <c r="B243" s="60"/>
      <c r="C243" s="43"/>
      <c r="D243" s="43"/>
      <c r="E243" s="43"/>
      <c r="F243" s="43"/>
      <c r="G243" s="43"/>
      <c r="H243" s="43"/>
      <c r="I243" s="43"/>
      <c r="J243" s="43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9"/>
    </row>
    <row r="244" spans="2:23" x14ac:dyDescent="0.25">
      <c r="B244" s="60"/>
      <c r="C244" s="43"/>
      <c r="D244" s="43"/>
      <c r="E244" s="43"/>
      <c r="F244" s="43"/>
      <c r="G244" s="43"/>
      <c r="H244" s="43"/>
      <c r="I244" s="43"/>
      <c r="J244" s="43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9"/>
    </row>
    <row r="245" spans="2:23" x14ac:dyDescent="0.25">
      <c r="B245" s="60"/>
      <c r="C245" s="43"/>
      <c r="D245" s="43"/>
      <c r="E245" s="43"/>
      <c r="F245" s="43"/>
      <c r="G245" s="43"/>
      <c r="H245" s="43"/>
      <c r="I245" s="43"/>
      <c r="J245" s="43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9"/>
    </row>
    <row r="246" spans="2:23" x14ac:dyDescent="0.25">
      <c r="B246" s="60"/>
      <c r="C246" s="43"/>
      <c r="D246" s="43"/>
      <c r="E246" s="43"/>
      <c r="F246" s="43"/>
      <c r="G246" s="43"/>
      <c r="H246" s="43"/>
      <c r="I246" s="43"/>
      <c r="J246" s="43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9"/>
    </row>
    <row r="247" spans="2:23" x14ac:dyDescent="0.25">
      <c r="B247" s="60"/>
      <c r="C247" s="43"/>
      <c r="D247" s="43"/>
      <c r="E247" s="43"/>
      <c r="F247" s="43"/>
      <c r="G247" s="43"/>
      <c r="H247" s="43"/>
      <c r="I247" s="43"/>
      <c r="J247" s="43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9"/>
    </row>
    <row r="248" spans="2:23" x14ac:dyDescent="0.25">
      <c r="B248" s="60"/>
      <c r="C248" s="43"/>
      <c r="D248" s="43"/>
      <c r="E248" s="43"/>
      <c r="F248" s="43"/>
      <c r="G248" s="43"/>
      <c r="H248" s="43"/>
      <c r="I248" s="43"/>
      <c r="J248" s="43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9"/>
    </row>
    <row r="249" spans="2:23" x14ac:dyDescent="0.25">
      <c r="B249" s="60"/>
      <c r="C249" s="43"/>
      <c r="D249" s="43"/>
      <c r="E249" s="43"/>
      <c r="F249" s="43"/>
      <c r="G249" s="43"/>
      <c r="H249" s="43"/>
      <c r="I249" s="43"/>
      <c r="J249" s="43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9"/>
    </row>
    <row r="250" spans="2:23" x14ac:dyDescent="0.25">
      <c r="B250" s="60"/>
      <c r="C250" s="43"/>
      <c r="D250" s="43"/>
      <c r="E250" s="43"/>
      <c r="F250" s="43"/>
      <c r="G250" s="43"/>
      <c r="H250" s="43"/>
      <c r="I250" s="43"/>
      <c r="J250" s="43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9"/>
    </row>
    <row r="251" spans="2:23" x14ac:dyDescent="0.25">
      <c r="B251" s="60"/>
      <c r="C251" s="43"/>
      <c r="D251" s="43"/>
      <c r="E251" s="43"/>
      <c r="F251" s="43"/>
      <c r="G251" s="43"/>
      <c r="H251" s="43"/>
      <c r="I251" s="43"/>
      <c r="J251" s="43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9"/>
    </row>
    <row r="252" spans="2:23" x14ac:dyDescent="0.25">
      <c r="B252" s="60"/>
      <c r="C252" s="43"/>
      <c r="D252" s="43"/>
      <c r="E252" s="43"/>
      <c r="F252" s="43"/>
      <c r="G252" s="43"/>
      <c r="H252" s="43"/>
      <c r="I252" s="43"/>
      <c r="J252" s="43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9"/>
    </row>
    <row r="253" spans="2:23" x14ac:dyDescent="0.25">
      <c r="B253" s="60"/>
      <c r="C253" s="43"/>
      <c r="D253" s="43"/>
      <c r="E253" s="43"/>
      <c r="F253" s="43"/>
      <c r="G253" s="43"/>
      <c r="H253" s="43"/>
      <c r="I253" s="43"/>
      <c r="J253" s="43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9"/>
    </row>
    <row r="254" spans="2:23" x14ac:dyDescent="0.25">
      <c r="B254" s="60"/>
      <c r="C254" s="43"/>
      <c r="D254" s="43"/>
      <c r="E254" s="43"/>
      <c r="F254" s="43"/>
      <c r="G254" s="43"/>
      <c r="H254" s="43"/>
      <c r="I254" s="43"/>
      <c r="J254" s="43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9"/>
    </row>
    <row r="255" spans="2:23" x14ac:dyDescent="0.25">
      <c r="B255" s="60"/>
      <c r="C255" s="43"/>
      <c r="D255" s="43"/>
      <c r="E255" s="43"/>
      <c r="F255" s="43"/>
      <c r="G255" s="43"/>
      <c r="H255" s="43"/>
      <c r="I255" s="43"/>
      <c r="J255" s="43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9"/>
    </row>
    <row r="256" spans="2:23" x14ac:dyDescent="0.25">
      <c r="B256" s="60"/>
      <c r="C256" s="43"/>
      <c r="D256" s="43"/>
      <c r="E256" s="43"/>
      <c r="F256" s="43"/>
      <c r="G256" s="43"/>
      <c r="H256" s="43"/>
      <c r="I256" s="43"/>
      <c r="J256" s="43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9"/>
    </row>
    <row r="257" spans="2:23" x14ac:dyDescent="0.25">
      <c r="B257" s="60"/>
      <c r="C257" s="43"/>
      <c r="D257" s="43"/>
      <c r="E257" s="43"/>
      <c r="F257" s="43"/>
      <c r="G257" s="43"/>
      <c r="H257" s="43"/>
      <c r="I257" s="43"/>
      <c r="J257" s="43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9"/>
    </row>
    <row r="258" spans="2:23" x14ac:dyDescent="0.25">
      <c r="B258" s="60"/>
      <c r="C258" s="43"/>
      <c r="D258" s="43"/>
      <c r="E258" s="43"/>
      <c r="F258" s="43"/>
      <c r="G258" s="43"/>
      <c r="H258" s="43"/>
      <c r="I258" s="43"/>
      <c r="J258" s="43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9"/>
    </row>
    <row r="259" spans="2:23" x14ac:dyDescent="0.25">
      <c r="B259" s="60"/>
      <c r="C259" s="43"/>
      <c r="D259" s="43"/>
      <c r="E259" s="43"/>
      <c r="F259" s="43"/>
      <c r="G259" s="43"/>
      <c r="H259" s="43"/>
      <c r="I259" s="43"/>
      <c r="J259" s="43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9"/>
    </row>
    <row r="260" spans="2:23" x14ac:dyDescent="0.25">
      <c r="B260" s="60"/>
      <c r="C260" s="43"/>
      <c r="D260" s="43"/>
      <c r="E260" s="43"/>
      <c r="F260" s="43"/>
      <c r="G260" s="43"/>
      <c r="H260" s="43"/>
      <c r="I260" s="43"/>
      <c r="J260" s="43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9"/>
    </row>
    <row r="261" spans="2:23" x14ac:dyDescent="0.25">
      <c r="B261" s="60"/>
      <c r="C261" s="43"/>
      <c r="D261" s="43"/>
      <c r="E261" s="43"/>
      <c r="F261" s="43"/>
      <c r="G261" s="43"/>
      <c r="H261" s="43"/>
      <c r="I261" s="43"/>
      <c r="J261" s="43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9"/>
    </row>
    <row r="262" spans="2:23" x14ac:dyDescent="0.25">
      <c r="B262" s="60"/>
      <c r="C262" s="43"/>
      <c r="D262" s="43"/>
      <c r="E262" s="43"/>
      <c r="F262" s="43"/>
      <c r="G262" s="43"/>
      <c r="H262" s="43"/>
      <c r="I262" s="43"/>
      <c r="J262" s="43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9"/>
    </row>
    <row r="263" spans="2:23" x14ac:dyDescent="0.25">
      <c r="B263" s="60"/>
      <c r="C263" s="43"/>
      <c r="D263" s="43"/>
      <c r="E263" s="43"/>
      <c r="F263" s="43"/>
      <c r="G263" s="43"/>
      <c r="H263" s="43"/>
      <c r="I263" s="43"/>
      <c r="J263" s="43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9"/>
    </row>
    <row r="264" spans="2:23" x14ac:dyDescent="0.25">
      <c r="B264" s="60"/>
      <c r="C264" s="43"/>
      <c r="D264" s="43"/>
      <c r="E264" s="43"/>
      <c r="F264" s="43"/>
      <c r="G264" s="43"/>
      <c r="H264" s="43"/>
      <c r="I264" s="43"/>
      <c r="J264" s="43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9"/>
    </row>
    <row r="265" spans="2:23" x14ac:dyDescent="0.25">
      <c r="B265" s="60"/>
      <c r="C265" s="43"/>
      <c r="D265" s="43"/>
      <c r="E265" s="43"/>
      <c r="F265" s="43"/>
      <c r="G265" s="43"/>
      <c r="H265" s="43"/>
      <c r="I265" s="43"/>
      <c r="J265" s="43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9"/>
    </row>
    <row r="266" spans="2:23" x14ac:dyDescent="0.25">
      <c r="B266" s="60"/>
      <c r="C266" s="43"/>
      <c r="D266" s="43"/>
      <c r="E266" s="43"/>
      <c r="F266" s="43"/>
      <c r="G266" s="43"/>
      <c r="H266" s="43"/>
      <c r="I266" s="43"/>
      <c r="J266" s="43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9"/>
    </row>
    <row r="267" spans="2:23" x14ac:dyDescent="0.25">
      <c r="B267" s="60"/>
      <c r="C267" s="43"/>
      <c r="D267" s="43"/>
      <c r="E267" s="43"/>
      <c r="F267" s="43"/>
      <c r="G267" s="43"/>
      <c r="H267" s="43"/>
      <c r="I267" s="43"/>
      <c r="J267" s="43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9"/>
    </row>
    <row r="268" spans="2:23" x14ac:dyDescent="0.25">
      <c r="B268" s="60"/>
      <c r="C268" s="43"/>
      <c r="D268" s="43"/>
      <c r="E268" s="43"/>
      <c r="F268" s="43"/>
      <c r="G268" s="43"/>
      <c r="H268" s="43"/>
      <c r="I268" s="43"/>
      <c r="J268" s="43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9"/>
    </row>
    <row r="269" spans="2:23" x14ac:dyDescent="0.25">
      <c r="B269" s="60"/>
      <c r="C269" s="43"/>
      <c r="D269" s="43"/>
      <c r="E269" s="43"/>
      <c r="F269" s="43"/>
      <c r="G269" s="43"/>
      <c r="H269" s="43"/>
      <c r="I269" s="43"/>
      <c r="J269" s="43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9"/>
    </row>
    <row r="270" spans="2:23" ht="15.75" thickBot="1" x14ac:dyDescent="0.3">
      <c r="B270" s="61"/>
      <c r="C270" s="62"/>
      <c r="D270" s="62"/>
      <c r="E270" s="62"/>
      <c r="F270" s="62"/>
      <c r="G270" s="62"/>
      <c r="H270" s="62"/>
      <c r="I270" s="62"/>
      <c r="J270" s="62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4"/>
    </row>
  </sheetData>
  <mergeCells count="18">
    <mergeCell ref="G2:G3"/>
    <mergeCell ref="G13:G14"/>
    <mergeCell ref="H2:H3"/>
    <mergeCell ref="H13:H14"/>
    <mergeCell ref="J2:J3"/>
    <mergeCell ref="J13:J14"/>
    <mergeCell ref="I2:I3"/>
    <mergeCell ref="I13:I14"/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5"/>
  <sheetViews>
    <sheetView showGridLines="0" workbookViewId="0">
      <selection activeCell="N18" sqref="N18"/>
    </sheetView>
  </sheetViews>
  <sheetFormatPr defaultRowHeight="15" x14ac:dyDescent="0.25"/>
  <cols>
    <col min="1" max="1" width="2.42578125" customWidth="1"/>
    <col min="2" max="2" width="14.7109375" style="14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52"/>
    </row>
    <row r="2" spans="1:17" ht="15" customHeight="1" x14ac:dyDescent="0.25">
      <c r="B2" s="120" t="s">
        <v>52</v>
      </c>
      <c r="C2" s="122" t="s">
        <v>41</v>
      </c>
      <c r="D2" s="122" t="s">
        <v>48</v>
      </c>
      <c r="E2" s="122" t="s">
        <v>42</v>
      </c>
      <c r="F2" s="122" t="s">
        <v>43</v>
      </c>
      <c r="G2" s="120" t="s">
        <v>45</v>
      </c>
      <c r="H2" s="158"/>
      <c r="I2" s="158"/>
      <c r="J2" s="158"/>
    </row>
    <row r="3" spans="1:17" ht="15.75" customHeight="1" thickBot="1" x14ac:dyDescent="0.3">
      <c r="B3" s="121"/>
      <c r="C3" s="123"/>
      <c r="D3" s="123"/>
      <c r="E3" s="123"/>
      <c r="F3" s="123"/>
      <c r="G3" s="121"/>
      <c r="H3" s="158"/>
      <c r="I3" s="158"/>
      <c r="J3" s="158"/>
    </row>
    <row r="4" spans="1:17" ht="15.75" customHeight="1" x14ac:dyDescent="0.25">
      <c r="A4" s="46"/>
      <c r="B4" s="35"/>
      <c r="C4" s="40">
        <f>SUM(SUMIF('Raw Data'!$C$5:$C$500,$B4, 'Raw Data'!$I$5:$KI$500))</f>
        <v>0</v>
      </c>
      <c r="D4" s="67">
        <f>SUM(COUNTIF('Raw Data'!$C$5:$C$500,$B4))</f>
        <v>0</v>
      </c>
      <c r="E4" s="40" t="e">
        <f>SUM(SUMIF('Raw Data'!$C$5:$C$500,$B4, 'Raw Data'!$I$5:$I$500))/SUM(COUNTIF('Raw Data'!$C$5:$C$500,$B4))</f>
        <v>#DIV/0!</v>
      </c>
      <c r="F4" s="49" t="e">
        <f>SUM(SUMIF('Raw Data'!$C$5:$C$500,$B4, 'Raw Data'!$K$5:$K$500))/SUM(COUNTIF('Raw Data'!$C$5:$C$500,$B4))</f>
        <v>#DIV/0!</v>
      </c>
      <c r="G4" s="40" t="e">
        <f>SUM(SUMIF('Raw Data'!$C$5:$C$500,$B4, 'Raw Data'!$N$5:$N$500))/SUM(COUNTIF('Raw Data'!$C$5:$C$500,$B4))</f>
        <v>#DIV/0!</v>
      </c>
      <c r="H4" s="69"/>
      <c r="I4" s="68"/>
      <c r="J4" s="68"/>
    </row>
    <row r="5" spans="1:17" ht="15.75" customHeight="1" x14ac:dyDescent="0.25">
      <c r="A5" s="46"/>
      <c r="B5" s="30"/>
      <c r="C5" s="40">
        <f>SUM(SUMIF('Raw Data'!$C$5:$C$500,$B5, 'Raw Data'!$I$5:$KI$500))</f>
        <v>0</v>
      </c>
      <c r="D5" s="67">
        <f>SUM(COUNTIF('Raw Data'!$C$5:$C$500,$B5))</f>
        <v>0</v>
      </c>
      <c r="E5" s="40" t="e">
        <f>SUM(SUMIF('Raw Data'!$C$5:$C$500,$B5, 'Raw Data'!$I$5:$I$500))/SUM(COUNTIF('Raw Data'!$C$5:$C$500,$B5))</f>
        <v>#DIV/0!</v>
      </c>
      <c r="F5" s="49" t="e">
        <f>SUM(SUMIF('Raw Data'!$C$5:$C$500,$B5, 'Raw Data'!$K$5:$K$500))/SUM(COUNTIF('Raw Data'!$C$5:$C$500,$B5))</f>
        <v>#DIV/0!</v>
      </c>
      <c r="G5" s="40" t="e">
        <f>SUM(SUMIF('Raw Data'!$C$5:$C$500,$B5, 'Raw Data'!$N$5:$N$500))/SUM(COUNTIF('Raw Data'!$C$5:$C$500,$B5))</f>
        <v>#DIV/0!</v>
      </c>
      <c r="H5" s="69"/>
      <c r="I5" s="68"/>
      <c r="J5" s="68"/>
    </row>
    <row r="6" spans="1:17" ht="15.75" customHeight="1" x14ac:dyDescent="0.25">
      <c r="A6" s="46"/>
      <c r="B6" s="30"/>
      <c r="C6" s="40">
        <f>SUM(SUMIF('Raw Data'!$C$5:$C$500,$B6, 'Raw Data'!$I$5:$KI$500))</f>
        <v>0</v>
      </c>
      <c r="D6" s="67">
        <f>SUM(COUNTIF('Raw Data'!$C$5:$C$500,$B6))</f>
        <v>0</v>
      </c>
      <c r="E6" s="40" t="e">
        <f>SUM(SUMIF('Raw Data'!$C$5:$C$500,$B6, 'Raw Data'!$I$5:$I$500))/SUM(COUNTIF('Raw Data'!$C$5:$C$500,$B6))</f>
        <v>#DIV/0!</v>
      </c>
      <c r="F6" s="49" t="e">
        <f>SUM(SUMIF('Raw Data'!$C$5:$C$500,$B6, 'Raw Data'!$K$5:$K$500))/SUM(COUNTIF('Raw Data'!$C$5:$C$500,$B6))</f>
        <v>#DIV/0!</v>
      </c>
      <c r="G6" s="40" t="e">
        <f>SUM(SUMIF('Raw Data'!$C$5:$C$500,$B6, 'Raw Data'!$N$5:$N$500))/SUM(COUNTIF('Raw Data'!$C$5:$C$500,$B6))</f>
        <v>#DIV/0!</v>
      </c>
      <c r="H6" s="69"/>
      <c r="I6" s="68"/>
      <c r="J6" s="68"/>
    </row>
    <row r="7" spans="1:17" ht="15.75" customHeight="1" x14ac:dyDescent="0.25">
      <c r="A7" s="46"/>
      <c r="B7" s="30"/>
      <c r="C7" s="40">
        <f>SUM(SUMIF('Raw Data'!$C$5:$C$500,$B7, 'Raw Data'!$I$5:$KI$500))</f>
        <v>0</v>
      </c>
      <c r="D7" s="67">
        <f>SUM(COUNTIF('Raw Data'!$C$5:$C$500,$B7))</f>
        <v>0</v>
      </c>
      <c r="E7" s="40" t="e">
        <f>SUM(SUMIF('Raw Data'!$C$5:$C$500,$B7, 'Raw Data'!$I$5:$I$500))/SUM(COUNTIF('Raw Data'!$C$5:$C$500,$B7))</f>
        <v>#DIV/0!</v>
      </c>
      <c r="F7" s="49" t="e">
        <f>SUM(SUMIF('Raw Data'!$C$5:$C$500,$B7, 'Raw Data'!$K$5:$K$500))/SUM(COUNTIF('Raw Data'!$C$5:$C$500,$B7))</f>
        <v>#DIV/0!</v>
      </c>
      <c r="G7" s="40" t="e">
        <f>SUM(SUMIF('Raw Data'!$C$5:$C$500,$B7, 'Raw Data'!$N$5:$N$500))/SUM(COUNTIF('Raw Data'!$C$5:$C$500,$B7))</f>
        <v>#DIV/0!</v>
      </c>
      <c r="H7" s="69"/>
      <c r="I7" s="68"/>
      <c r="J7" s="68"/>
    </row>
    <row r="8" spans="1:17" ht="15.75" customHeight="1" x14ac:dyDescent="0.25">
      <c r="A8" s="46"/>
      <c r="B8" s="29"/>
      <c r="C8" s="40">
        <f>SUM(SUMIF('Raw Data'!$C$5:$C$500,$B8, 'Raw Data'!$I$5:$KI$500))</f>
        <v>0</v>
      </c>
      <c r="D8" s="67">
        <f>SUM(COUNTIF('Raw Data'!$C$5:$C$500,$B8))</f>
        <v>0</v>
      </c>
      <c r="E8" s="40" t="e">
        <f>SUM(SUMIF('Raw Data'!$C$5:$C$500,$B8, 'Raw Data'!$I$5:$I$500))/SUM(COUNTIF('Raw Data'!$C$5:$C$500,$B8))</f>
        <v>#DIV/0!</v>
      </c>
      <c r="F8" s="49" t="e">
        <f>SUM(SUMIF('Raw Data'!$C$5:$C$500,$B8, 'Raw Data'!$K$5:$K$500))/SUM(COUNTIF('Raw Data'!$C$5:$C$500,$B8))</f>
        <v>#DIV/0!</v>
      </c>
      <c r="G8" s="40" t="e">
        <f>SUM(SUMIF('Raw Data'!$C$5:$C$500,$B8, 'Raw Data'!$N$5:$N$500))/SUM(COUNTIF('Raw Data'!$C$5:$C$500,$B8))</f>
        <v>#DIV/0!</v>
      </c>
      <c r="H8" s="69"/>
      <c r="I8" s="68"/>
      <c r="J8" s="68"/>
    </row>
    <row r="9" spans="1:17" ht="15.75" customHeight="1" x14ac:dyDescent="0.25">
      <c r="A9" s="46"/>
      <c r="B9" s="30"/>
      <c r="C9" s="40">
        <f>SUM(SUMIF('Raw Data'!$C$5:$C$500,$B9, 'Raw Data'!$I$5:$KI$500))</f>
        <v>0</v>
      </c>
      <c r="D9" s="67">
        <f>SUM(COUNTIF('Raw Data'!$C$5:$C$500,$B9))</f>
        <v>0</v>
      </c>
      <c r="E9" s="40" t="e">
        <f>SUM(SUMIF('Raw Data'!$C$5:$C$500,$B9, 'Raw Data'!$I$5:$I$500))/SUM(COUNTIF('Raw Data'!$C$5:$C$500,$B9))</f>
        <v>#DIV/0!</v>
      </c>
      <c r="F9" s="49" t="e">
        <f>SUM(SUMIF('Raw Data'!$C$5:$C$500,$B9, 'Raw Data'!$K$5:$K$500))/SUM(COUNTIF('Raw Data'!$C$5:$C$500,$B9))</f>
        <v>#DIV/0!</v>
      </c>
      <c r="G9" s="40" t="e">
        <f>SUM(SUMIF('Raw Data'!$C$5:$C$500,$B9, 'Raw Data'!$N$5:$N$500))/SUM(COUNTIF('Raw Data'!$C$5:$C$500,$B9))</f>
        <v>#DIV/0!</v>
      </c>
      <c r="H9" s="69"/>
      <c r="I9" s="68"/>
      <c r="J9" s="68"/>
      <c r="Q9" s="6"/>
    </row>
    <row r="10" spans="1:17" ht="15.75" customHeight="1" x14ac:dyDescent="0.25">
      <c r="A10" s="46"/>
      <c r="B10" s="29"/>
      <c r="C10" s="40">
        <f>SUM(SUMIF('Raw Data'!$C$5:$C$500,$B10, 'Raw Data'!$I$5:$KI$500))</f>
        <v>0</v>
      </c>
      <c r="D10" s="67">
        <f>SUM(COUNTIF('Raw Data'!$C$5:$C$500,$B10))</f>
        <v>0</v>
      </c>
      <c r="E10" s="40" t="e">
        <f>SUM(SUMIF('Raw Data'!$C$5:$C$500,$B10, 'Raw Data'!$I$5:$I$500))/SUM(COUNTIF('Raw Data'!$C$5:$C$500,$B10))</f>
        <v>#DIV/0!</v>
      </c>
      <c r="F10" s="49" t="e">
        <f>SUM(SUMIF('Raw Data'!$C$5:$C$500,$B10, 'Raw Data'!$K$5:$K$500))/SUM(COUNTIF('Raw Data'!$C$5:$C$500,$B10))</f>
        <v>#DIV/0!</v>
      </c>
      <c r="G10" s="40" t="e">
        <f>SUM(SUMIF('Raw Data'!$C$5:$C$500,$B10, 'Raw Data'!$N$5:$N$500))/SUM(COUNTIF('Raw Data'!$C$5:$C$500,$B10))</f>
        <v>#DIV/0!</v>
      </c>
      <c r="H10" s="69"/>
      <c r="I10" s="68"/>
      <c r="J10" s="68"/>
    </row>
    <row r="11" spans="1:17" ht="15.75" customHeight="1" x14ac:dyDescent="0.25">
      <c r="A11" s="46"/>
      <c r="B11" s="30"/>
      <c r="C11" s="40">
        <f>SUM(SUMIF('Raw Data'!$C$5:$C$500,$B11, 'Raw Data'!$I$5:$KI$500))</f>
        <v>0</v>
      </c>
      <c r="D11" s="67">
        <f>SUM(COUNTIF('Raw Data'!$C$5:$C$500,$B11))</f>
        <v>0</v>
      </c>
      <c r="E11" s="40" t="e">
        <f>SUM(SUMIF('Raw Data'!$C$5:$C$500,$B11, 'Raw Data'!$I$5:$I$500))/SUM(COUNTIF('Raw Data'!$C$5:$C$500,$B11))</f>
        <v>#DIV/0!</v>
      </c>
      <c r="F11" s="49" t="e">
        <f>SUM(SUMIF('Raw Data'!$C$5:$C$500,$B11, 'Raw Data'!$K$5:$K$500))/SUM(COUNTIF('Raw Data'!$C$5:$C$500,$B11))</f>
        <v>#DIV/0!</v>
      </c>
      <c r="G11" s="40" t="e">
        <f>SUM(SUMIF('Raw Data'!$C$5:$C$500,$B11, 'Raw Data'!$N$5:$N$500))/SUM(COUNTIF('Raw Data'!$C$5:$C$500,$B11))</f>
        <v>#DIV/0!</v>
      </c>
      <c r="H11" s="69"/>
      <c r="I11" s="68"/>
      <c r="J11" s="68"/>
    </row>
    <row r="12" spans="1:17" ht="15.75" customHeight="1" x14ac:dyDescent="0.25">
      <c r="A12" s="46"/>
      <c r="B12" s="29"/>
      <c r="C12" s="40">
        <f>SUM(SUMIF('Raw Data'!$C$5:$C$500,$B12, 'Raw Data'!$I$5:$KI$500))</f>
        <v>0</v>
      </c>
      <c r="D12" s="67">
        <f>SUM(COUNTIF('Raw Data'!$C$5:$C$500,$B12))</f>
        <v>0</v>
      </c>
      <c r="E12" s="40" t="e">
        <f>SUM(SUMIF('Raw Data'!$C$5:$C$500,$B12, 'Raw Data'!$I$5:$I$500))/SUM(COUNTIF('Raw Data'!$C$5:$C$500,$B12))</f>
        <v>#DIV/0!</v>
      </c>
      <c r="F12" s="49" t="e">
        <f>SUM(SUMIF('Raw Data'!$C$5:$C$500,$B12, 'Raw Data'!$K$5:$K$500))/SUM(COUNTIF('Raw Data'!$C$5:$C$500,$B12))</f>
        <v>#DIV/0!</v>
      </c>
      <c r="G12" s="40" t="e">
        <f>SUM(SUMIF('Raw Data'!$C$5:$C$500,$B12, 'Raw Data'!$N$5:$N$500))/SUM(COUNTIF('Raw Data'!$C$5:$C$500,$B12))</f>
        <v>#DIV/0!</v>
      </c>
      <c r="H12" s="69"/>
      <c r="I12" s="68"/>
      <c r="J12" s="68"/>
    </row>
    <row r="13" spans="1:17" ht="15.75" customHeight="1" x14ac:dyDescent="0.25">
      <c r="A13" s="46"/>
      <c r="B13" s="30"/>
      <c r="C13" s="40">
        <f>SUM(SUMIF('Raw Data'!$C$5:$C$500,$B13, 'Raw Data'!$I$5:$KI$500))</f>
        <v>0</v>
      </c>
      <c r="D13" s="67">
        <f>SUM(COUNTIF('Raw Data'!$C$5:$C$500,$B13))</f>
        <v>0</v>
      </c>
      <c r="E13" s="40" t="e">
        <f>SUM(SUMIF('Raw Data'!$C$5:$C$500,$B13, 'Raw Data'!$I$5:$I$500))/SUM(COUNTIF('Raw Data'!$C$5:$C$500,$B13))</f>
        <v>#DIV/0!</v>
      </c>
      <c r="F13" s="49" t="e">
        <f>SUM(SUMIF('Raw Data'!$C$5:$C$500,$B13, 'Raw Data'!$K$5:$K$500))/SUM(COUNTIF('Raw Data'!$C$5:$C$500,$B13))</f>
        <v>#DIV/0!</v>
      </c>
      <c r="G13" s="40" t="e">
        <f>SUM(SUMIF('Raw Data'!$C$5:$C$500,$B13, 'Raw Data'!$N$5:$N$500))/SUM(COUNTIF('Raw Data'!$C$5:$C$500,$B13))</f>
        <v>#DIV/0!</v>
      </c>
      <c r="H13" s="69"/>
      <c r="I13" s="68"/>
      <c r="J13" s="68"/>
      <c r="Q13" s="6"/>
    </row>
    <row r="14" spans="1:17" ht="15.75" customHeight="1" x14ac:dyDescent="0.25">
      <c r="A14" s="46"/>
      <c r="B14" s="29"/>
      <c r="C14" s="40">
        <f>SUM(SUMIF('Raw Data'!$C$5:$C$500,$B14, 'Raw Data'!$I$5:$KI$500))</f>
        <v>0</v>
      </c>
      <c r="D14" s="67">
        <f>SUM(COUNTIF('Raw Data'!$C$5:$C$500,$B14))</f>
        <v>0</v>
      </c>
      <c r="E14" s="40" t="e">
        <f>SUM(SUMIF('Raw Data'!$C$5:$C$500,$B14, 'Raw Data'!$I$5:$I$500))/SUM(COUNTIF('Raw Data'!$C$5:$C$500,$B14))</f>
        <v>#DIV/0!</v>
      </c>
      <c r="F14" s="49" t="e">
        <f>SUM(SUMIF('Raw Data'!$C$5:$C$500,$B14, 'Raw Data'!$K$5:$K$500))/SUM(COUNTIF('Raw Data'!$C$5:$C$500,$B14))</f>
        <v>#DIV/0!</v>
      </c>
      <c r="G14" s="40" t="e">
        <f>SUM(SUMIF('Raw Data'!$C$5:$C$500,$B14, 'Raw Data'!$N$5:$N$500))/SUM(COUNTIF('Raw Data'!$C$5:$C$500,$B14))</f>
        <v>#DIV/0!</v>
      </c>
      <c r="H14" s="69"/>
      <c r="I14" s="68"/>
      <c r="J14" s="68"/>
    </row>
    <row r="15" spans="1:17" ht="15.75" customHeight="1" x14ac:dyDescent="0.25">
      <c r="A15" s="46"/>
      <c r="B15" s="30"/>
      <c r="C15" s="40">
        <f>SUM(SUMIF('Raw Data'!$C$5:$C$500,$B15, 'Raw Data'!$I$5:$KI$500))</f>
        <v>0</v>
      </c>
      <c r="D15" s="67">
        <f>SUM(COUNTIF('Raw Data'!$C$5:$C$500,$B15))</f>
        <v>0</v>
      </c>
      <c r="E15" s="40" t="e">
        <f>SUM(SUMIF('Raw Data'!$C$5:$C$500,$B15, 'Raw Data'!$I$5:$I$500))/SUM(COUNTIF('Raw Data'!$C$5:$C$500,$B15))</f>
        <v>#DIV/0!</v>
      </c>
      <c r="F15" s="49" t="e">
        <f>SUM(SUMIF('Raw Data'!$C$5:$C$500,$B15, 'Raw Data'!$K$5:$K$500))/SUM(COUNTIF('Raw Data'!$C$5:$C$500,$B15))</f>
        <v>#DIV/0!</v>
      </c>
      <c r="G15" s="40" t="e">
        <f>SUM(SUMIF('Raw Data'!$C$5:$C$500,$B15, 'Raw Data'!$N$5:$N$500))/SUM(COUNTIF('Raw Data'!$C$5:$C$500,$B15))</f>
        <v>#DIV/0!</v>
      </c>
      <c r="H15" s="69"/>
      <c r="I15" s="68"/>
      <c r="J15" s="68"/>
    </row>
    <row r="16" spans="1:17" ht="15.75" customHeight="1" x14ac:dyDescent="0.25">
      <c r="A16" s="46"/>
      <c r="B16" s="30"/>
      <c r="C16" s="40">
        <f>SUM(SUMIF('Raw Data'!$C$5:$C$500,$B16, 'Raw Data'!$I$5:$KI$500))</f>
        <v>0</v>
      </c>
      <c r="D16" s="67">
        <f>SUM(COUNTIF('Raw Data'!$C$5:$C$500,$B16))</f>
        <v>0</v>
      </c>
      <c r="E16" s="40" t="e">
        <f>SUM(SUMIF('Raw Data'!$C$5:$C$500,$B16, 'Raw Data'!$I$5:$I$500))/SUM(COUNTIF('Raw Data'!$C$5:$C$500,$B16))</f>
        <v>#DIV/0!</v>
      </c>
      <c r="F16" s="49" t="e">
        <f>SUM(SUMIF('Raw Data'!$C$5:$C$500,$B16, 'Raw Data'!$K$5:$K$500))/SUM(COUNTIF('Raw Data'!$C$5:$C$500,$B16))</f>
        <v>#DIV/0!</v>
      </c>
      <c r="G16" s="40" t="e">
        <f>SUM(SUMIF('Raw Data'!$C$5:$C$500,$B16, 'Raw Data'!$N$5:$N$500))/SUM(COUNTIF('Raw Data'!$C$5:$C$500,$B16))</f>
        <v>#DIV/0!</v>
      </c>
      <c r="H16" s="69"/>
      <c r="I16" s="68"/>
      <c r="J16" s="68"/>
    </row>
    <row r="17" spans="1:23" ht="15.75" customHeight="1" x14ac:dyDescent="0.25">
      <c r="A17" s="46"/>
      <c r="B17" s="30"/>
      <c r="C17" s="40">
        <f>SUM(SUMIF('Raw Data'!$C$5:$C$500,$B17, 'Raw Data'!$I$5:$KI$500))</f>
        <v>0</v>
      </c>
      <c r="D17" s="67">
        <f>SUM(COUNTIF('Raw Data'!$C$5:$C$500,$B17))</f>
        <v>0</v>
      </c>
      <c r="E17" s="40" t="e">
        <f>SUM(SUMIF('Raw Data'!$C$5:$C$500,$B17, 'Raw Data'!$I$5:$I$500))/SUM(COUNTIF('Raw Data'!$C$5:$C$500,$B17))</f>
        <v>#DIV/0!</v>
      </c>
      <c r="F17" s="49" t="e">
        <f>SUM(SUMIF('Raw Data'!$C$5:$C$500,$B17, 'Raw Data'!$K$5:$K$500))/SUM(COUNTIF('Raw Data'!$C$5:$C$500,$B17))</f>
        <v>#DIV/0!</v>
      </c>
      <c r="G17" s="40" t="e">
        <f>SUM(SUMIF('Raw Data'!$C$5:$C$500,$B17, 'Raw Data'!$N$5:$N$500))/SUM(COUNTIF('Raw Data'!$C$5:$C$500,$B17))</f>
        <v>#DIV/0!</v>
      </c>
      <c r="H17" s="69"/>
      <c r="I17" s="68"/>
      <c r="J17" s="68"/>
    </row>
    <row r="18" spans="1:23" ht="15.75" customHeight="1" x14ac:dyDescent="0.25">
      <c r="A18" s="46"/>
      <c r="B18" s="29"/>
      <c r="C18" s="40">
        <f>SUM(SUMIF('Raw Data'!$C$5:$C$500,$B18, 'Raw Data'!$I$5:$KI$500))</f>
        <v>0</v>
      </c>
      <c r="D18" s="67">
        <f>SUM(COUNTIF('Raw Data'!$C$5:$C$500,$B18))</f>
        <v>0</v>
      </c>
      <c r="E18" s="40" t="e">
        <f>SUM(SUMIF('Raw Data'!$C$5:$C$500,$B18, 'Raw Data'!$I$5:$I$500))/SUM(COUNTIF('Raw Data'!$C$5:$C$500,$B18))</f>
        <v>#DIV/0!</v>
      </c>
      <c r="F18" s="49" t="e">
        <f>SUM(SUMIF('Raw Data'!$C$5:$C$500,$B18, 'Raw Data'!$K$5:$K$500))/SUM(COUNTIF('Raw Data'!$C$5:$C$500,$B18))</f>
        <v>#DIV/0!</v>
      </c>
      <c r="G18" s="40" t="e">
        <f>SUM(SUMIF('Raw Data'!$C$5:$C$500,$B18, 'Raw Data'!$N$5:$N$500))/SUM(COUNTIF('Raw Data'!$C$5:$C$500,$B18))</f>
        <v>#DIV/0!</v>
      </c>
      <c r="H18" s="69"/>
      <c r="I18" s="68"/>
      <c r="J18" s="68"/>
    </row>
    <row r="19" spans="1:23" ht="15.75" customHeight="1" x14ac:dyDescent="0.25">
      <c r="A19" s="46"/>
      <c r="B19" s="30"/>
      <c r="C19" s="40">
        <f>SUM(SUMIF('Raw Data'!$C$5:$C$500,$B19, 'Raw Data'!$I$5:$KI$500))</f>
        <v>0</v>
      </c>
      <c r="D19" s="67">
        <f>SUM(COUNTIF('Raw Data'!$C$5:$C$500,$B19))</f>
        <v>0</v>
      </c>
      <c r="E19" s="40" t="e">
        <f>SUM(SUMIF('Raw Data'!$C$5:$C$500,$B19, 'Raw Data'!$I$5:$I$500))/SUM(COUNTIF('Raw Data'!$C$5:$C$500,$B19))</f>
        <v>#DIV/0!</v>
      </c>
      <c r="F19" s="49" t="e">
        <f>SUM(SUMIF('Raw Data'!$C$5:$C$500,$B19, 'Raw Data'!$K$5:$K$500))/SUM(COUNTIF('Raw Data'!$C$5:$C$500,$B19))</f>
        <v>#DIV/0!</v>
      </c>
      <c r="G19" s="40" t="e">
        <f>SUM(SUMIF('Raw Data'!$C$5:$C$500,$B19, 'Raw Data'!$N$5:$N$500))/SUM(COUNTIF('Raw Data'!$C$5:$C$500,$B19))</f>
        <v>#DIV/0!</v>
      </c>
      <c r="H19" s="69"/>
      <c r="I19" s="68"/>
      <c r="J19" s="68"/>
      <c r="Q19" s="6"/>
    </row>
    <row r="20" spans="1:23" ht="15.75" customHeight="1" x14ac:dyDescent="0.25">
      <c r="A20" s="46"/>
      <c r="B20" s="29"/>
      <c r="C20" s="40">
        <f>SUM(SUMIF('Raw Data'!$C$5:$C$500,$B20, 'Raw Data'!$I$5:$KI$500))</f>
        <v>0</v>
      </c>
      <c r="D20" s="67">
        <f>SUM(COUNTIF('Raw Data'!$C$5:$C$500,$B20))</f>
        <v>0</v>
      </c>
      <c r="E20" s="40" t="e">
        <f>SUM(SUMIF('Raw Data'!$C$5:$C$500,$B20, 'Raw Data'!$I$5:$I$500))/SUM(COUNTIF('Raw Data'!$C$5:$C$500,$B20))</f>
        <v>#DIV/0!</v>
      </c>
      <c r="F20" s="49" t="e">
        <f>SUM(SUMIF('Raw Data'!$C$5:$C$500,$B20, 'Raw Data'!$K$5:$K$500))/SUM(COUNTIF('Raw Data'!$C$5:$C$500,$B20))</f>
        <v>#DIV/0!</v>
      </c>
      <c r="G20" s="40" t="e">
        <f>SUM(SUMIF('Raw Data'!$C$5:$C$500,$B20, 'Raw Data'!$N$5:$N$500))/SUM(COUNTIF('Raw Data'!$C$5:$C$500,$B20))</f>
        <v>#DIV/0!</v>
      </c>
      <c r="H20" s="69"/>
      <c r="I20" s="68"/>
      <c r="J20" s="68"/>
    </row>
    <row r="21" spans="1:23" ht="15.75" customHeight="1" x14ac:dyDescent="0.25">
      <c r="A21" s="46"/>
      <c r="B21" s="30"/>
      <c r="C21" s="40">
        <f>SUM(SUMIF('Raw Data'!$C$5:$C$500,$B21, 'Raw Data'!$I$5:$KI$500))</f>
        <v>0</v>
      </c>
      <c r="D21" s="67">
        <f>SUM(COUNTIF('Raw Data'!$C$5:$C$500,$B21))</f>
        <v>0</v>
      </c>
      <c r="E21" s="40" t="e">
        <f>SUM(SUMIF('Raw Data'!$C$5:$C$500,$B21, 'Raw Data'!$I$5:$I$500))/SUM(COUNTIF('Raw Data'!$C$5:$C$500,$B21))</f>
        <v>#DIV/0!</v>
      </c>
      <c r="F21" s="49" t="e">
        <f>SUM(SUMIF('Raw Data'!$C$5:$C$500,$B21, 'Raw Data'!$K$5:$K$500))/SUM(COUNTIF('Raw Data'!$C$5:$C$500,$B21))</f>
        <v>#DIV/0!</v>
      </c>
      <c r="G21" s="40" t="e">
        <f>SUM(SUMIF('Raw Data'!$C$5:$C$500,$B21, 'Raw Data'!$N$5:$N$500))/SUM(COUNTIF('Raw Data'!$C$5:$C$500,$B21))</f>
        <v>#DIV/0!</v>
      </c>
      <c r="H21" s="69"/>
      <c r="I21" s="68"/>
      <c r="J21" s="68"/>
    </row>
    <row r="22" spans="1:23" ht="15.75" customHeight="1" x14ac:dyDescent="0.25">
      <c r="A22" s="46"/>
      <c r="B22" s="29"/>
      <c r="C22" s="40">
        <f>SUM(SUMIF('Raw Data'!$C$5:$C$500,$B22, 'Raw Data'!$I$5:$KI$500))</f>
        <v>0</v>
      </c>
      <c r="D22" s="67">
        <f>SUM(COUNTIF('Raw Data'!$C$5:$C$500,$B22))</f>
        <v>0</v>
      </c>
      <c r="E22" s="40" t="e">
        <f>SUM(SUMIF('Raw Data'!$C$5:$C$500,$B22, 'Raw Data'!$I$5:$I$500))/SUM(COUNTIF('Raw Data'!$C$5:$C$500,$B22))</f>
        <v>#DIV/0!</v>
      </c>
      <c r="F22" s="49" t="e">
        <f>SUM(SUMIF('Raw Data'!$C$5:$C$500,$B22, 'Raw Data'!$K$5:$K$500))/SUM(COUNTIF('Raw Data'!$C$5:$C$500,$B22))</f>
        <v>#DIV/0!</v>
      </c>
      <c r="G22" s="40" t="e">
        <f>SUM(SUMIF('Raw Data'!$C$5:$C$500,$B22, 'Raw Data'!$N$5:$N$500))/SUM(COUNTIF('Raw Data'!$C$5:$C$500,$B22))</f>
        <v>#DIV/0!</v>
      </c>
      <c r="H22" s="69"/>
      <c r="I22" s="68"/>
      <c r="J22" s="68"/>
    </row>
    <row r="23" spans="1:23" ht="15.75" customHeight="1" x14ac:dyDescent="0.25">
      <c r="A23" s="46"/>
      <c r="B23" s="30"/>
      <c r="C23" s="40">
        <f>SUM(SUMIF('Raw Data'!$C$5:$C$500,$B23, 'Raw Data'!$I$5:$KI$500))</f>
        <v>0</v>
      </c>
      <c r="D23" s="67">
        <f>SUM(COUNTIF('Raw Data'!$C$5:$C$500,$B23))</f>
        <v>0</v>
      </c>
      <c r="E23" s="40" t="e">
        <f>SUM(SUMIF('Raw Data'!$C$5:$C$500,$B23, 'Raw Data'!$I$5:$I$500))/SUM(COUNTIF('Raw Data'!$C$5:$C$500,$B23))</f>
        <v>#DIV/0!</v>
      </c>
      <c r="F23" s="49" t="e">
        <f>SUM(SUMIF('Raw Data'!$C$5:$C$500,$B23, 'Raw Data'!$K$5:$K$500))/SUM(COUNTIF('Raw Data'!$C$5:$C$500,$B23))</f>
        <v>#DIV/0!</v>
      </c>
      <c r="G23" s="40" t="e">
        <f>SUM(SUMIF('Raw Data'!$C$5:$C$500,$B23, 'Raw Data'!$N$5:$N$500))/SUM(COUNTIF('Raw Data'!$C$5:$C$500,$B23))</f>
        <v>#DIV/0!</v>
      </c>
      <c r="H23" s="69"/>
      <c r="I23" s="68"/>
      <c r="J23" s="68"/>
      <c r="Q23" s="6"/>
    </row>
    <row r="24" spans="1:23" ht="15.75" customHeight="1" x14ac:dyDescent="0.25">
      <c r="A24" s="46"/>
      <c r="B24" s="29"/>
      <c r="C24" s="40">
        <f>SUM(SUMIF('Raw Data'!$C$5:$C$500,$B24, 'Raw Data'!$I$5:$KI$500))</f>
        <v>0</v>
      </c>
      <c r="D24" s="67">
        <f>SUM(COUNTIF('Raw Data'!$C$5:$C$500,$B24))</f>
        <v>0</v>
      </c>
      <c r="E24" s="40" t="e">
        <f>SUM(SUMIF('Raw Data'!$C$5:$C$500,$B24, 'Raw Data'!$I$5:$I$500))/SUM(COUNTIF('Raw Data'!$C$5:$C$500,$B24))</f>
        <v>#DIV/0!</v>
      </c>
      <c r="F24" s="49" t="e">
        <f>SUM(SUMIF('Raw Data'!$C$5:$C$500,$B24, 'Raw Data'!$K$5:$K$500))/SUM(COUNTIF('Raw Data'!$C$5:$C$500,$B24))</f>
        <v>#DIV/0!</v>
      </c>
      <c r="G24" s="40" t="e">
        <f>SUM(SUMIF('Raw Data'!$C$5:$C$500,$B24, 'Raw Data'!$N$5:$N$500))/SUM(COUNTIF('Raw Data'!$C$5:$C$500,$B24))</f>
        <v>#DIV/0!</v>
      </c>
      <c r="H24" s="69"/>
      <c r="I24" s="68"/>
      <c r="J24" s="68"/>
    </row>
    <row r="25" spans="1:23" ht="15.75" customHeight="1" thickBot="1" x14ac:dyDescent="0.3">
      <c r="A25" s="46"/>
      <c r="B25" s="30"/>
      <c r="C25" s="40">
        <f>SUM(SUMIF('Raw Data'!$C$5:$C$500,$B25, 'Raw Data'!$I$5:$KI$500))</f>
        <v>0</v>
      </c>
      <c r="D25" s="67">
        <f>SUM(COUNTIF('Raw Data'!$C$5:$C$500,$B25))</f>
        <v>0</v>
      </c>
      <c r="E25" s="40" t="e">
        <f>SUM(SUMIF('Raw Data'!$C$5:$C$500,$B25, 'Raw Data'!$I$5:$I$500))/SUM(COUNTIF('Raw Data'!$C$5:$C$500,$B25))</f>
        <v>#DIV/0!</v>
      </c>
      <c r="F25" s="49" t="e">
        <f>SUM(SUMIF('Raw Data'!$C$5:$C$500,$B25, 'Raw Data'!$K$5:$K$500))/SUM(COUNTIF('Raw Data'!$C$5:$C$500,$B25))</f>
        <v>#DIV/0!</v>
      </c>
      <c r="G25" s="40" t="e">
        <f>SUM(SUMIF('Raw Data'!$C$5:$C$500,$B25, 'Raw Data'!$N$5:$N$500))/SUM(COUNTIF('Raw Data'!$C$5:$C$500,$B25))</f>
        <v>#DIV/0!</v>
      </c>
      <c r="H25" s="69"/>
      <c r="I25" s="68"/>
      <c r="J25" s="68"/>
    </row>
    <row r="26" spans="1:23" ht="15.75" customHeight="1" x14ac:dyDescent="0.25">
      <c r="B26" s="120"/>
      <c r="C26" s="151">
        <f>SUM(C4:C13)</f>
        <v>0</v>
      </c>
      <c r="D26" s="155">
        <f>SUM(D4:D13)</f>
        <v>0</v>
      </c>
      <c r="E26" s="151" t="e">
        <f>AVERAGE(E4:E13)</f>
        <v>#DIV/0!</v>
      </c>
      <c r="F26" s="153" t="e">
        <f>AVERAGE(F4:F13)</f>
        <v>#DIV/0!</v>
      </c>
      <c r="G26" s="151" t="e">
        <f>AVERAGE(G4:G13)</f>
        <v>#DIV/0!</v>
      </c>
      <c r="H26" s="159"/>
      <c r="I26" s="157"/>
      <c r="J26" s="157"/>
    </row>
    <row r="27" spans="1:23" ht="15.75" customHeight="1" thickBot="1" x14ac:dyDescent="0.3">
      <c r="B27" s="121"/>
      <c r="C27" s="152"/>
      <c r="D27" s="156"/>
      <c r="E27" s="152"/>
      <c r="F27" s="154"/>
      <c r="G27" s="152"/>
      <c r="H27" s="159"/>
      <c r="I27" s="157"/>
      <c r="J27" s="157"/>
    </row>
    <row r="28" spans="1:23" ht="15.75" thickBot="1" x14ac:dyDescent="0.3">
      <c r="B28" s="42"/>
      <c r="C28" s="43"/>
      <c r="D28" s="43"/>
      <c r="E28" s="43"/>
      <c r="F28" s="43"/>
      <c r="G28" s="43"/>
      <c r="H28" s="43"/>
      <c r="I28" s="43"/>
      <c r="J28" s="43"/>
    </row>
    <row r="29" spans="1:23" x14ac:dyDescent="0.25">
      <c r="B29" s="53"/>
      <c r="C29" s="54"/>
      <c r="D29" s="54"/>
      <c r="E29" s="54"/>
      <c r="F29" s="54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3" x14ac:dyDescent="0.25">
      <c r="B30" s="57"/>
      <c r="C30" s="44"/>
      <c r="D30" s="44"/>
      <c r="E30" s="44"/>
      <c r="F30" s="44"/>
      <c r="G30" s="44"/>
      <c r="H30" s="44"/>
      <c r="I30" s="44"/>
      <c r="J30" s="44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9"/>
    </row>
    <row r="31" spans="1:23" x14ac:dyDescent="0.25">
      <c r="B31" s="57"/>
      <c r="C31" s="44"/>
      <c r="D31" s="44"/>
      <c r="E31" s="44"/>
      <c r="F31" s="44"/>
      <c r="G31" s="44"/>
      <c r="H31" s="44"/>
      <c r="I31" s="44"/>
      <c r="J31" s="44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9"/>
    </row>
    <row r="32" spans="1:23" x14ac:dyDescent="0.25">
      <c r="B32" s="57"/>
      <c r="C32" s="44"/>
      <c r="D32" s="44"/>
      <c r="E32" s="44"/>
      <c r="F32" s="44"/>
      <c r="G32" s="44"/>
      <c r="H32" s="44"/>
      <c r="I32" s="44"/>
      <c r="J32" s="44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9"/>
    </row>
    <row r="33" spans="2:23" x14ac:dyDescent="0.25">
      <c r="B33" s="57"/>
      <c r="C33" s="44"/>
      <c r="D33" s="44"/>
      <c r="E33" s="44"/>
      <c r="F33" s="44"/>
      <c r="G33" s="44"/>
      <c r="H33" s="44"/>
      <c r="I33" s="44"/>
      <c r="J33" s="44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9"/>
    </row>
    <row r="34" spans="2:23" x14ac:dyDescent="0.25">
      <c r="B34" s="57"/>
      <c r="C34" s="44"/>
      <c r="D34" s="44"/>
      <c r="E34" s="44"/>
      <c r="F34" s="44"/>
      <c r="G34" s="44"/>
      <c r="H34" s="44"/>
      <c r="I34" s="44"/>
      <c r="J34" s="44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9"/>
    </row>
    <row r="35" spans="2:23" x14ac:dyDescent="0.25">
      <c r="B35" s="57"/>
      <c r="C35" s="44"/>
      <c r="D35" s="44"/>
      <c r="E35" s="44"/>
      <c r="F35" s="44"/>
      <c r="G35" s="44"/>
      <c r="H35" s="44"/>
      <c r="I35" s="44"/>
      <c r="J35" s="44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9"/>
    </row>
    <row r="36" spans="2:23" x14ac:dyDescent="0.25">
      <c r="B36" s="57"/>
      <c r="C36" s="44"/>
      <c r="D36" s="44"/>
      <c r="E36" s="44"/>
      <c r="F36" s="44"/>
      <c r="G36" s="44"/>
      <c r="H36" s="44"/>
      <c r="I36" s="44"/>
      <c r="J36" s="44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</row>
    <row r="37" spans="2:23" x14ac:dyDescent="0.25">
      <c r="B37" s="57"/>
      <c r="C37" s="44"/>
      <c r="D37" s="44"/>
      <c r="E37" s="44"/>
      <c r="F37" s="44"/>
      <c r="G37" s="44"/>
      <c r="H37" s="44"/>
      <c r="I37" s="44"/>
      <c r="J37" s="44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9"/>
    </row>
    <row r="38" spans="2:23" x14ac:dyDescent="0.25">
      <c r="B38" s="57"/>
      <c r="C38" s="44"/>
      <c r="D38" s="44"/>
      <c r="E38" s="44"/>
      <c r="F38" s="44"/>
      <c r="G38" s="44"/>
      <c r="H38" s="44"/>
      <c r="I38" s="44"/>
      <c r="J38" s="44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9"/>
    </row>
    <row r="39" spans="2:23" x14ac:dyDescent="0.25">
      <c r="B39" s="57"/>
      <c r="C39" s="44"/>
      <c r="D39" s="44"/>
      <c r="E39" s="44"/>
      <c r="F39" s="44"/>
      <c r="G39" s="44"/>
      <c r="H39" s="44"/>
      <c r="I39" s="44"/>
      <c r="J39" s="44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9"/>
    </row>
    <row r="40" spans="2:23" x14ac:dyDescent="0.25">
      <c r="B40" s="57"/>
      <c r="C40" s="44"/>
      <c r="D40" s="44"/>
      <c r="E40" s="44"/>
      <c r="F40" s="44"/>
      <c r="G40" s="44"/>
      <c r="H40" s="44"/>
      <c r="I40" s="44"/>
      <c r="J40" s="44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9"/>
    </row>
    <row r="41" spans="2:23" x14ac:dyDescent="0.25">
      <c r="B41" s="57"/>
      <c r="C41" s="44"/>
      <c r="D41" s="44"/>
      <c r="E41" s="44"/>
      <c r="F41" s="44"/>
      <c r="G41" s="44"/>
      <c r="H41" s="44"/>
      <c r="I41" s="44"/>
      <c r="J41" s="44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9"/>
    </row>
    <row r="42" spans="2:23" x14ac:dyDescent="0.25">
      <c r="B42" s="57"/>
      <c r="C42" s="44"/>
      <c r="D42" s="44"/>
      <c r="E42" s="44"/>
      <c r="F42" s="44"/>
      <c r="G42" s="44"/>
      <c r="H42" s="44"/>
      <c r="I42" s="44"/>
      <c r="J42" s="44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9"/>
    </row>
    <row r="43" spans="2:23" x14ac:dyDescent="0.25">
      <c r="B43" s="57"/>
      <c r="C43" s="44"/>
      <c r="D43" s="44"/>
      <c r="E43" s="44"/>
      <c r="F43" s="44"/>
      <c r="G43" s="44"/>
      <c r="H43" s="44"/>
      <c r="I43" s="44"/>
      <c r="J43" s="44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9"/>
    </row>
    <row r="44" spans="2:23" x14ac:dyDescent="0.25">
      <c r="B44" s="57"/>
      <c r="C44" s="44"/>
      <c r="D44" s="44"/>
      <c r="E44" s="44"/>
      <c r="F44" s="44"/>
      <c r="G44" s="44"/>
      <c r="H44" s="44"/>
      <c r="I44" s="44"/>
      <c r="J44" s="44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</row>
    <row r="45" spans="2:23" x14ac:dyDescent="0.25">
      <c r="B45" s="57"/>
      <c r="C45" s="44"/>
      <c r="D45" s="44"/>
      <c r="E45" s="44"/>
      <c r="F45" s="44"/>
      <c r="G45" s="44"/>
      <c r="H45" s="44"/>
      <c r="I45" s="44"/>
      <c r="J45" s="44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</row>
    <row r="46" spans="2:23" x14ac:dyDescent="0.25">
      <c r="B46" s="57"/>
      <c r="C46" s="44"/>
      <c r="D46" s="44"/>
      <c r="E46" s="44"/>
      <c r="F46" s="44"/>
      <c r="G46" s="44"/>
      <c r="H46" s="44"/>
      <c r="I46" s="44"/>
      <c r="J46" s="44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9"/>
    </row>
    <row r="47" spans="2:23" x14ac:dyDescent="0.25">
      <c r="B47" s="57"/>
      <c r="C47" s="44"/>
      <c r="D47" s="44"/>
      <c r="E47" s="44"/>
      <c r="F47" s="44"/>
      <c r="G47" s="44"/>
      <c r="H47" s="44"/>
      <c r="I47" s="44"/>
      <c r="J47" s="44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9"/>
    </row>
    <row r="48" spans="2:23" x14ac:dyDescent="0.25">
      <c r="B48" s="60"/>
      <c r="C48" s="43"/>
      <c r="D48" s="43"/>
      <c r="E48" s="43"/>
      <c r="F48" s="43"/>
      <c r="G48" s="43"/>
      <c r="H48" s="43"/>
      <c r="I48" s="43"/>
      <c r="J48" s="43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9"/>
    </row>
    <row r="49" spans="2:23" x14ac:dyDescent="0.25">
      <c r="B49" s="60"/>
      <c r="C49" s="43"/>
      <c r="D49" s="43"/>
      <c r="E49" s="43"/>
      <c r="F49" s="43"/>
      <c r="G49" s="43"/>
      <c r="H49" s="43"/>
      <c r="I49" s="43"/>
      <c r="J49" s="43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9"/>
    </row>
    <row r="50" spans="2:23" x14ac:dyDescent="0.25">
      <c r="B50" s="60"/>
      <c r="C50" s="43"/>
      <c r="D50" s="43"/>
      <c r="E50" s="43"/>
      <c r="F50" s="43"/>
      <c r="G50" s="43"/>
      <c r="H50" s="43"/>
      <c r="I50" s="43"/>
      <c r="J50" s="43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9"/>
    </row>
    <row r="51" spans="2:23" x14ac:dyDescent="0.25">
      <c r="B51" s="60"/>
      <c r="C51" s="43"/>
      <c r="D51" s="43"/>
      <c r="E51" s="43"/>
      <c r="F51" s="43"/>
      <c r="G51" s="43"/>
      <c r="H51" s="43"/>
      <c r="I51" s="43"/>
      <c r="J51" s="43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9"/>
    </row>
    <row r="52" spans="2:23" x14ac:dyDescent="0.25">
      <c r="B52" s="60"/>
      <c r="C52" s="43"/>
      <c r="D52" s="43"/>
      <c r="E52" s="43"/>
      <c r="F52" s="43"/>
      <c r="G52" s="43"/>
      <c r="H52" s="43"/>
      <c r="I52" s="43"/>
      <c r="J52" s="43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9"/>
    </row>
    <row r="53" spans="2:23" x14ac:dyDescent="0.25">
      <c r="B53" s="60"/>
      <c r="C53" s="43"/>
      <c r="D53" s="43"/>
      <c r="E53" s="43"/>
      <c r="F53" s="43"/>
      <c r="G53" s="43"/>
      <c r="H53" s="43"/>
      <c r="I53" s="43"/>
      <c r="J53" s="43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9"/>
    </row>
    <row r="54" spans="2:23" x14ac:dyDescent="0.25">
      <c r="B54" s="60"/>
      <c r="C54" s="43"/>
      <c r="D54" s="43"/>
      <c r="E54" s="43"/>
      <c r="F54" s="43"/>
      <c r="G54" s="43"/>
      <c r="H54" s="43"/>
      <c r="I54" s="43"/>
      <c r="J54" s="43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9"/>
    </row>
    <row r="55" spans="2:23" x14ac:dyDescent="0.25">
      <c r="B55" s="60"/>
      <c r="C55" s="43"/>
      <c r="D55" s="43"/>
      <c r="E55" s="43"/>
      <c r="F55" s="43"/>
      <c r="G55" s="43"/>
      <c r="H55" s="43"/>
      <c r="I55" s="43"/>
      <c r="J55" s="43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9"/>
    </row>
    <row r="56" spans="2:23" x14ac:dyDescent="0.25">
      <c r="B56" s="60"/>
      <c r="C56" s="43"/>
      <c r="D56" s="43"/>
      <c r="E56" s="43"/>
      <c r="F56" s="43"/>
      <c r="G56" s="43"/>
      <c r="H56" s="43"/>
      <c r="I56" s="43"/>
      <c r="J56" s="43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9"/>
    </row>
    <row r="57" spans="2:23" x14ac:dyDescent="0.25">
      <c r="B57" s="60"/>
      <c r="C57" s="43"/>
      <c r="D57" s="43"/>
      <c r="E57" s="43"/>
      <c r="F57" s="43"/>
      <c r="G57" s="43"/>
      <c r="H57" s="43"/>
      <c r="I57" s="43"/>
      <c r="J57" s="43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9"/>
    </row>
    <row r="58" spans="2:23" x14ac:dyDescent="0.25">
      <c r="B58" s="60"/>
      <c r="C58" s="43"/>
      <c r="D58" s="43"/>
      <c r="E58" s="43"/>
      <c r="F58" s="43"/>
      <c r="G58" s="43"/>
      <c r="H58" s="43"/>
      <c r="I58" s="43"/>
      <c r="J58" s="43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9"/>
    </row>
    <row r="59" spans="2:23" ht="15.75" thickBot="1" x14ac:dyDescent="0.3">
      <c r="B59" s="61"/>
      <c r="C59" s="62"/>
      <c r="D59" s="62"/>
      <c r="E59" s="62"/>
      <c r="F59" s="62"/>
      <c r="G59" s="62"/>
      <c r="H59" s="62"/>
      <c r="I59" s="62"/>
      <c r="J59" s="62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4"/>
    </row>
    <row r="60" spans="2:23" ht="15.75" thickBot="1" x14ac:dyDescent="0.3"/>
    <row r="61" spans="2:23" x14ac:dyDescent="0.25">
      <c r="B61" s="65"/>
      <c r="C61" s="66"/>
      <c r="D61" s="66"/>
      <c r="E61" s="66"/>
      <c r="F61" s="66"/>
      <c r="G61" s="66"/>
      <c r="H61" s="66"/>
      <c r="I61" s="66"/>
      <c r="J61" s="66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6"/>
    </row>
    <row r="62" spans="2:23" x14ac:dyDescent="0.25">
      <c r="B62" s="60"/>
      <c r="C62" s="43"/>
      <c r="D62" s="43"/>
      <c r="E62" s="43"/>
      <c r="F62" s="43"/>
      <c r="G62" s="43"/>
      <c r="H62" s="43"/>
      <c r="I62" s="43"/>
      <c r="J62" s="43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9"/>
    </row>
    <row r="63" spans="2:23" x14ac:dyDescent="0.25">
      <c r="B63" s="60"/>
      <c r="C63" s="43"/>
      <c r="D63" s="43"/>
      <c r="E63" s="43"/>
      <c r="F63" s="43"/>
      <c r="G63" s="43"/>
      <c r="H63" s="43"/>
      <c r="I63" s="43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9"/>
    </row>
    <row r="64" spans="2:23" x14ac:dyDescent="0.25">
      <c r="B64" s="60"/>
      <c r="C64" s="43"/>
      <c r="D64" s="43"/>
      <c r="E64" s="43"/>
      <c r="F64" s="43"/>
      <c r="G64" s="43"/>
      <c r="H64" s="43"/>
      <c r="I64" s="43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9"/>
    </row>
    <row r="65" spans="2:23" x14ac:dyDescent="0.25">
      <c r="B65" s="60"/>
      <c r="C65" s="43"/>
      <c r="D65" s="43"/>
      <c r="E65" s="43"/>
      <c r="F65" s="43"/>
      <c r="G65" s="43"/>
      <c r="H65" s="43"/>
      <c r="I65" s="43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9"/>
    </row>
    <row r="66" spans="2:23" x14ac:dyDescent="0.25">
      <c r="B66" s="60"/>
      <c r="C66" s="43"/>
      <c r="D66" s="43"/>
      <c r="E66" s="43"/>
      <c r="F66" s="43"/>
      <c r="G66" s="43"/>
      <c r="H66" s="43"/>
      <c r="I66" s="43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9"/>
    </row>
    <row r="67" spans="2:23" x14ac:dyDescent="0.25">
      <c r="B67" s="60"/>
      <c r="C67" s="43"/>
      <c r="D67" s="43"/>
      <c r="E67" s="43"/>
      <c r="F67" s="43"/>
      <c r="G67" s="43"/>
      <c r="H67" s="43"/>
      <c r="I67" s="43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9"/>
    </row>
    <row r="68" spans="2:23" x14ac:dyDescent="0.25">
      <c r="B68" s="60"/>
      <c r="C68" s="43"/>
      <c r="D68" s="43"/>
      <c r="E68" s="43"/>
      <c r="F68" s="43"/>
      <c r="G68" s="43"/>
      <c r="H68" s="43"/>
      <c r="I68" s="43"/>
      <c r="J68" s="43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9"/>
    </row>
    <row r="69" spans="2:23" x14ac:dyDescent="0.25">
      <c r="B69" s="60"/>
      <c r="C69" s="43"/>
      <c r="D69" s="43"/>
      <c r="E69" s="43"/>
      <c r="F69" s="43"/>
      <c r="G69" s="43"/>
      <c r="H69" s="43"/>
      <c r="I69" s="43"/>
      <c r="J69" s="43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9"/>
    </row>
    <row r="70" spans="2:23" x14ac:dyDescent="0.25">
      <c r="B70" s="60"/>
      <c r="C70" s="43"/>
      <c r="D70" s="43"/>
      <c r="E70" s="43"/>
      <c r="F70" s="43"/>
      <c r="G70" s="43"/>
      <c r="H70" s="43"/>
      <c r="I70" s="43"/>
      <c r="J70" s="43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9"/>
    </row>
    <row r="71" spans="2:23" x14ac:dyDescent="0.25">
      <c r="B71" s="60"/>
      <c r="C71" s="43"/>
      <c r="D71" s="43"/>
      <c r="E71" s="43"/>
      <c r="F71" s="43"/>
      <c r="G71" s="43"/>
      <c r="H71" s="43"/>
      <c r="I71" s="43"/>
      <c r="J71" s="43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9"/>
    </row>
    <row r="72" spans="2:23" x14ac:dyDescent="0.25">
      <c r="B72" s="60"/>
      <c r="C72" s="43"/>
      <c r="D72" s="43"/>
      <c r="E72" s="43"/>
      <c r="F72" s="43"/>
      <c r="G72" s="43"/>
      <c r="H72" s="43"/>
      <c r="I72" s="43"/>
      <c r="J72" s="43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9"/>
    </row>
    <row r="73" spans="2:23" x14ac:dyDescent="0.25">
      <c r="B73" s="60"/>
      <c r="C73" s="43"/>
      <c r="D73" s="43"/>
      <c r="E73" s="43"/>
      <c r="F73" s="43"/>
      <c r="G73" s="43"/>
      <c r="H73" s="43"/>
      <c r="I73" s="43"/>
      <c r="J73" s="43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9"/>
    </row>
    <row r="74" spans="2:23" x14ac:dyDescent="0.25">
      <c r="B74" s="60"/>
      <c r="C74" s="43"/>
      <c r="D74" s="43"/>
      <c r="E74" s="43"/>
      <c r="F74" s="43"/>
      <c r="G74" s="43"/>
      <c r="H74" s="43"/>
      <c r="I74" s="43"/>
      <c r="J74" s="43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9"/>
    </row>
    <row r="75" spans="2:23" x14ac:dyDescent="0.25">
      <c r="B75" s="60"/>
      <c r="C75" s="43"/>
      <c r="D75" s="43"/>
      <c r="E75" s="43"/>
      <c r="F75" s="43"/>
      <c r="G75" s="43"/>
      <c r="H75" s="43"/>
      <c r="I75" s="43"/>
      <c r="J75" s="43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9"/>
    </row>
    <row r="76" spans="2:23" x14ac:dyDescent="0.25">
      <c r="B76" s="60"/>
      <c r="C76" s="43"/>
      <c r="D76" s="43"/>
      <c r="E76" s="43"/>
      <c r="F76" s="43"/>
      <c r="G76" s="43"/>
      <c r="H76" s="43"/>
      <c r="I76" s="43"/>
      <c r="J76" s="43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9"/>
    </row>
    <row r="77" spans="2:23" x14ac:dyDescent="0.25">
      <c r="B77" s="60"/>
      <c r="C77" s="43"/>
      <c r="D77" s="43"/>
      <c r="E77" s="43"/>
      <c r="F77" s="43"/>
      <c r="G77" s="43"/>
      <c r="H77" s="43"/>
      <c r="I77" s="43"/>
      <c r="J77" s="43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9"/>
    </row>
    <row r="78" spans="2:23" x14ac:dyDescent="0.25">
      <c r="B78" s="60"/>
      <c r="C78" s="43"/>
      <c r="D78" s="43"/>
      <c r="E78" s="43"/>
      <c r="F78" s="43"/>
      <c r="G78" s="43"/>
      <c r="H78" s="43"/>
      <c r="I78" s="43"/>
      <c r="J78" s="43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9"/>
    </row>
    <row r="79" spans="2:23" x14ac:dyDescent="0.25">
      <c r="B79" s="60"/>
      <c r="C79" s="43"/>
      <c r="D79" s="43"/>
      <c r="E79" s="43"/>
      <c r="F79" s="43"/>
      <c r="G79" s="43"/>
      <c r="H79" s="43"/>
      <c r="I79" s="43"/>
      <c r="J79" s="43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9"/>
    </row>
    <row r="80" spans="2:23" x14ac:dyDescent="0.25">
      <c r="B80" s="60"/>
      <c r="C80" s="43"/>
      <c r="D80" s="43"/>
      <c r="E80" s="43"/>
      <c r="F80" s="43"/>
      <c r="G80" s="43"/>
      <c r="H80" s="43"/>
      <c r="I80" s="43"/>
      <c r="J80" s="43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9"/>
    </row>
    <row r="81" spans="2:23" x14ac:dyDescent="0.25">
      <c r="B81" s="60"/>
      <c r="C81" s="43"/>
      <c r="D81" s="43"/>
      <c r="E81" s="43"/>
      <c r="F81" s="43"/>
      <c r="G81" s="43"/>
      <c r="H81" s="43"/>
      <c r="I81" s="43"/>
      <c r="J81" s="43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9"/>
    </row>
    <row r="82" spans="2:23" x14ac:dyDescent="0.25">
      <c r="B82" s="60"/>
      <c r="C82" s="43"/>
      <c r="D82" s="43"/>
      <c r="E82" s="43"/>
      <c r="F82" s="43"/>
      <c r="G82" s="43"/>
      <c r="H82" s="43"/>
      <c r="I82" s="43"/>
      <c r="J82" s="43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9"/>
    </row>
    <row r="83" spans="2:23" x14ac:dyDescent="0.25">
      <c r="B83" s="60"/>
      <c r="C83" s="43"/>
      <c r="D83" s="43"/>
      <c r="E83" s="43"/>
      <c r="F83" s="43"/>
      <c r="G83" s="43"/>
      <c r="H83" s="43"/>
      <c r="I83" s="43"/>
      <c r="J83" s="43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9"/>
    </row>
    <row r="84" spans="2:23" x14ac:dyDescent="0.25">
      <c r="B84" s="60"/>
      <c r="C84" s="43"/>
      <c r="D84" s="43"/>
      <c r="E84" s="43"/>
      <c r="F84" s="43"/>
      <c r="G84" s="43"/>
      <c r="H84" s="43"/>
      <c r="I84" s="43"/>
      <c r="J84" s="43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9"/>
    </row>
    <row r="85" spans="2:23" x14ac:dyDescent="0.25">
      <c r="B85" s="60"/>
      <c r="C85" s="43"/>
      <c r="D85" s="43"/>
      <c r="E85" s="43"/>
      <c r="F85" s="43"/>
      <c r="G85" s="43"/>
      <c r="H85" s="43"/>
      <c r="I85" s="43"/>
      <c r="J85" s="43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9"/>
    </row>
    <row r="86" spans="2:23" x14ac:dyDescent="0.25">
      <c r="B86" s="60"/>
      <c r="C86" s="43"/>
      <c r="D86" s="43"/>
      <c r="E86" s="43"/>
      <c r="F86" s="43"/>
      <c r="G86" s="43"/>
      <c r="H86" s="43"/>
      <c r="I86" s="43"/>
      <c r="J86" s="43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9"/>
    </row>
    <row r="87" spans="2:23" x14ac:dyDescent="0.25">
      <c r="B87" s="60"/>
      <c r="C87" s="43"/>
      <c r="D87" s="43"/>
      <c r="E87" s="43"/>
      <c r="F87" s="43"/>
      <c r="G87" s="43"/>
      <c r="H87" s="43"/>
      <c r="I87" s="43"/>
      <c r="J87" s="43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9"/>
    </row>
    <row r="88" spans="2:23" x14ac:dyDescent="0.25">
      <c r="B88" s="60"/>
      <c r="C88" s="43"/>
      <c r="D88" s="43"/>
      <c r="E88" s="43"/>
      <c r="F88" s="43"/>
      <c r="G88" s="43"/>
      <c r="H88" s="43"/>
      <c r="I88" s="43"/>
      <c r="J88" s="43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9"/>
    </row>
    <row r="89" spans="2:23" x14ac:dyDescent="0.25">
      <c r="B89" s="60"/>
      <c r="C89" s="43"/>
      <c r="D89" s="43"/>
      <c r="E89" s="43"/>
      <c r="F89" s="43"/>
      <c r="G89" s="43"/>
      <c r="H89" s="43"/>
      <c r="I89" s="43"/>
      <c r="J89" s="43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9"/>
    </row>
    <row r="90" spans="2:23" x14ac:dyDescent="0.25">
      <c r="B90" s="60"/>
      <c r="C90" s="43"/>
      <c r="D90" s="43"/>
      <c r="E90" s="43"/>
      <c r="F90" s="43"/>
      <c r="G90" s="43"/>
      <c r="H90" s="43"/>
      <c r="I90" s="43"/>
      <c r="J90" s="43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9"/>
    </row>
    <row r="91" spans="2:23" ht="15.75" thickBot="1" x14ac:dyDescent="0.3">
      <c r="B91" s="61"/>
      <c r="C91" s="62"/>
      <c r="D91" s="62"/>
      <c r="E91" s="62"/>
      <c r="F91" s="62"/>
      <c r="G91" s="62"/>
      <c r="H91" s="62"/>
      <c r="I91" s="62"/>
      <c r="J91" s="62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4"/>
    </row>
    <row r="92" spans="2:23" ht="15.75" thickBot="1" x14ac:dyDescent="0.3"/>
    <row r="93" spans="2:23" x14ac:dyDescent="0.25">
      <c r="B93" s="65"/>
      <c r="C93" s="66"/>
      <c r="D93" s="66"/>
      <c r="E93" s="66"/>
      <c r="F93" s="66"/>
      <c r="G93" s="66"/>
      <c r="H93" s="66"/>
      <c r="I93" s="66"/>
      <c r="J93" s="66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6"/>
    </row>
    <row r="94" spans="2:23" x14ac:dyDescent="0.25">
      <c r="B94" s="60"/>
      <c r="C94" s="43"/>
      <c r="D94" s="43"/>
      <c r="E94" s="43"/>
      <c r="F94" s="43"/>
      <c r="G94" s="43"/>
      <c r="H94" s="43"/>
      <c r="I94" s="43"/>
      <c r="J94" s="43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9"/>
    </row>
    <row r="95" spans="2:23" x14ac:dyDescent="0.25">
      <c r="B95" s="60"/>
      <c r="C95" s="43"/>
      <c r="D95" s="43"/>
      <c r="E95" s="43"/>
      <c r="F95" s="43"/>
      <c r="G95" s="43"/>
      <c r="H95" s="43"/>
      <c r="I95" s="43"/>
      <c r="J95" s="43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9"/>
    </row>
    <row r="96" spans="2:23" x14ac:dyDescent="0.25">
      <c r="B96" s="60"/>
      <c r="C96" s="43"/>
      <c r="D96" s="43"/>
      <c r="E96" s="43"/>
      <c r="F96" s="43"/>
      <c r="G96" s="43"/>
      <c r="H96" s="43"/>
      <c r="I96" s="43"/>
      <c r="J96" s="43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9"/>
    </row>
    <row r="97" spans="2:23" x14ac:dyDescent="0.25">
      <c r="B97" s="60"/>
      <c r="C97" s="43"/>
      <c r="D97" s="43"/>
      <c r="E97" s="43"/>
      <c r="F97" s="43"/>
      <c r="G97" s="43"/>
      <c r="H97" s="43"/>
      <c r="I97" s="43"/>
      <c r="J97" s="43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9"/>
    </row>
    <row r="98" spans="2:23" x14ac:dyDescent="0.25">
      <c r="B98" s="60"/>
      <c r="C98" s="43"/>
      <c r="D98" s="43"/>
      <c r="E98" s="43"/>
      <c r="F98" s="43"/>
      <c r="G98" s="43"/>
      <c r="H98" s="43"/>
      <c r="I98" s="43"/>
      <c r="J98" s="43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9"/>
    </row>
    <row r="99" spans="2:23" x14ac:dyDescent="0.25">
      <c r="B99" s="60"/>
      <c r="C99" s="43"/>
      <c r="D99" s="43"/>
      <c r="E99" s="43"/>
      <c r="F99" s="43"/>
      <c r="G99" s="43"/>
      <c r="H99" s="43"/>
      <c r="I99" s="43"/>
      <c r="J99" s="43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9"/>
    </row>
    <row r="100" spans="2:23" x14ac:dyDescent="0.25">
      <c r="B100" s="60"/>
      <c r="C100" s="43"/>
      <c r="D100" s="43"/>
      <c r="E100" s="43"/>
      <c r="F100" s="43"/>
      <c r="G100" s="43"/>
      <c r="H100" s="43"/>
      <c r="I100" s="43"/>
      <c r="J100" s="43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9"/>
    </row>
    <row r="101" spans="2:23" x14ac:dyDescent="0.25">
      <c r="B101" s="60"/>
      <c r="C101" s="43"/>
      <c r="D101" s="43"/>
      <c r="E101" s="43"/>
      <c r="F101" s="43"/>
      <c r="G101" s="43"/>
      <c r="H101" s="43"/>
      <c r="I101" s="43"/>
      <c r="J101" s="43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9"/>
    </row>
    <row r="102" spans="2:23" x14ac:dyDescent="0.25">
      <c r="B102" s="60"/>
      <c r="C102" s="43"/>
      <c r="D102" s="43"/>
      <c r="E102" s="43"/>
      <c r="F102" s="43"/>
      <c r="G102" s="43"/>
      <c r="H102" s="43"/>
      <c r="I102" s="43"/>
      <c r="J102" s="43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9"/>
    </row>
    <row r="103" spans="2:23" x14ac:dyDescent="0.25">
      <c r="B103" s="60"/>
      <c r="C103" s="43"/>
      <c r="D103" s="43"/>
      <c r="E103" s="43"/>
      <c r="F103" s="43"/>
      <c r="G103" s="43"/>
      <c r="H103" s="43"/>
      <c r="I103" s="43"/>
      <c r="J103" s="43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9"/>
    </row>
    <row r="104" spans="2:23" x14ac:dyDescent="0.25">
      <c r="B104" s="60"/>
      <c r="C104" s="43"/>
      <c r="D104" s="43"/>
      <c r="E104" s="43"/>
      <c r="F104" s="43"/>
      <c r="G104" s="43"/>
      <c r="H104" s="43"/>
      <c r="I104" s="43"/>
      <c r="J104" s="43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9"/>
    </row>
    <row r="105" spans="2:23" x14ac:dyDescent="0.25">
      <c r="B105" s="60"/>
      <c r="C105" s="43"/>
      <c r="D105" s="43"/>
      <c r="E105" s="43"/>
      <c r="F105" s="43"/>
      <c r="G105" s="43"/>
      <c r="H105" s="43"/>
      <c r="I105" s="43"/>
      <c r="J105" s="43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9"/>
    </row>
    <row r="106" spans="2:23" x14ac:dyDescent="0.25">
      <c r="B106" s="60"/>
      <c r="C106" s="43"/>
      <c r="D106" s="43"/>
      <c r="E106" s="43"/>
      <c r="F106" s="43"/>
      <c r="G106" s="43"/>
      <c r="H106" s="43"/>
      <c r="I106" s="43"/>
      <c r="J106" s="43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9"/>
    </row>
    <row r="107" spans="2:23" x14ac:dyDescent="0.25">
      <c r="B107" s="60"/>
      <c r="C107" s="43"/>
      <c r="D107" s="43"/>
      <c r="E107" s="43"/>
      <c r="F107" s="43"/>
      <c r="G107" s="43"/>
      <c r="H107" s="43"/>
      <c r="I107" s="43"/>
      <c r="J107" s="43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9"/>
    </row>
    <row r="108" spans="2:23" x14ac:dyDescent="0.25">
      <c r="B108" s="60"/>
      <c r="C108" s="43"/>
      <c r="D108" s="43"/>
      <c r="E108" s="43"/>
      <c r="F108" s="43"/>
      <c r="G108" s="43"/>
      <c r="H108" s="43"/>
      <c r="I108" s="43"/>
      <c r="J108" s="43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9"/>
    </row>
    <row r="109" spans="2:23" x14ac:dyDescent="0.25">
      <c r="B109" s="60"/>
      <c r="C109" s="43"/>
      <c r="D109" s="43"/>
      <c r="E109" s="43"/>
      <c r="F109" s="43"/>
      <c r="G109" s="43"/>
      <c r="H109" s="43"/>
      <c r="I109" s="43"/>
      <c r="J109" s="43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9"/>
    </row>
    <row r="110" spans="2:23" x14ac:dyDescent="0.25">
      <c r="B110" s="60"/>
      <c r="C110" s="43"/>
      <c r="D110" s="43"/>
      <c r="E110" s="43"/>
      <c r="F110" s="43"/>
      <c r="G110" s="43"/>
      <c r="H110" s="43"/>
      <c r="I110" s="43"/>
      <c r="J110" s="43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9"/>
    </row>
    <row r="111" spans="2:23" x14ac:dyDescent="0.25">
      <c r="B111" s="60"/>
      <c r="C111" s="43"/>
      <c r="D111" s="43"/>
      <c r="E111" s="43"/>
      <c r="F111" s="43"/>
      <c r="G111" s="43"/>
      <c r="H111" s="43"/>
      <c r="I111" s="43"/>
      <c r="J111" s="43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9"/>
    </row>
    <row r="112" spans="2:23" x14ac:dyDescent="0.25">
      <c r="B112" s="60"/>
      <c r="C112" s="43"/>
      <c r="D112" s="43"/>
      <c r="E112" s="43"/>
      <c r="F112" s="43"/>
      <c r="G112" s="43"/>
      <c r="H112" s="43"/>
      <c r="I112" s="43"/>
      <c r="J112" s="43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9"/>
    </row>
    <row r="113" spans="2:23" x14ac:dyDescent="0.25">
      <c r="B113" s="60"/>
      <c r="C113" s="43"/>
      <c r="D113" s="43"/>
      <c r="E113" s="43"/>
      <c r="F113" s="43"/>
      <c r="G113" s="43"/>
      <c r="H113" s="43"/>
      <c r="I113" s="43"/>
      <c r="J113" s="43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9"/>
    </row>
    <row r="114" spans="2:23" x14ac:dyDescent="0.25">
      <c r="B114" s="60"/>
      <c r="C114" s="43"/>
      <c r="D114" s="43"/>
      <c r="E114" s="43"/>
      <c r="F114" s="43"/>
      <c r="G114" s="43"/>
      <c r="H114" s="43"/>
      <c r="I114" s="43"/>
      <c r="J114" s="43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9"/>
    </row>
    <row r="115" spans="2:23" x14ac:dyDescent="0.25">
      <c r="B115" s="60"/>
      <c r="C115" s="43"/>
      <c r="D115" s="43"/>
      <c r="E115" s="43"/>
      <c r="F115" s="43"/>
      <c r="G115" s="43"/>
      <c r="H115" s="43"/>
      <c r="I115" s="43"/>
      <c r="J115" s="43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9"/>
    </row>
    <row r="116" spans="2:23" x14ac:dyDescent="0.25">
      <c r="B116" s="60"/>
      <c r="C116" s="43"/>
      <c r="D116" s="43"/>
      <c r="E116" s="43"/>
      <c r="F116" s="43"/>
      <c r="G116" s="43"/>
      <c r="H116" s="43"/>
      <c r="I116" s="43"/>
      <c r="J116" s="43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9"/>
    </row>
    <row r="117" spans="2:23" x14ac:dyDescent="0.25">
      <c r="B117" s="60"/>
      <c r="C117" s="43"/>
      <c r="D117" s="43"/>
      <c r="E117" s="43"/>
      <c r="F117" s="43"/>
      <c r="G117" s="43"/>
      <c r="H117" s="43"/>
      <c r="I117" s="43"/>
      <c r="J117" s="43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9"/>
    </row>
    <row r="118" spans="2:23" x14ac:dyDescent="0.25">
      <c r="B118" s="60"/>
      <c r="C118" s="43"/>
      <c r="D118" s="43"/>
      <c r="E118" s="43"/>
      <c r="F118" s="43"/>
      <c r="G118" s="43"/>
      <c r="H118" s="43"/>
      <c r="I118" s="43"/>
      <c r="J118" s="43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9"/>
    </row>
    <row r="119" spans="2:23" x14ac:dyDescent="0.25">
      <c r="B119" s="60"/>
      <c r="C119" s="43"/>
      <c r="D119" s="43"/>
      <c r="E119" s="43"/>
      <c r="F119" s="43"/>
      <c r="G119" s="43"/>
      <c r="H119" s="43"/>
      <c r="I119" s="43"/>
      <c r="J119" s="43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9"/>
    </row>
    <row r="120" spans="2:23" x14ac:dyDescent="0.25">
      <c r="B120" s="60"/>
      <c r="C120" s="43"/>
      <c r="D120" s="43"/>
      <c r="E120" s="43"/>
      <c r="F120" s="43"/>
      <c r="G120" s="43"/>
      <c r="H120" s="43"/>
      <c r="I120" s="43"/>
      <c r="J120" s="43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9"/>
    </row>
    <row r="121" spans="2:23" x14ac:dyDescent="0.25">
      <c r="B121" s="60"/>
      <c r="C121" s="43"/>
      <c r="D121" s="43"/>
      <c r="E121" s="43"/>
      <c r="F121" s="43"/>
      <c r="G121" s="43"/>
      <c r="H121" s="43"/>
      <c r="I121" s="43"/>
      <c r="J121" s="43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9"/>
    </row>
    <row r="122" spans="2:23" x14ac:dyDescent="0.25">
      <c r="B122" s="60"/>
      <c r="C122" s="43"/>
      <c r="D122" s="43"/>
      <c r="E122" s="43"/>
      <c r="F122" s="43"/>
      <c r="G122" s="43"/>
      <c r="H122" s="43"/>
      <c r="I122" s="43"/>
      <c r="J122" s="43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9"/>
    </row>
    <row r="123" spans="2:23" ht="15.75" thickBot="1" x14ac:dyDescent="0.3">
      <c r="B123" s="61"/>
      <c r="C123" s="62"/>
      <c r="D123" s="62"/>
      <c r="E123" s="62"/>
      <c r="F123" s="62"/>
      <c r="G123" s="62"/>
      <c r="H123" s="62"/>
      <c r="I123" s="62"/>
      <c r="J123" s="62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4"/>
    </row>
    <row r="124" spans="2:23" ht="15.75" thickBot="1" x14ac:dyDescent="0.3"/>
    <row r="125" spans="2:23" x14ac:dyDescent="0.25">
      <c r="B125" s="65"/>
      <c r="C125" s="66"/>
      <c r="D125" s="66"/>
      <c r="E125" s="66"/>
      <c r="F125" s="66"/>
      <c r="G125" s="66"/>
      <c r="H125" s="66"/>
      <c r="I125" s="66"/>
      <c r="J125" s="66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6"/>
    </row>
    <row r="126" spans="2:23" x14ac:dyDescent="0.25">
      <c r="B126" s="60"/>
      <c r="C126" s="43"/>
      <c r="D126" s="43"/>
      <c r="E126" s="43"/>
      <c r="F126" s="43"/>
      <c r="G126" s="43"/>
      <c r="H126" s="43"/>
      <c r="I126" s="43"/>
      <c r="J126" s="43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9"/>
    </row>
    <row r="127" spans="2:23" x14ac:dyDescent="0.25">
      <c r="B127" s="60"/>
      <c r="C127" s="43"/>
      <c r="D127" s="43"/>
      <c r="E127" s="43"/>
      <c r="F127" s="43"/>
      <c r="G127" s="43"/>
      <c r="H127" s="43"/>
      <c r="I127" s="43"/>
      <c r="J127" s="43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9"/>
    </row>
    <row r="128" spans="2:23" x14ac:dyDescent="0.25">
      <c r="B128" s="60"/>
      <c r="C128" s="43"/>
      <c r="D128" s="43"/>
      <c r="E128" s="43"/>
      <c r="F128" s="43"/>
      <c r="G128" s="43"/>
      <c r="H128" s="43"/>
      <c r="I128" s="43"/>
      <c r="J128" s="43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9"/>
    </row>
    <row r="129" spans="2:23" x14ac:dyDescent="0.25">
      <c r="B129" s="60"/>
      <c r="C129" s="43"/>
      <c r="D129" s="43"/>
      <c r="E129" s="43"/>
      <c r="F129" s="43"/>
      <c r="G129" s="43"/>
      <c r="H129" s="43"/>
      <c r="I129" s="43"/>
      <c r="J129" s="43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9"/>
    </row>
    <row r="130" spans="2:23" x14ac:dyDescent="0.25">
      <c r="B130" s="60"/>
      <c r="C130" s="43"/>
      <c r="D130" s="43"/>
      <c r="E130" s="43"/>
      <c r="F130" s="43"/>
      <c r="G130" s="43"/>
      <c r="H130" s="43"/>
      <c r="I130" s="43"/>
      <c r="J130" s="43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9"/>
    </row>
    <row r="131" spans="2:23" x14ac:dyDescent="0.25">
      <c r="B131" s="60"/>
      <c r="C131" s="43"/>
      <c r="D131" s="43"/>
      <c r="E131" s="43"/>
      <c r="F131" s="43"/>
      <c r="G131" s="43"/>
      <c r="H131" s="43"/>
      <c r="I131" s="43"/>
      <c r="J131" s="43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9"/>
    </row>
    <row r="132" spans="2:23" x14ac:dyDescent="0.25">
      <c r="B132" s="60"/>
      <c r="C132" s="43"/>
      <c r="D132" s="43"/>
      <c r="E132" s="43"/>
      <c r="F132" s="43"/>
      <c r="G132" s="43"/>
      <c r="H132" s="43"/>
      <c r="I132" s="43"/>
      <c r="J132" s="43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9"/>
    </row>
    <row r="133" spans="2:23" x14ac:dyDescent="0.25">
      <c r="B133" s="60"/>
      <c r="C133" s="43"/>
      <c r="D133" s="43"/>
      <c r="E133" s="43"/>
      <c r="F133" s="43"/>
      <c r="G133" s="43"/>
      <c r="H133" s="43"/>
      <c r="I133" s="43"/>
      <c r="J133" s="43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9"/>
    </row>
    <row r="134" spans="2:23" x14ac:dyDescent="0.25">
      <c r="B134" s="60"/>
      <c r="C134" s="43"/>
      <c r="D134" s="43"/>
      <c r="E134" s="43"/>
      <c r="F134" s="43"/>
      <c r="G134" s="43"/>
      <c r="H134" s="43"/>
      <c r="I134" s="43"/>
      <c r="J134" s="43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9"/>
    </row>
    <row r="135" spans="2:23" x14ac:dyDescent="0.25">
      <c r="B135" s="60"/>
      <c r="C135" s="43"/>
      <c r="D135" s="43"/>
      <c r="E135" s="43"/>
      <c r="F135" s="43"/>
      <c r="G135" s="43"/>
      <c r="H135" s="43"/>
      <c r="I135" s="43"/>
      <c r="J135" s="43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9"/>
    </row>
    <row r="136" spans="2:23" x14ac:dyDescent="0.25">
      <c r="B136" s="60"/>
      <c r="C136" s="43"/>
      <c r="D136" s="43"/>
      <c r="E136" s="43"/>
      <c r="F136" s="43"/>
      <c r="G136" s="43"/>
      <c r="H136" s="43"/>
      <c r="I136" s="43"/>
      <c r="J136" s="43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9"/>
    </row>
    <row r="137" spans="2:23" x14ac:dyDescent="0.25">
      <c r="B137" s="60"/>
      <c r="C137" s="43"/>
      <c r="D137" s="43"/>
      <c r="E137" s="43"/>
      <c r="F137" s="43"/>
      <c r="G137" s="43"/>
      <c r="H137" s="43"/>
      <c r="I137" s="43"/>
      <c r="J137" s="43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9"/>
    </row>
    <row r="138" spans="2:23" x14ac:dyDescent="0.25">
      <c r="B138" s="60"/>
      <c r="C138" s="43"/>
      <c r="D138" s="43"/>
      <c r="E138" s="43"/>
      <c r="F138" s="43"/>
      <c r="G138" s="43"/>
      <c r="H138" s="43"/>
      <c r="I138" s="43"/>
      <c r="J138" s="43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9"/>
    </row>
    <row r="139" spans="2:23" x14ac:dyDescent="0.25">
      <c r="B139" s="60"/>
      <c r="C139" s="43"/>
      <c r="D139" s="43"/>
      <c r="E139" s="43"/>
      <c r="F139" s="43"/>
      <c r="G139" s="43"/>
      <c r="H139" s="43"/>
      <c r="I139" s="43"/>
      <c r="J139" s="43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9"/>
    </row>
    <row r="140" spans="2:23" x14ac:dyDescent="0.25">
      <c r="B140" s="60"/>
      <c r="C140" s="43"/>
      <c r="D140" s="43"/>
      <c r="E140" s="43"/>
      <c r="F140" s="43"/>
      <c r="G140" s="43"/>
      <c r="H140" s="43"/>
      <c r="I140" s="43"/>
      <c r="J140" s="43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9"/>
    </row>
    <row r="141" spans="2:23" x14ac:dyDescent="0.25">
      <c r="B141" s="60"/>
      <c r="C141" s="43"/>
      <c r="D141" s="43"/>
      <c r="E141" s="43"/>
      <c r="F141" s="43"/>
      <c r="G141" s="43"/>
      <c r="H141" s="43"/>
      <c r="I141" s="43"/>
      <c r="J141" s="43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9"/>
    </row>
    <row r="142" spans="2:23" x14ac:dyDescent="0.25">
      <c r="B142" s="60"/>
      <c r="C142" s="43"/>
      <c r="D142" s="43"/>
      <c r="E142" s="43"/>
      <c r="F142" s="43"/>
      <c r="G142" s="43"/>
      <c r="H142" s="43"/>
      <c r="I142" s="43"/>
      <c r="J142" s="43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9"/>
    </row>
    <row r="143" spans="2:23" x14ac:dyDescent="0.25">
      <c r="B143" s="60"/>
      <c r="C143" s="43"/>
      <c r="D143" s="43"/>
      <c r="E143" s="43"/>
      <c r="F143" s="43"/>
      <c r="G143" s="43"/>
      <c r="H143" s="43"/>
      <c r="I143" s="43"/>
      <c r="J143" s="43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9"/>
    </row>
    <row r="144" spans="2:23" x14ac:dyDescent="0.25">
      <c r="B144" s="60"/>
      <c r="C144" s="43"/>
      <c r="D144" s="43"/>
      <c r="E144" s="43"/>
      <c r="F144" s="43"/>
      <c r="G144" s="43"/>
      <c r="H144" s="43"/>
      <c r="I144" s="43"/>
      <c r="J144" s="43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9"/>
    </row>
    <row r="145" spans="2:23" x14ac:dyDescent="0.25">
      <c r="B145" s="60"/>
      <c r="C145" s="43"/>
      <c r="D145" s="43"/>
      <c r="E145" s="43"/>
      <c r="F145" s="43"/>
      <c r="G145" s="43"/>
      <c r="H145" s="43"/>
      <c r="I145" s="43"/>
      <c r="J145" s="43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9"/>
    </row>
    <row r="146" spans="2:23" x14ac:dyDescent="0.25">
      <c r="B146" s="60"/>
      <c r="C146" s="43"/>
      <c r="D146" s="43"/>
      <c r="E146" s="43"/>
      <c r="F146" s="43"/>
      <c r="G146" s="43"/>
      <c r="H146" s="43"/>
      <c r="I146" s="43"/>
      <c r="J146" s="43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9"/>
    </row>
    <row r="147" spans="2:23" x14ac:dyDescent="0.25">
      <c r="B147" s="60"/>
      <c r="C147" s="43"/>
      <c r="D147" s="43"/>
      <c r="E147" s="43"/>
      <c r="F147" s="43"/>
      <c r="G147" s="43"/>
      <c r="H147" s="43"/>
      <c r="I147" s="43"/>
      <c r="J147" s="43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9"/>
    </row>
    <row r="148" spans="2:23" x14ac:dyDescent="0.25">
      <c r="B148" s="60"/>
      <c r="C148" s="43"/>
      <c r="D148" s="43"/>
      <c r="E148" s="43"/>
      <c r="F148" s="43"/>
      <c r="G148" s="43"/>
      <c r="H148" s="43"/>
      <c r="I148" s="43"/>
      <c r="J148" s="43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9"/>
    </row>
    <row r="149" spans="2:23" x14ac:dyDescent="0.25">
      <c r="B149" s="60"/>
      <c r="C149" s="43"/>
      <c r="D149" s="43"/>
      <c r="E149" s="43"/>
      <c r="F149" s="43"/>
      <c r="G149" s="43"/>
      <c r="H149" s="43"/>
      <c r="I149" s="43"/>
      <c r="J149" s="43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9"/>
    </row>
    <row r="150" spans="2:23" x14ac:dyDescent="0.25">
      <c r="B150" s="60"/>
      <c r="C150" s="43"/>
      <c r="D150" s="43"/>
      <c r="E150" s="43"/>
      <c r="F150" s="43"/>
      <c r="G150" s="43"/>
      <c r="H150" s="43"/>
      <c r="I150" s="43"/>
      <c r="J150" s="43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9"/>
    </row>
    <row r="151" spans="2:23" x14ac:dyDescent="0.25">
      <c r="B151" s="60"/>
      <c r="C151" s="43"/>
      <c r="D151" s="43"/>
      <c r="E151" s="43"/>
      <c r="F151" s="43"/>
      <c r="G151" s="43"/>
      <c r="H151" s="43"/>
      <c r="I151" s="43"/>
      <c r="J151" s="43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9"/>
    </row>
    <row r="152" spans="2:23" x14ac:dyDescent="0.25">
      <c r="B152" s="60"/>
      <c r="C152" s="43"/>
      <c r="D152" s="43"/>
      <c r="E152" s="43"/>
      <c r="F152" s="43"/>
      <c r="G152" s="43"/>
      <c r="H152" s="43"/>
      <c r="I152" s="43"/>
      <c r="J152" s="43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9"/>
    </row>
    <row r="153" spans="2:23" x14ac:dyDescent="0.25">
      <c r="B153" s="60"/>
      <c r="C153" s="43"/>
      <c r="D153" s="43"/>
      <c r="E153" s="43"/>
      <c r="F153" s="43"/>
      <c r="G153" s="43"/>
      <c r="H153" s="43"/>
      <c r="I153" s="43"/>
      <c r="J153" s="43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9"/>
    </row>
    <row r="154" spans="2:23" x14ac:dyDescent="0.25">
      <c r="B154" s="60"/>
      <c r="C154" s="43"/>
      <c r="D154" s="43"/>
      <c r="E154" s="43"/>
      <c r="F154" s="43"/>
      <c r="G154" s="43"/>
      <c r="H154" s="43"/>
      <c r="I154" s="43"/>
      <c r="J154" s="43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9"/>
    </row>
    <row r="155" spans="2:23" ht="15.75" thickBot="1" x14ac:dyDescent="0.3">
      <c r="B155" s="61"/>
      <c r="C155" s="62"/>
      <c r="D155" s="62"/>
      <c r="E155" s="62"/>
      <c r="F155" s="62"/>
      <c r="G155" s="62"/>
      <c r="H155" s="62"/>
      <c r="I155" s="62"/>
      <c r="J155" s="62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4"/>
    </row>
    <row r="156" spans="2:23" ht="15.75" thickBot="1" x14ac:dyDescent="0.3"/>
    <row r="157" spans="2:23" x14ac:dyDescent="0.25">
      <c r="B157" s="65"/>
      <c r="C157" s="66"/>
      <c r="D157" s="66"/>
      <c r="E157" s="66"/>
      <c r="F157" s="66"/>
      <c r="G157" s="66"/>
      <c r="H157" s="66"/>
      <c r="I157" s="66"/>
      <c r="J157" s="66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6"/>
    </row>
    <row r="158" spans="2:23" x14ac:dyDescent="0.25">
      <c r="B158" s="60"/>
      <c r="C158" s="43"/>
      <c r="D158" s="43"/>
      <c r="E158" s="43"/>
      <c r="F158" s="43"/>
      <c r="G158" s="43"/>
      <c r="H158" s="43"/>
      <c r="I158" s="43"/>
      <c r="J158" s="43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9"/>
    </row>
    <row r="159" spans="2:23" x14ac:dyDescent="0.25">
      <c r="B159" s="60"/>
      <c r="C159" s="43"/>
      <c r="D159" s="43"/>
      <c r="E159" s="43"/>
      <c r="F159" s="43"/>
      <c r="G159" s="43"/>
      <c r="H159" s="43"/>
      <c r="I159" s="43"/>
      <c r="J159" s="43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9"/>
    </row>
    <row r="160" spans="2:23" x14ac:dyDescent="0.25">
      <c r="B160" s="60"/>
      <c r="C160" s="43"/>
      <c r="D160" s="43"/>
      <c r="E160" s="43"/>
      <c r="F160" s="43"/>
      <c r="G160" s="43"/>
      <c r="H160" s="43"/>
      <c r="I160" s="43"/>
      <c r="J160" s="43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9"/>
    </row>
    <row r="161" spans="2:23" x14ac:dyDescent="0.25">
      <c r="B161" s="60"/>
      <c r="C161" s="43"/>
      <c r="D161" s="43"/>
      <c r="E161" s="43"/>
      <c r="F161" s="43"/>
      <c r="G161" s="43"/>
      <c r="H161" s="43"/>
      <c r="I161" s="43"/>
      <c r="J161" s="43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9"/>
    </row>
    <row r="162" spans="2:23" x14ac:dyDescent="0.25">
      <c r="B162" s="60"/>
      <c r="C162" s="43"/>
      <c r="D162" s="43"/>
      <c r="E162" s="43"/>
      <c r="F162" s="43"/>
      <c r="G162" s="43"/>
      <c r="H162" s="43"/>
      <c r="I162" s="43"/>
      <c r="J162" s="43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9"/>
    </row>
    <row r="163" spans="2:23" x14ac:dyDescent="0.25">
      <c r="B163" s="60"/>
      <c r="C163" s="43"/>
      <c r="D163" s="43"/>
      <c r="E163" s="43"/>
      <c r="F163" s="43"/>
      <c r="G163" s="43"/>
      <c r="H163" s="43"/>
      <c r="I163" s="43"/>
      <c r="J163" s="43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9"/>
    </row>
    <row r="164" spans="2:23" x14ac:dyDescent="0.25">
      <c r="B164" s="60"/>
      <c r="C164" s="43"/>
      <c r="D164" s="43"/>
      <c r="E164" s="43"/>
      <c r="F164" s="43"/>
      <c r="G164" s="43"/>
      <c r="H164" s="43"/>
      <c r="I164" s="43"/>
      <c r="J164" s="43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9"/>
    </row>
    <row r="165" spans="2:23" x14ac:dyDescent="0.25">
      <c r="B165" s="60"/>
      <c r="C165" s="43"/>
      <c r="D165" s="43"/>
      <c r="E165" s="43"/>
      <c r="F165" s="43"/>
      <c r="G165" s="43"/>
      <c r="H165" s="43"/>
      <c r="I165" s="43"/>
      <c r="J165" s="43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9"/>
    </row>
    <row r="166" spans="2:23" x14ac:dyDescent="0.25">
      <c r="B166" s="60"/>
      <c r="C166" s="43"/>
      <c r="D166" s="43"/>
      <c r="E166" s="43"/>
      <c r="F166" s="43"/>
      <c r="G166" s="43"/>
      <c r="H166" s="43"/>
      <c r="I166" s="43"/>
      <c r="J166" s="43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9"/>
    </row>
    <row r="167" spans="2:23" x14ac:dyDescent="0.25">
      <c r="B167" s="60"/>
      <c r="C167" s="43"/>
      <c r="D167" s="43"/>
      <c r="E167" s="43"/>
      <c r="F167" s="43"/>
      <c r="G167" s="43"/>
      <c r="H167" s="43"/>
      <c r="I167" s="43"/>
      <c r="J167" s="43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9"/>
    </row>
    <row r="168" spans="2:23" x14ac:dyDescent="0.25">
      <c r="B168" s="60"/>
      <c r="C168" s="43"/>
      <c r="D168" s="43"/>
      <c r="E168" s="43"/>
      <c r="F168" s="43"/>
      <c r="G168" s="43"/>
      <c r="H168" s="43"/>
      <c r="I168" s="43"/>
      <c r="J168" s="43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9"/>
    </row>
    <row r="169" spans="2:23" x14ac:dyDescent="0.25">
      <c r="B169" s="60"/>
      <c r="C169" s="43"/>
      <c r="D169" s="43"/>
      <c r="E169" s="43"/>
      <c r="F169" s="43"/>
      <c r="G169" s="43"/>
      <c r="H169" s="43"/>
      <c r="I169" s="43"/>
      <c r="J169" s="43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9"/>
    </row>
    <row r="170" spans="2:23" x14ac:dyDescent="0.25">
      <c r="B170" s="60"/>
      <c r="C170" s="43"/>
      <c r="D170" s="43"/>
      <c r="E170" s="43"/>
      <c r="F170" s="43"/>
      <c r="G170" s="43"/>
      <c r="H170" s="43"/>
      <c r="I170" s="43"/>
      <c r="J170" s="43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9"/>
    </row>
    <row r="171" spans="2:23" x14ac:dyDescent="0.25">
      <c r="B171" s="60"/>
      <c r="C171" s="43"/>
      <c r="D171" s="43"/>
      <c r="E171" s="43"/>
      <c r="F171" s="43"/>
      <c r="G171" s="43"/>
      <c r="H171" s="43"/>
      <c r="I171" s="43"/>
      <c r="J171" s="43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9"/>
    </row>
    <row r="172" spans="2:23" x14ac:dyDescent="0.25">
      <c r="B172" s="60"/>
      <c r="C172" s="43"/>
      <c r="D172" s="43"/>
      <c r="E172" s="43"/>
      <c r="F172" s="43"/>
      <c r="G172" s="43"/>
      <c r="H172" s="43"/>
      <c r="I172" s="43"/>
      <c r="J172" s="43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9"/>
    </row>
    <row r="173" spans="2:23" x14ac:dyDescent="0.25">
      <c r="B173" s="60"/>
      <c r="C173" s="43"/>
      <c r="D173" s="43"/>
      <c r="E173" s="43"/>
      <c r="F173" s="43"/>
      <c r="G173" s="43"/>
      <c r="H173" s="43"/>
      <c r="I173" s="43"/>
      <c r="J173" s="43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9"/>
    </row>
    <row r="174" spans="2:23" x14ac:dyDescent="0.25">
      <c r="B174" s="60"/>
      <c r="C174" s="43"/>
      <c r="D174" s="43"/>
      <c r="E174" s="43"/>
      <c r="F174" s="43"/>
      <c r="G174" s="43"/>
      <c r="H174" s="43"/>
      <c r="I174" s="43"/>
      <c r="J174" s="43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9"/>
    </row>
    <row r="175" spans="2:23" x14ac:dyDescent="0.25">
      <c r="B175" s="60"/>
      <c r="C175" s="43"/>
      <c r="D175" s="43"/>
      <c r="E175" s="43"/>
      <c r="F175" s="43"/>
      <c r="G175" s="43"/>
      <c r="H175" s="43"/>
      <c r="I175" s="43"/>
      <c r="J175" s="43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9"/>
    </row>
    <row r="176" spans="2:23" x14ac:dyDescent="0.25">
      <c r="B176" s="60"/>
      <c r="C176" s="43"/>
      <c r="D176" s="43"/>
      <c r="E176" s="43"/>
      <c r="F176" s="43"/>
      <c r="G176" s="43"/>
      <c r="H176" s="43"/>
      <c r="I176" s="43"/>
      <c r="J176" s="43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9"/>
    </row>
    <row r="177" spans="2:23" x14ac:dyDescent="0.25">
      <c r="B177" s="60"/>
      <c r="C177" s="43"/>
      <c r="D177" s="43"/>
      <c r="E177" s="43"/>
      <c r="F177" s="43"/>
      <c r="G177" s="43"/>
      <c r="H177" s="43"/>
      <c r="I177" s="43"/>
      <c r="J177" s="43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9"/>
    </row>
    <row r="178" spans="2:23" x14ac:dyDescent="0.25">
      <c r="B178" s="60"/>
      <c r="C178" s="43"/>
      <c r="D178" s="43"/>
      <c r="E178" s="43"/>
      <c r="F178" s="43"/>
      <c r="G178" s="43"/>
      <c r="H178" s="43"/>
      <c r="I178" s="43"/>
      <c r="J178" s="43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9"/>
    </row>
    <row r="179" spans="2:23" x14ac:dyDescent="0.25">
      <c r="B179" s="60"/>
      <c r="C179" s="43"/>
      <c r="D179" s="43"/>
      <c r="E179" s="43"/>
      <c r="F179" s="43"/>
      <c r="G179" s="43"/>
      <c r="H179" s="43"/>
      <c r="I179" s="43"/>
      <c r="J179" s="43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9"/>
    </row>
    <row r="180" spans="2:23" x14ac:dyDescent="0.25">
      <c r="B180" s="60"/>
      <c r="C180" s="43"/>
      <c r="D180" s="43"/>
      <c r="E180" s="43"/>
      <c r="F180" s="43"/>
      <c r="G180" s="43"/>
      <c r="H180" s="43"/>
      <c r="I180" s="43"/>
      <c r="J180" s="43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9"/>
    </row>
    <row r="181" spans="2:23" x14ac:dyDescent="0.25">
      <c r="B181" s="60"/>
      <c r="C181" s="43"/>
      <c r="D181" s="43"/>
      <c r="E181" s="43"/>
      <c r="F181" s="43"/>
      <c r="G181" s="43"/>
      <c r="H181" s="43"/>
      <c r="I181" s="43"/>
      <c r="J181" s="43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9"/>
    </row>
    <row r="182" spans="2:23" x14ac:dyDescent="0.25">
      <c r="B182" s="60"/>
      <c r="C182" s="43"/>
      <c r="D182" s="43"/>
      <c r="E182" s="43"/>
      <c r="F182" s="43"/>
      <c r="G182" s="43"/>
      <c r="H182" s="43"/>
      <c r="I182" s="43"/>
      <c r="J182" s="43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9"/>
    </row>
    <row r="183" spans="2:23" x14ac:dyDescent="0.25">
      <c r="B183" s="60"/>
      <c r="C183" s="43"/>
      <c r="D183" s="43"/>
      <c r="E183" s="43"/>
      <c r="F183" s="43"/>
      <c r="G183" s="43"/>
      <c r="H183" s="43"/>
      <c r="I183" s="43"/>
      <c r="J183" s="43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9"/>
    </row>
    <row r="184" spans="2:23" x14ac:dyDescent="0.25">
      <c r="B184" s="60"/>
      <c r="C184" s="43"/>
      <c r="D184" s="43"/>
      <c r="E184" s="43"/>
      <c r="F184" s="43"/>
      <c r="G184" s="43"/>
      <c r="H184" s="43"/>
      <c r="I184" s="43"/>
      <c r="J184" s="43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9"/>
    </row>
    <row r="185" spans="2:23" x14ac:dyDescent="0.25">
      <c r="B185" s="60"/>
      <c r="C185" s="43"/>
      <c r="D185" s="43"/>
      <c r="E185" s="43"/>
      <c r="F185" s="43"/>
      <c r="G185" s="43"/>
      <c r="H185" s="43"/>
      <c r="I185" s="43"/>
      <c r="J185" s="43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9"/>
    </row>
    <row r="186" spans="2:23" x14ac:dyDescent="0.25">
      <c r="B186" s="60"/>
      <c r="C186" s="43"/>
      <c r="D186" s="43"/>
      <c r="E186" s="43"/>
      <c r="F186" s="43"/>
      <c r="G186" s="43"/>
      <c r="H186" s="43"/>
      <c r="I186" s="43"/>
      <c r="J186" s="4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9"/>
    </row>
    <row r="187" spans="2:23" ht="15.75" thickBot="1" x14ac:dyDescent="0.3">
      <c r="B187" s="61"/>
      <c r="C187" s="62"/>
      <c r="D187" s="62"/>
      <c r="E187" s="62"/>
      <c r="F187" s="62"/>
      <c r="G187" s="62"/>
      <c r="H187" s="62"/>
      <c r="I187" s="62"/>
      <c r="J187" s="62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4"/>
    </row>
    <row r="189" spans="2:23" x14ac:dyDescent="0.25">
      <c r="B189" s="42"/>
      <c r="C189" s="43"/>
      <c r="D189" s="43"/>
      <c r="E189" s="43"/>
      <c r="F189" s="43"/>
      <c r="G189" s="43"/>
      <c r="H189" s="43"/>
      <c r="I189" s="43"/>
      <c r="J189" s="43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spans="2:23" x14ac:dyDescent="0.25">
      <c r="B190" s="42"/>
      <c r="C190" s="43"/>
      <c r="D190" s="43"/>
      <c r="E190" s="43"/>
      <c r="F190" s="43"/>
      <c r="G190" s="43"/>
      <c r="H190" s="43"/>
      <c r="I190" s="43"/>
      <c r="J190" s="43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 spans="2:23" x14ac:dyDescent="0.25">
      <c r="B191" s="42"/>
      <c r="C191" s="43"/>
      <c r="D191" s="43"/>
      <c r="E191" s="43"/>
      <c r="F191" s="43"/>
      <c r="G191" s="43"/>
      <c r="H191" s="43"/>
      <c r="I191" s="43"/>
      <c r="J191" s="43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spans="2:23" x14ac:dyDescent="0.25">
      <c r="B192" s="42"/>
      <c r="C192" s="43"/>
      <c r="D192" s="43"/>
      <c r="E192" s="43"/>
      <c r="F192" s="43"/>
      <c r="G192" s="43"/>
      <c r="H192" s="43"/>
      <c r="I192" s="43"/>
      <c r="J192" s="43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 spans="2:24" x14ac:dyDescent="0.25">
      <c r="B193" s="42"/>
      <c r="C193" s="43"/>
      <c r="D193" s="43"/>
      <c r="E193" s="43"/>
      <c r="F193" s="43"/>
      <c r="G193" s="43"/>
      <c r="H193" s="43"/>
      <c r="I193" s="43"/>
      <c r="J193" s="43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spans="2:24" x14ac:dyDescent="0.25">
      <c r="B194" s="42"/>
      <c r="C194" s="43"/>
      <c r="D194" s="43"/>
      <c r="E194" s="43"/>
      <c r="F194" s="43"/>
      <c r="G194" s="43"/>
      <c r="H194" s="43"/>
      <c r="I194" s="43"/>
      <c r="J194" s="43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spans="2:24" x14ac:dyDescent="0.25">
      <c r="B195" s="42"/>
      <c r="C195" s="43"/>
      <c r="D195" s="43"/>
      <c r="E195" s="43"/>
      <c r="F195" s="43"/>
      <c r="G195" s="43"/>
      <c r="H195" s="43"/>
      <c r="I195" s="43"/>
      <c r="J195" s="43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spans="2:24" x14ac:dyDescent="0.25">
      <c r="B196" s="42"/>
      <c r="C196" s="43"/>
      <c r="D196" s="43"/>
      <c r="E196" s="43"/>
      <c r="F196" s="43"/>
      <c r="G196" s="43"/>
      <c r="H196" s="43"/>
      <c r="I196" s="43"/>
      <c r="J196" s="43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spans="2:24" x14ac:dyDescent="0.25">
      <c r="B197" s="42"/>
      <c r="C197" s="43"/>
      <c r="D197" s="43"/>
      <c r="E197" s="43"/>
      <c r="F197" s="43"/>
      <c r="G197" s="43"/>
      <c r="H197" s="43"/>
      <c r="I197" s="43"/>
      <c r="J197" s="43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spans="2:24" x14ac:dyDescent="0.25">
      <c r="B198" s="42"/>
      <c r="C198" s="43"/>
      <c r="D198" s="43"/>
      <c r="E198" s="43"/>
      <c r="F198" s="43"/>
      <c r="G198" s="43"/>
      <c r="H198" s="43"/>
      <c r="I198" s="43"/>
      <c r="J198" s="43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spans="2:24" x14ac:dyDescent="0.25">
      <c r="B199" s="42"/>
      <c r="C199" s="43"/>
      <c r="D199" s="43"/>
      <c r="E199" s="43"/>
      <c r="F199" s="43"/>
      <c r="G199" s="43"/>
      <c r="H199" s="43"/>
      <c r="I199" s="43"/>
      <c r="J199" s="43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 spans="2:24" x14ac:dyDescent="0.25">
      <c r="B200" s="42"/>
      <c r="C200" s="43"/>
      <c r="D200" s="43"/>
      <c r="E200" s="43"/>
      <c r="F200" s="43"/>
      <c r="G200" s="43"/>
      <c r="H200" s="43"/>
      <c r="I200" s="43"/>
      <c r="J200" s="43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 spans="2:24" x14ac:dyDescent="0.25">
      <c r="B201" s="42"/>
      <c r="C201" s="43"/>
      <c r="D201" s="43"/>
      <c r="E201" s="43"/>
      <c r="F201" s="43"/>
      <c r="G201" s="43"/>
      <c r="H201" s="43"/>
      <c r="I201" s="43"/>
      <c r="J201" s="43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</row>
    <row r="202" spans="2:24" x14ac:dyDescent="0.25">
      <c r="B202" s="42"/>
      <c r="C202" s="43"/>
      <c r="D202" s="43"/>
      <c r="E202" s="43"/>
      <c r="F202" s="43"/>
      <c r="G202" s="43"/>
      <c r="H202" s="43"/>
      <c r="I202" s="43"/>
      <c r="J202" s="43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 spans="2:24" x14ac:dyDescent="0.25">
      <c r="B203" s="42"/>
      <c r="C203" s="43"/>
      <c r="D203" s="43"/>
      <c r="E203" s="43"/>
      <c r="F203" s="43"/>
      <c r="G203" s="43"/>
      <c r="H203" s="43"/>
      <c r="I203" s="43"/>
      <c r="J203" s="43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 spans="2:24" x14ac:dyDescent="0.25">
      <c r="B204" s="42"/>
      <c r="C204" s="43"/>
      <c r="D204" s="43"/>
      <c r="E204" s="43"/>
      <c r="F204" s="43"/>
      <c r="G204" s="43"/>
      <c r="H204" s="43"/>
      <c r="I204" s="43"/>
      <c r="J204" s="43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 spans="2:24" x14ac:dyDescent="0.25">
      <c r="B205" s="42"/>
      <c r="C205" s="43"/>
      <c r="D205" s="43"/>
      <c r="E205" s="43"/>
      <c r="F205" s="43"/>
      <c r="G205" s="43"/>
      <c r="H205" s="43"/>
      <c r="I205" s="43"/>
      <c r="J205" s="43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</row>
    <row r="206" spans="2:24" x14ac:dyDescent="0.25">
      <c r="B206" s="42"/>
      <c r="C206" s="43"/>
      <c r="D206" s="43"/>
      <c r="E206" s="43"/>
      <c r="F206" s="43"/>
      <c r="G206" s="43"/>
      <c r="H206" s="43"/>
      <c r="I206" s="43"/>
      <c r="J206" s="43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 spans="2:24" x14ac:dyDescent="0.25">
      <c r="B207" s="42"/>
      <c r="C207" s="43"/>
      <c r="D207" s="43"/>
      <c r="E207" s="43"/>
      <c r="F207" s="43"/>
      <c r="G207" s="43"/>
      <c r="H207" s="43"/>
      <c r="I207" s="43"/>
      <c r="J207" s="43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</row>
    <row r="208" spans="2:24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 spans="2:24" x14ac:dyDescent="0.25">
      <c r="B209" s="42"/>
      <c r="C209" s="43"/>
      <c r="D209" s="43"/>
      <c r="E209" s="43"/>
      <c r="F209" s="43"/>
      <c r="G209" s="43"/>
      <c r="H209" s="43"/>
      <c r="I209" s="43"/>
      <c r="J209" s="43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</row>
    <row r="210" spans="2:24" x14ac:dyDescent="0.25">
      <c r="B210" s="42"/>
      <c r="C210" s="43"/>
      <c r="D210" s="43"/>
      <c r="E210" s="43"/>
      <c r="F210" s="43"/>
      <c r="G210" s="43"/>
      <c r="H210" s="43"/>
      <c r="I210" s="43"/>
      <c r="J210" s="43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 spans="2:24" x14ac:dyDescent="0.25">
      <c r="B211" s="42"/>
      <c r="C211" s="43"/>
      <c r="D211" s="43"/>
      <c r="E211" s="43"/>
      <c r="F211" s="43"/>
      <c r="G211" s="43"/>
      <c r="H211" s="43"/>
      <c r="I211" s="43"/>
      <c r="J211" s="43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</row>
    <row r="212" spans="2:24" x14ac:dyDescent="0.25">
      <c r="B212" s="42"/>
      <c r="C212" s="43"/>
      <c r="D212" s="43"/>
      <c r="E212" s="43"/>
      <c r="F212" s="43"/>
      <c r="G212" s="43"/>
      <c r="H212" s="43"/>
      <c r="I212" s="43"/>
      <c r="J212" s="43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 spans="2:24" x14ac:dyDescent="0.25">
      <c r="B213" s="42"/>
      <c r="C213" s="43"/>
      <c r="D213" s="43"/>
      <c r="E213" s="43"/>
      <c r="F213" s="43"/>
      <c r="G213" s="43"/>
      <c r="H213" s="43"/>
      <c r="I213" s="43"/>
      <c r="J213" s="43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</row>
    <row r="214" spans="2:24" x14ac:dyDescent="0.25">
      <c r="B214" s="42"/>
      <c r="C214" s="43"/>
      <c r="D214" s="43"/>
      <c r="E214" s="43"/>
      <c r="F214" s="43"/>
      <c r="G214" s="43"/>
      <c r="H214" s="43"/>
      <c r="I214" s="43"/>
      <c r="J214" s="43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 spans="2:24" x14ac:dyDescent="0.25">
      <c r="B215" s="42"/>
      <c r="C215" s="43"/>
      <c r="D215" s="43"/>
      <c r="E215" s="43"/>
      <c r="F215" s="43"/>
      <c r="G215" s="43"/>
      <c r="H215" s="43"/>
      <c r="I215" s="43"/>
      <c r="J215" s="43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</row>
    <row r="216" spans="2:24" x14ac:dyDescent="0.25">
      <c r="B216" s="42"/>
      <c r="C216" s="43"/>
      <c r="D216" s="43"/>
      <c r="E216" s="43"/>
      <c r="F216" s="43"/>
      <c r="G216" s="43"/>
      <c r="H216" s="43"/>
      <c r="I216" s="43"/>
      <c r="J216" s="43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 spans="2:24" x14ac:dyDescent="0.25">
      <c r="B217" s="42"/>
      <c r="C217" s="43"/>
      <c r="D217" s="43"/>
      <c r="E217" s="43"/>
      <c r="F217" s="43"/>
      <c r="G217" s="43"/>
      <c r="H217" s="43"/>
      <c r="I217" s="43"/>
      <c r="J217" s="43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</row>
    <row r="218" spans="2:24" x14ac:dyDescent="0.25">
      <c r="B218" s="42"/>
      <c r="C218" s="43"/>
      <c r="D218" s="43"/>
      <c r="E218" s="43"/>
      <c r="F218" s="43"/>
      <c r="G218" s="43"/>
      <c r="H218" s="43"/>
      <c r="I218" s="43"/>
      <c r="J218" s="43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</row>
    <row r="219" spans="2:24" x14ac:dyDescent="0.25">
      <c r="B219" s="42"/>
      <c r="C219" s="43"/>
      <c r="D219" s="43"/>
      <c r="E219" s="43"/>
      <c r="F219" s="43"/>
      <c r="G219" s="43"/>
      <c r="H219" s="43"/>
      <c r="I219" s="43"/>
      <c r="J219" s="43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</row>
    <row r="220" spans="2:24" x14ac:dyDescent="0.25">
      <c r="B220" s="42"/>
      <c r="C220" s="43"/>
      <c r="D220" s="43"/>
      <c r="E220" s="43"/>
      <c r="F220" s="43"/>
      <c r="G220" s="43"/>
      <c r="H220" s="43"/>
      <c r="I220" s="43"/>
      <c r="J220" s="43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</row>
    <row r="221" spans="2:24" x14ac:dyDescent="0.25">
      <c r="B221" s="42"/>
      <c r="C221" s="43"/>
      <c r="D221" s="43"/>
      <c r="E221" s="43"/>
      <c r="F221" s="43"/>
      <c r="G221" s="43"/>
      <c r="H221" s="43"/>
      <c r="I221" s="43"/>
      <c r="J221" s="43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</row>
    <row r="222" spans="2:24" x14ac:dyDescent="0.25">
      <c r="B222" s="42"/>
      <c r="C222" s="43"/>
      <c r="D222" s="43"/>
      <c r="E222" s="43"/>
      <c r="F222" s="43"/>
      <c r="G222" s="43"/>
      <c r="H222" s="43"/>
      <c r="I222" s="43"/>
      <c r="J222" s="43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</row>
    <row r="223" spans="2:24" x14ac:dyDescent="0.25">
      <c r="B223" s="42"/>
      <c r="C223" s="43"/>
      <c r="D223" s="43"/>
      <c r="E223" s="43"/>
      <c r="F223" s="43"/>
      <c r="G223" s="43"/>
      <c r="H223" s="43"/>
      <c r="I223" s="43"/>
      <c r="J223" s="43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</row>
    <row r="224" spans="2:24" x14ac:dyDescent="0.25">
      <c r="B224" s="42"/>
      <c r="C224" s="43"/>
      <c r="D224" s="43"/>
      <c r="E224" s="43"/>
      <c r="F224" s="43"/>
      <c r="G224" s="43"/>
      <c r="H224" s="43"/>
      <c r="I224" s="43"/>
      <c r="J224" s="43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</row>
    <row r="225" spans="2:24" x14ac:dyDescent="0.25">
      <c r="B225" s="42"/>
      <c r="C225" s="43"/>
      <c r="D225" s="43"/>
      <c r="E225" s="43"/>
      <c r="F225" s="43"/>
      <c r="G225" s="43"/>
      <c r="H225" s="43"/>
      <c r="I225" s="43"/>
      <c r="J225" s="43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</row>
    <row r="226" spans="2:24" x14ac:dyDescent="0.25">
      <c r="B226" s="42"/>
      <c r="C226" s="43"/>
      <c r="D226" s="43"/>
      <c r="E226" s="43"/>
      <c r="F226" s="43"/>
      <c r="G226" s="43"/>
      <c r="H226" s="43"/>
      <c r="I226" s="43"/>
      <c r="J226" s="43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</row>
    <row r="227" spans="2:24" x14ac:dyDescent="0.25">
      <c r="B227" s="42"/>
      <c r="C227" s="43"/>
      <c r="D227" s="43"/>
      <c r="E227" s="43"/>
      <c r="F227" s="43"/>
      <c r="G227" s="43"/>
      <c r="H227" s="43"/>
      <c r="I227" s="43"/>
      <c r="J227" s="43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</row>
    <row r="228" spans="2:24" x14ac:dyDescent="0.25">
      <c r="B228" s="42"/>
      <c r="C228" s="43"/>
      <c r="D228" s="43"/>
      <c r="E228" s="43"/>
      <c r="F228" s="43"/>
      <c r="G228" s="43"/>
      <c r="H228" s="43"/>
      <c r="I228" s="43"/>
      <c r="J228" s="43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</row>
    <row r="229" spans="2:24" x14ac:dyDescent="0.25">
      <c r="B229" s="42"/>
      <c r="C229" s="43"/>
      <c r="D229" s="43"/>
      <c r="E229" s="43"/>
      <c r="F229" s="43"/>
      <c r="G229" s="43"/>
      <c r="H229" s="43"/>
      <c r="I229" s="43"/>
      <c r="J229" s="43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</row>
    <row r="230" spans="2:24" x14ac:dyDescent="0.25">
      <c r="B230" s="42"/>
      <c r="C230" s="43"/>
      <c r="D230" s="43"/>
      <c r="E230" s="43"/>
      <c r="F230" s="43"/>
      <c r="G230" s="43"/>
      <c r="H230" s="43"/>
      <c r="I230" s="43"/>
      <c r="J230" s="43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</row>
    <row r="231" spans="2:24" x14ac:dyDescent="0.25">
      <c r="B231" s="42"/>
      <c r="C231" s="43"/>
      <c r="D231" s="43"/>
      <c r="E231" s="43"/>
      <c r="F231" s="43"/>
      <c r="G231" s="43"/>
      <c r="H231" s="43"/>
      <c r="I231" s="43"/>
      <c r="J231" s="43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</row>
    <row r="232" spans="2:24" x14ac:dyDescent="0.25">
      <c r="B232" s="42"/>
      <c r="C232" s="43"/>
      <c r="D232" s="43"/>
      <c r="E232" s="43"/>
      <c r="F232" s="43"/>
      <c r="G232" s="43"/>
      <c r="H232" s="43"/>
      <c r="I232" s="43"/>
      <c r="J232" s="43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</row>
    <row r="233" spans="2:24" x14ac:dyDescent="0.25">
      <c r="B233" s="42"/>
      <c r="C233" s="43"/>
      <c r="D233" s="43"/>
      <c r="E233" s="43"/>
      <c r="F233" s="43"/>
      <c r="G233" s="43"/>
      <c r="H233" s="43"/>
      <c r="I233" s="43"/>
      <c r="J233" s="43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</row>
    <row r="234" spans="2:24" x14ac:dyDescent="0.25">
      <c r="B234" s="42"/>
      <c r="C234" s="43"/>
      <c r="D234" s="43"/>
      <c r="E234" s="43"/>
      <c r="F234" s="43"/>
      <c r="G234" s="43"/>
      <c r="H234" s="43"/>
      <c r="I234" s="43"/>
      <c r="J234" s="43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</row>
    <row r="235" spans="2:24" x14ac:dyDescent="0.25">
      <c r="B235" s="42"/>
      <c r="C235" s="43"/>
      <c r="D235" s="43"/>
      <c r="E235" s="43"/>
      <c r="F235" s="43"/>
      <c r="G235" s="43"/>
      <c r="H235" s="43"/>
      <c r="I235" s="43"/>
      <c r="J235" s="43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</row>
    <row r="236" spans="2:24" x14ac:dyDescent="0.25">
      <c r="B236" s="42"/>
      <c r="C236" s="43"/>
      <c r="D236" s="43"/>
      <c r="E236" s="43"/>
      <c r="F236" s="43"/>
      <c r="G236" s="43"/>
      <c r="H236" s="43"/>
      <c r="I236" s="43"/>
      <c r="J236" s="43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</row>
    <row r="237" spans="2:24" x14ac:dyDescent="0.25">
      <c r="B237" s="42"/>
      <c r="C237" s="43"/>
      <c r="D237" s="43"/>
      <c r="E237" s="43"/>
      <c r="F237" s="43"/>
      <c r="G237" s="43"/>
      <c r="H237" s="43"/>
      <c r="I237" s="43"/>
      <c r="J237" s="43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</row>
    <row r="238" spans="2:24" x14ac:dyDescent="0.25">
      <c r="B238" s="42"/>
      <c r="C238" s="43"/>
      <c r="D238" s="43"/>
      <c r="E238" s="43"/>
      <c r="F238" s="43"/>
      <c r="G238" s="43"/>
      <c r="H238" s="43"/>
      <c r="I238" s="43"/>
      <c r="J238" s="43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</row>
    <row r="239" spans="2:24" x14ac:dyDescent="0.25">
      <c r="B239" s="42"/>
      <c r="C239" s="43"/>
      <c r="D239" s="43"/>
      <c r="E239" s="43"/>
      <c r="F239" s="43"/>
      <c r="G239" s="43"/>
      <c r="H239" s="43"/>
      <c r="I239" s="43"/>
      <c r="J239" s="43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</row>
    <row r="240" spans="2:24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</row>
    <row r="241" spans="2:24" x14ac:dyDescent="0.25">
      <c r="B241" s="42"/>
      <c r="C241" s="43"/>
      <c r="D241" s="43"/>
      <c r="E241" s="43"/>
      <c r="F241" s="43"/>
      <c r="G241" s="43"/>
      <c r="H241" s="43"/>
      <c r="I241" s="43"/>
      <c r="J241" s="43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</row>
    <row r="242" spans="2:24" x14ac:dyDescent="0.25">
      <c r="B242" s="42"/>
      <c r="C242" s="43"/>
      <c r="D242" s="43"/>
      <c r="E242" s="43"/>
      <c r="F242" s="43"/>
      <c r="G242" s="43"/>
      <c r="H242" s="43"/>
      <c r="I242" s="43"/>
      <c r="J242" s="43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</row>
    <row r="243" spans="2:24" x14ac:dyDescent="0.25">
      <c r="B243" s="42"/>
      <c r="C243" s="43"/>
      <c r="D243" s="43"/>
      <c r="E243" s="43"/>
      <c r="F243" s="43"/>
      <c r="G243" s="43"/>
      <c r="H243" s="43"/>
      <c r="I243" s="43"/>
      <c r="J243" s="43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</row>
    <row r="244" spans="2:24" x14ac:dyDescent="0.25">
      <c r="B244" s="42"/>
      <c r="C244" s="43"/>
      <c r="D244" s="43"/>
      <c r="E244" s="43"/>
      <c r="F244" s="43"/>
      <c r="G244" s="43"/>
      <c r="H244" s="43"/>
      <c r="I244" s="43"/>
      <c r="J244" s="43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</row>
    <row r="245" spans="2:24" x14ac:dyDescent="0.25">
      <c r="B245" s="42"/>
      <c r="C245" s="43"/>
      <c r="D245" s="43"/>
      <c r="E245" s="43"/>
      <c r="F245" s="43"/>
      <c r="G245" s="43"/>
      <c r="H245" s="43"/>
      <c r="I245" s="43"/>
      <c r="J245" s="43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</row>
    <row r="246" spans="2:24" x14ac:dyDescent="0.25">
      <c r="B246" s="42"/>
      <c r="C246" s="43"/>
      <c r="D246" s="43"/>
      <c r="E246" s="43"/>
      <c r="F246" s="43"/>
      <c r="G246" s="43"/>
      <c r="H246" s="43"/>
      <c r="I246" s="43"/>
      <c r="J246" s="43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</row>
    <row r="247" spans="2:24" x14ac:dyDescent="0.25">
      <c r="B247" s="42"/>
      <c r="C247" s="43"/>
      <c r="D247" s="43"/>
      <c r="E247" s="43"/>
      <c r="F247" s="43"/>
      <c r="G247" s="43"/>
      <c r="H247" s="43"/>
      <c r="I247" s="43"/>
      <c r="J247" s="43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</row>
    <row r="248" spans="2:24" x14ac:dyDescent="0.25">
      <c r="B248" s="42"/>
      <c r="C248" s="43"/>
      <c r="D248" s="43"/>
      <c r="E248" s="43"/>
      <c r="F248" s="43"/>
      <c r="G248" s="43"/>
      <c r="H248" s="43"/>
      <c r="I248" s="43"/>
      <c r="J248" s="43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</row>
    <row r="249" spans="2:24" x14ac:dyDescent="0.25">
      <c r="B249" s="42"/>
      <c r="C249" s="43"/>
      <c r="D249" s="43"/>
      <c r="E249" s="43"/>
      <c r="F249" s="43"/>
      <c r="G249" s="43"/>
      <c r="H249" s="43"/>
      <c r="I249" s="43"/>
      <c r="J249" s="43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</row>
    <row r="250" spans="2:24" x14ac:dyDescent="0.25">
      <c r="B250" s="42"/>
      <c r="C250" s="43"/>
      <c r="D250" s="43"/>
      <c r="E250" s="43"/>
      <c r="F250" s="43"/>
      <c r="G250" s="43"/>
      <c r="H250" s="43"/>
      <c r="I250" s="43"/>
      <c r="J250" s="43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</row>
    <row r="251" spans="2:24" x14ac:dyDescent="0.25">
      <c r="B251" s="42"/>
      <c r="C251" s="43"/>
      <c r="D251" s="43"/>
      <c r="E251" s="43"/>
      <c r="F251" s="43"/>
      <c r="G251" s="43"/>
      <c r="H251" s="43"/>
      <c r="I251" s="43"/>
      <c r="J251" s="43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</row>
    <row r="252" spans="2:24" x14ac:dyDescent="0.25">
      <c r="B252" s="42"/>
      <c r="C252" s="43"/>
      <c r="D252" s="43"/>
      <c r="E252" s="43"/>
      <c r="F252" s="43"/>
      <c r="G252" s="43"/>
      <c r="H252" s="43"/>
      <c r="I252" s="43"/>
      <c r="J252" s="43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</row>
    <row r="253" spans="2:24" x14ac:dyDescent="0.25">
      <c r="B253" s="42"/>
      <c r="C253" s="43"/>
      <c r="D253" s="43"/>
      <c r="E253" s="43"/>
      <c r="F253" s="43"/>
      <c r="G253" s="43"/>
      <c r="H253" s="43"/>
      <c r="I253" s="43"/>
      <c r="J253" s="43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</row>
    <row r="254" spans="2:24" x14ac:dyDescent="0.25">
      <c r="B254" s="42"/>
      <c r="C254" s="43"/>
      <c r="D254" s="43"/>
      <c r="E254" s="43"/>
      <c r="F254" s="43"/>
      <c r="G254" s="43"/>
      <c r="H254" s="43"/>
      <c r="I254" s="43"/>
      <c r="J254" s="43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 spans="2:24" x14ac:dyDescent="0.25">
      <c r="B255" s="42"/>
      <c r="C255" s="43"/>
      <c r="D255" s="43"/>
      <c r="E255" s="43"/>
      <c r="F255" s="43"/>
      <c r="G255" s="43"/>
      <c r="H255" s="43"/>
      <c r="I255" s="43"/>
      <c r="J255" s="43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 spans="2:24" x14ac:dyDescent="0.25">
      <c r="B256" s="42"/>
      <c r="C256" s="43"/>
      <c r="D256" s="43"/>
      <c r="E256" s="43"/>
      <c r="F256" s="43"/>
      <c r="G256" s="43"/>
      <c r="H256" s="43"/>
      <c r="I256" s="43"/>
      <c r="J256" s="43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 spans="2:24" x14ac:dyDescent="0.25">
      <c r="B257" s="42"/>
      <c r="C257" s="43"/>
      <c r="D257" s="43"/>
      <c r="E257" s="43"/>
      <c r="F257" s="43"/>
      <c r="G257" s="43"/>
      <c r="H257" s="43"/>
      <c r="I257" s="43"/>
      <c r="J257" s="43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 spans="2:24" x14ac:dyDescent="0.25">
      <c r="B258" s="42"/>
      <c r="C258" s="43"/>
      <c r="D258" s="43"/>
      <c r="E258" s="43"/>
      <c r="F258" s="43"/>
      <c r="G258" s="43"/>
      <c r="H258" s="43"/>
      <c r="I258" s="43"/>
      <c r="J258" s="43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 spans="2:24" x14ac:dyDescent="0.25">
      <c r="B259" s="42"/>
      <c r="C259" s="43"/>
      <c r="D259" s="43"/>
      <c r="E259" s="43"/>
      <c r="F259" s="43"/>
      <c r="G259" s="43"/>
      <c r="H259" s="43"/>
      <c r="I259" s="43"/>
      <c r="J259" s="43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 spans="2:24" x14ac:dyDescent="0.25">
      <c r="B260" s="42"/>
      <c r="C260" s="43"/>
      <c r="D260" s="43"/>
      <c r="E260" s="43"/>
      <c r="F260" s="43"/>
      <c r="G260" s="43"/>
      <c r="H260" s="43"/>
      <c r="I260" s="43"/>
      <c r="J260" s="43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</row>
    <row r="261" spans="2:24" x14ac:dyDescent="0.25">
      <c r="B261" s="42"/>
      <c r="C261" s="43"/>
      <c r="D261" s="43"/>
      <c r="E261" s="43"/>
      <c r="F261" s="43"/>
      <c r="G261" s="43"/>
      <c r="H261" s="43"/>
      <c r="I261" s="43"/>
      <c r="J261" s="43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</row>
    <row r="262" spans="2:24" x14ac:dyDescent="0.25">
      <c r="B262" s="42"/>
      <c r="C262" s="43"/>
      <c r="D262" s="43"/>
      <c r="E262" s="43"/>
      <c r="F262" s="43"/>
      <c r="G262" s="43"/>
      <c r="H262" s="43"/>
      <c r="I262" s="43"/>
      <c r="J262" s="43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</row>
    <row r="263" spans="2:24" x14ac:dyDescent="0.25">
      <c r="B263" s="42"/>
      <c r="C263" s="43"/>
      <c r="D263" s="43"/>
      <c r="E263" s="43"/>
      <c r="F263" s="43"/>
      <c r="G263" s="43"/>
      <c r="H263" s="43"/>
      <c r="I263" s="43"/>
      <c r="J263" s="43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</row>
    <row r="264" spans="2:24" x14ac:dyDescent="0.25">
      <c r="B264" s="42"/>
      <c r="C264" s="43"/>
      <c r="D264" s="43"/>
      <c r="E264" s="43"/>
      <c r="F264" s="43"/>
      <c r="G264" s="43"/>
      <c r="H264" s="43"/>
      <c r="I264" s="43"/>
      <c r="J264" s="43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</row>
    <row r="265" spans="2:24" x14ac:dyDescent="0.25">
      <c r="B265" s="42"/>
      <c r="C265" s="43"/>
      <c r="D265" s="43"/>
      <c r="E265" s="43"/>
      <c r="F265" s="43"/>
      <c r="G265" s="43"/>
      <c r="H265" s="43"/>
      <c r="I265" s="43"/>
      <c r="J265" s="43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</row>
    <row r="266" spans="2:24" x14ac:dyDescent="0.25">
      <c r="B266" s="42"/>
      <c r="C266" s="43"/>
      <c r="D266" s="43"/>
      <c r="E266" s="43"/>
      <c r="F266" s="43"/>
      <c r="G266" s="43"/>
      <c r="H266" s="43"/>
      <c r="I266" s="43"/>
      <c r="J266" s="43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</row>
    <row r="267" spans="2:24" x14ac:dyDescent="0.25">
      <c r="B267" s="42"/>
      <c r="C267" s="43"/>
      <c r="D267" s="43"/>
      <c r="E267" s="43"/>
      <c r="F267" s="43"/>
      <c r="G267" s="43"/>
      <c r="H267" s="43"/>
      <c r="I267" s="43"/>
      <c r="J267" s="43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</row>
    <row r="268" spans="2:24" x14ac:dyDescent="0.25">
      <c r="B268" s="42"/>
      <c r="C268" s="43"/>
      <c r="D268" s="43"/>
      <c r="E268" s="43"/>
      <c r="F268" s="43"/>
      <c r="G268" s="43"/>
      <c r="H268" s="43"/>
      <c r="I268" s="43"/>
      <c r="J268" s="43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</row>
    <row r="269" spans="2:24" x14ac:dyDescent="0.25">
      <c r="B269" s="42"/>
      <c r="C269" s="43"/>
      <c r="D269" s="43"/>
      <c r="E269" s="43"/>
      <c r="F269" s="43"/>
      <c r="G269" s="43"/>
      <c r="H269" s="43"/>
      <c r="I269" s="43"/>
      <c r="J269" s="43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</row>
    <row r="270" spans="2:24" x14ac:dyDescent="0.25">
      <c r="B270" s="42"/>
      <c r="C270" s="43"/>
      <c r="D270" s="43"/>
      <c r="E270" s="43"/>
      <c r="F270" s="43"/>
      <c r="G270" s="43"/>
      <c r="H270" s="43"/>
      <c r="I270" s="43"/>
      <c r="J270" s="43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</row>
    <row r="271" spans="2:24" x14ac:dyDescent="0.25">
      <c r="B271" s="42"/>
      <c r="C271" s="43"/>
      <c r="D271" s="43"/>
      <c r="E271" s="43"/>
      <c r="F271" s="43"/>
      <c r="G271" s="43"/>
      <c r="H271" s="43"/>
      <c r="I271" s="43"/>
      <c r="J271" s="43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</row>
    <row r="272" spans="2:24" x14ac:dyDescent="0.25">
      <c r="B272" s="42"/>
      <c r="C272" s="43"/>
      <c r="D272" s="43"/>
      <c r="E272" s="43"/>
      <c r="F272" s="43"/>
      <c r="G272" s="43"/>
      <c r="H272" s="43"/>
      <c r="I272" s="43"/>
      <c r="J272" s="43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</row>
    <row r="273" spans="2:24" x14ac:dyDescent="0.25">
      <c r="B273" s="42"/>
      <c r="C273" s="43"/>
      <c r="D273" s="43"/>
      <c r="E273" s="43"/>
      <c r="F273" s="43"/>
      <c r="G273" s="43"/>
      <c r="H273" s="43"/>
      <c r="I273" s="43"/>
      <c r="J273" s="43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</row>
    <row r="274" spans="2:24" x14ac:dyDescent="0.25">
      <c r="B274" s="42"/>
      <c r="C274" s="43"/>
      <c r="D274" s="43"/>
      <c r="E274" s="43"/>
      <c r="F274" s="43"/>
      <c r="G274" s="43"/>
      <c r="H274" s="43"/>
      <c r="I274" s="43"/>
      <c r="J274" s="43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</row>
    <row r="275" spans="2:24" x14ac:dyDescent="0.25">
      <c r="B275" s="42"/>
      <c r="C275" s="43"/>
      <c r="D275" s="43"/>
      <c r="E275" s="43"/>
      <c r="F275" s="43"/>
      <c r="G275" s="43"/>
      <c r="H275" s="43"/>
      <c r="I275" s="43"/>
      <c r="J275" s="43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</row>
    <row r="276" spans="2:24" x14ac:dyDescent="0.25">
      <c r="B276" s="42"/>
      <c r="C276" s="43"/>
      <c r="D276" s="43"/>
      <c r="E276" s="43"/>
      <c r="F276" s="43"/>
      <c r="G276" s="43"/>
      <c r="H276" s="43"/>
      <c r="I276" s="43"/>
      <c r="J276" s="43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</row>
    <row r="277" spans="2:24" x14ac:dyDescent="0.25">
      <c r="B277" s="42"/>
      <c r="C277" s="43"/>
      <c r="D277" s="43"/>
      <c r="E277" s="43"/>
      <c r="F277" s="43"/>
      <c r="G277" s="43"/>
      <c r="H277" s="43"/>
      <c r="I277" s="43"/>
      <c r="J277" s="43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</row>
    <row r="278" spans="2:24" x14ac:dyDescent="0.25">
      <c r="B278" s="42"/>
      <c r="C278" s="43"/>
      <c r="D278" s="43"/>
      <c r="E278" s="43"/>
      <c r="F278" s="43"/>
      <c r="G278" s="43"/>
      <c r="H278" s="43"/>
      <c r="I278" s="43"/>
      <c r="J278" s="43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</row>
    <row r="279" spans="2:24" x14ac:dyDescent="0.25">
      <c r="B279" s="42"/>
      <c r="C279" s="43"/>
      <c r="D279" s="43"/>
      <c r="E279" s="43"/>
      <c r="F279" s="43"/>
      <c r="G279" s="43"/>
      <c r="H279" s="43"/>
      <c r="I279" s="43"/>
      <c r="J279" s="43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</row>
    <row r="280" spans="2:24" x14ac:dyDescent="0.25">
      <c r="B280" s="42"/>
      <c r="C280" s="43"/>
      <c r="D280" s="43"/>
      <c r="E280" s="43"/>
      <c r="F280" s="43"/>
      <c r="G280" s="43"/>
      <c r="H280" s="43"/>
      <c r="I280" s="43"/>
      <c r="J280" s="43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</row>
    <row r="281" spans="2:24" x14ac:dyDescent="0.25">
      <c r="B281" s="42"/>
      <c r="C281" s="43"/>
      <c r="D281" s="43"/>
      <c r="E281" s="43"/>
      <c r="F281" s="43"/>
      <c r="G281" s="43"/>
      <c r="H281" s="43"/>
      <c r="I281" s="43"/>
      <c r="J281" s="43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</row>
    <row r="282" spans="2:24" x14ac:dyDescent="0.25">
      <c r="B282" s="42"/>
      <c r="C282" s="43"/>
      <c r="D282" s="43"/>
      <c r="E282" s="43"/>
      <c r="F282" s="43"/>
      <c r="G282" s="43"/>
      <c r="H282" s="43"/>
      <c r="I282" s="43"/>
      <c r="J282" s="43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</row>
    <row r="283" spans="2:24" x14ac:dyDescent="0.25">
      <c r="B283" s="42"/>
      <c r="C283" s="43"/>
      <c r="D283" s="43"/>
      <c r="E283" s="43"/>
      <c r="F283" s="43"/>
      <c r="G283" s="43"/>
      <c r="H283" s="43"/>
      <c r="I283" s="43"/>
      <c r="J283" s="43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</row>
    <row r="284" spans="2:24" x14ac:dyDescent="0.25">
      <c r="B284" s="42"/>
      <c r="C284" s="43"/>
      <c r="D284" s="43"/>
      <c r="E284" s="43"/>
      <c r="F284" s="43"/>
      <c r="G284" s="43"/>
      <c r="H284" s="43"/>
      <c r="I284" s="43"/>
      <c r="J284" s="43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</row>
    <row r="285" spans="2:24" x14ac:dyDescent="0.25">
      <c r="B285" s="42"/>
      <c r="C285" s="43"/>
      <c r="D285" s="43"/>
      <c r="E285" s="43"/>
      <c r="F285" s="43"/>
      <c r="G285" s="43"/>
      <c r="H285" s="43"/>
      <c r="I285" s="43"/>
      <c r="J285" s="43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</row>
  </sheetData>
  <mergeCells count="18">
    <mergeCell ref="B2:B3"/>
    <mergeCell ref="C2:C3"/>
    <mergeCell ref="D2:D3"/>
    <mergeCell ref="E2:E3"/>
    <mergeCell ref="F2:F3"/>
    <mergeCell ref="B26:B27"/>
    <mergeCell ref="C26:C27"/>
    <mergeCell ref="D26:D27"/>
    <mergeCell ref="E26:E27"/>
    <mergeCell ref="F26:F27"/>
    <mergeCell ref="I26:I27"/>
    <mergeCell ref="J26:J27"/>
    <mergeCell ref="G2:G3"/>
    <mergeCell ref="I2:I3"/>
    <mergeCell ref="J2:J3"/>
    <mergeCell ref="H26:H27"/>
    <mergeCell ref="G26:G27"/>
    <mergeCell ref="H2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showGridLines="0" workbookViewId="0">
      <selection activeCell="M6" sqref="M6"/>
    </sheetView>
  </sheetViews>
  <sheetFormatPr defaultRowHeight="15" x14ac:dyDescent="0.25"/>
  <cols>
    <col min="1" max="1" width="2.42578125" customWidth="1"/>
    <col min="2" max="2" width="14.7109375" style="14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52"/>
    </row>
    <row r="2" spans="1:17" ht="15" customHeight="1" x14ac:dyDescent="0.25">
      <c r="B2" s="140" t="s">
        <v>20</v>
      </c>
      <c r="C2" s="120" t="s">
        <v>41</v>
      </c>
      <c r="D2" s="120" t="s">
        <v>53</v>
      </c>
      <c r="E2" s="120" t="s">
        <v>39</v>
      </c>
      <c r="F2" s="122" t="s">
        <v>21</v>
      </c>
      <c r="G2" s="158"/>
      <c r="H2" s="158"/>
      <c r="I2" s="158"/>
      <c r="J2" s="158"/>
    </row>
    <row r="3" spans="1:17" ht="15.75" customHeight="1" thickBot="1" x14ac:dyDescent="0.3">
      <c r="B3" s="141"/>
      <c r="C3" s="121"/>
      <c r="D3" s="121"/>
      <c r="E3" s="121"/>
      <c r="F3" s="123"/>
      <c r="G3" s="158"/>
      <c r="H3" s="158"/>
      <c r="I3" s="158"/>
      <c r="J3" s="158"/>
    </row>
    <row r="4" spans="1:17" x14ac:dyDescent="0.25">
      <c r="A4" s="46"/>
      <c r="B4" s="83">
        <v>42736</v>
      </c>
      <c r="C4" s="41">
        <f>SUMIFS('Raw Data'!$I$5:$I$500,'Raw Data'!$F$5:$F$500,"&gt;="&amp;$B4,'Raw Data'!$F$5:$F$500,"&lt;="&amp;EOMONTH($B4,0))</f>
        <v>124302.93999999999</v>
      </c>
      <c r="D4" s="51">
        <f>COUNTIFS('Raw Data'!$F$5:$F$500,"&gt;="&amp;$B4,'Raw Data'!$F$5:$F$500,"&lt;="&amp;EOMONTH($B4,0))</f>
        <v>16</v>
      </c>
      <c r="E4" s="41">
        <f>SUMIFS('Raw Data'!$I$5:$I$500,'Raw Data'!$F$5:$F$500,"&gt;="&amp;$B4,'Raw Data'!$F$5:$F$500,"&lt;="&amp;EOMONTH($B4,0))/COUNTIFS('Raw Data'!$F$5:$F$500,"&gt;="&amp;$B4,'Raw Data'!$F$5:$F$500,"&lt;="&amp;EOMONTH($B4,0))</f>
        <v>7768.9337499999992</v>
      </c>
      <c r="F4" s="85">
        <f>SUMIFS('Raw Data'!$K$5:$K$500,'Raw Data'!$F$5:$F$500,"&gt;="&amp;$B4,'Raw Data'!$F$5:$F$500,"&lt;="&amp;EOMONTH($B4,0))/COUNTIFS('Raw Data'!$F$5:$F$500,"&gt;="&amp;$B4,'Raw Data'!$F$5:$F$500,"&lt;="&amp;EOMONTH($B4,0))</f>
        <v>0.48873447873084647</v>
      </c>
      <c r="G4" s="69"/>
      <c r="H4" s="68"/>
      <c r="I4" s="68"/>
      <c r="J4" s="68"/>
    </row>
    <row r="5" spans="1:17" x14ac:dyDescent="0.25">
      <c r="A5" s="46"/>
      <c r="B5" s="82">
        <v>42767</v>
      </c>
      <c r="C5" s="40">
        <f>SUMIFS('Raw Data'!$I$5:$I$500,'Raw Data'!$F$5:$F$500,"&gt;="&amp;$B5,'Raw Data'!$F$5:$F$500,"&lt;="&amp;EOMONTH($B5,0))</f>
        <v>298163.23999999987</v>
      </c>
      <c r="D5" s="51">
        <f>COUNTIFS('Raw Data'!$F$5:$F$500,"&gt;="&amp;$B5,'Raw Data'!$F$5:$F$500,"&lt;="&amp;EOMONTH($B5,0))</f>
        <v>23</v>
      </c>
      <c r="E5" s="41">
        <f>SUMIFS('Raw Data'!$I$5:$I$500,'Raw Data'!$F$5:$F$500,"&gt;="&amp;$B5,'Raw Data'!$F$5:$F$500,"&lt;="&amp;EOMONTH($B5,0))/COUNTIFS('Raw Data'!$F$5:$F$500,"&gt;="&amp;$B5,'Raw Data'!$F$5:$F$500,"&lt;="&amp;EOMONTH($B5,0))</f>
        <v>12963.619130434778</v>
      </c>
      <c r="F5" s="85">
        <f>SUMIFS('Raw Data'!$K$5:$K$500,'Raw Data'!$F$5:$F$500,"&gt;="&amp;$B5,'Raw Data'!$F$5:$F$500,"&lt;="&amp;EOMONTH($B5,0))/COUNTIFS('Raw Data'!$F$5:$F$500,"&gt;="&amp;$B5,'Raw Data'!$F$5:$F$500,"&lt;="&amp;EOMONTH($B5,0))</f>
        <v>0.51319723070743495</v>
      </c>
      <c r="G5" s="69"/>
      <c r="H5" s="68"/>
      <c r="I5" s="68"/>
      <c r="J5" s="68"/>
    </row>
    <row r="6" spans="1:17" x14ac:dyDescent="0.25">
      <c r="A6" s="46"/>
      <c r="B6" s="82">
        <v>42795</v>
      </c>
      <c r="C6" s="40">
        <f>SUMIFS('Raw Data'!$I$5:$I$500,'Raw Data'!$F$5:$F$500,"&gt;="&amp;$B6,'Raw Data'!$F$5:$F$500,"&lt;="&amp;EOMONTH($B6,0))</f>
        <v>387644.87</v>
      </c>
      <c r="D6" s="51">
        <f>COUNTIFS('Raw Data'!$F$5:$F$500,"&gt;="&amp;$B6,'Raw Data'!$F$5:$F$500,"&lt;="&amp;EOMONTH($B6,0))</f>
        <v>37</v>
      </c>
      <c r="E6" s="41">
        <f>SUMIFS('Raw Data'!$I$5:$I$500,'Raw Data'!$F$5:$F$500,"&gt;="&amp;$B6,'Raw Data'!$F$5:$F$500,"&lt;="&amp;EOMONTH($B6,0))/COUNTIFS('Raw Data'!$F$5:$F$500,"&gt;="&amp;$B6,'Raw Data'!$F$5:$F$500,"&lt;="&amp;EOMONTH($B6,0))</f>
        <v>10476.888378378379</v>
      </c>
      <c r="F6" s="85">
        <f>SUMIFS('Raw Data'!$K$5:$K$500,'Raw Data'!$F$5:$F$500,"&gt;="&amp;$B6,'Raw Data'!$F$5:$F$500,"&lt;="&amp;EOMONTH($B6,0))/COUNTIFS('Raw Data'!$F$5:$F$500,"&gt;="&amp;$B6,'Raw Data'!$F$5:$F$500,"&lt;="&amp;EOMONTH($B6,0))</f>
        <v>0.52104562957014988</v>
      </c>
      <c r="G6" s="69"/>
      <c r="H6" s="68"/>
      <c r="I6" s="68"/>
      <c r="J6" s="68"/>
      <c r="M6" s="101"/>
    </row>
    <row r="7" spans="1:17" x14ac:dyDescent="0.25">
      <c r="A7" s="46"/>
      <c r="B7" s="83">
        <v>42826</v>
      </c>
      <c r="C7" s="40">
        <f>SUMIFS('Raw Data'!$I$5:$I$500,'Raw Data'!$F$5:$F$500,"&gt;="&amp;$B7,'Raw Data'!$F$5:$F$500,"&lt;="&amp;EOMONTH($B7,0))</f>
        <v>586706.1</v>
      </c>
      <c r="D7" s="51">
        <f>COUNTIFS('Raw Data'!$F$5:$F$500,"&gt;="&amp;$B7,'Raw Data'!$F$5:$F$500,"&lt;="&amp;EOMONTH($B7,0))</f>
        <v>37</v>
      </c>
      <c r="E7" s="41">
        <f>SUMIFS('Raw Data'!$I$5:$I$500,'Raw Data'!$F$5:$F$500,"&gt;="&amp;$B7,'Raw Data'!$F$5:$F$500,"&lt;="&amp;EOMONTH($B7,0))/COUNTIFS('Raw Data'!$F$5:$F$500,"&gt;="&amp;$B7,'Raw Data'!$F$5:$F$500,"&lt;="&amp;EOMONTH($B7,0))</f>
        <v>15856.921621621621</v>
      </c>
      <c r="F7" s="85">
        <f>SUMIFS('Raw Data'!$K$5:$K$500,'Raw Data'!$F$5:$F$500,"&gt;="&amp;$B7,'Raw Data'!$F$5:$F$500,"&lt;="&amp;EOMONTH($B7,0))/COUNTIFS('Raw Data'!$F$5:$F$500,"&gt;="&amp;$B7,'Raw Data'!$F$5:$F$500,"&lt;="&amp;EOMONTH($B7,0))</f>
        <v>0.48036828965160083</v>
      </c>
      <c r="G7" s="69"/>
      <c r="H7" s="68"/>
      <c r="I7" s="68"/>
      <c r="J7" s="68"/>
    </row>
    <row r="8" spans="1:17" x14ac:dyDescent="0.25">
      <c r="A8" s="46"/>
      <c r="B8" s="82">
        <v>42856</v>
      </c>
      <c r="C8" s="40">
        <f>SUMIFS('Raw Data'!$I$5:$I$500,'Raw Data'!$F$5:$F$500,"&gt;="&amp;$B8,'Raw Data'!$F$5:$F$500,"&lt;="&amp;EOMONTH($B8,0))</f>
        <v>284416.55140361097</v>
      </c>
      <c r="D8" s="51">
        <f>COUNTIFS('Raw Data'!$F$5:$F$500,"&gt;="&amp;$B8,'Raw Data'!$F$5:$F$500,"&lt;="&amp;EOMONTH($B8,0))</f>
        <v>28</v>
      </c>
      <c r="E8" s="41">
        <f>SUMIFS('Raw Data'!$I$5:$I$500,'Raw Data'!$F$5:$F$500,"&gt;="&amp;$B8,'Raw Data'!$F$5:$F$500,"&lt;="&amp;EOMONTH($B8,0))/COUNTIFS('Raw Data'!$F$5:$F$500,"&gt;="&amp;$B8,'Raw Data'!$F$5:$F$500,"&lt;="&amp;EOMONTH($B8,0))</f>
        <v>10157.733978700391</v>
      </c>
      <c r="F8" s="85">
        <f>SUMIFS('Raw Data'!$K$5:$K$500,'Raw Data'!$F$5:$F$500,"&gt;="&amp;$B8,'Raw Data'!$F$5:$F$500,"&lt;="&amp;EOMONTH($B8,0))/COUNTIFS('Raw Data'!$F$5:$F$500,"&gt;="&amp;$B8,'Raw Data'!$F$5:$F$500,"&lt;="&amp;EOMONTH($B8,0))</f>
        <v>0.48822034332771441</v>
      </c>
      <c r="G8" s="69"/>
      <c r="H8" s="68"/>
      <c r="I8" s="68"/>
      <c r="J8" s="68"/>
      <c r="Q8" s="6"/>
    </row>
    <row r="9" spans="1:17" x14ac:dyDescent="0.25">
      <c r="A9" s="46"/>
      <c r="B9" s="83">
        <v>42887</v>
      </c>
      <c r="C9" s="40">
        <f>SUMIFS('Raw Data'!$I$5:$I$500,'Raw Data'!$F$5:$F$500,"&gt;="&amp;$B9,'Raw Data'!$F$5:$F$500,"&lt;="&amp;EOMONTH($B9,0))</f>
        <v>312020.50683785346</v>
      </c>
      <c r="D9" s="51">
        <f>COUNTIFS('Raw Data'!$F$5:$F$500,"&gt;="&amp;$B9,'Raw Data'!$F$5:$F$500,"&lt;="&amp;EOMONTH($B9,0))</f>
        <v>30</v>
      </c>
      <c r="E9" s="41">
        <f>SUMIFS('Raw Data'!$I$5:$I$500,'Raw Data'!$F$5:$F$500,"&gt;="&amp;$B9,'Raw Data'!$F$5:$F$500,"&lt;="&amp;EOMONTH($B9,0))/COUNTIFS('Raw Data'!$F$5:$F$500,"&gt;="&amp;$B9,'Raw Data'!$F$5:$F$500,"&lt;="&amp;EOMONTH($B9,0))</f>
        <v>10400.683561261782</v>
      </c>
      <c r="F9" s="85">
        <f>SUMIFS('Raw Data'!$K$5:$K$500,'Raw Data'!$F$5:$F$500,"&gt;="&amp;$B9,'Raw Data'!$F$5:$F$500,"&lt;="&amp;EOMONTH($B9,0))/COUNTIFS('Raw Data'!$F$5:$F$500,"&gt;="&amp;$B9,'Raw Data'!$F$5:$F$500,"&lt;="&amp;EOMONTH($B9,0))</f>
        <v>0.52731964275045251</v>
      </c>
      <c r="G9" s="69"/>
      <c r="H9" s="68"/>
      <c r="I9" s="68"/>
      <c r="J9" s="68"/>
    </row>
    <row r="10" spans="1:17" x14ac:dyDescent="0.25">
      <c r="A10" s="46"/>
      <c r="B10" s="82">
        <v>42917</v>
      </c>
      <c r="C10" s="40">
        <f>SUMIFS('Raw Data'!$I$5:$I$500,'Raw Data'!$F$5:$F$500,"&gt;="&amp;$B10,'Raw Data'!$F$5:$F$500,"&lt;="&amp;EOMONTH($B10,0))</f>
        <v>203636.55</v>
      </c>
      <c r="D10" s="51">
        <f>COUNTIFS('Raw Data'!$F$5:$F$500,"&gt;="&amp;$B10,'Raw Data'!$F$5:$F$500,"&lt;="&amp;EOMONTH($B10,0))</f>
        <v>20</v>
      </c>
      <c r="E10" s="41">
        <f>SUMIFS('Raw Data'!$I$5:$I$500,'Raw Data'!$F$5:$F$500,"&gt;="&amp;$B10,'Raw Data'!$F$5:$F$500,"&lt;="&amp;EOMONTH($B10,0))/COUNTIFS('Raw Data'!$F$5:$F$500,"&gt;="&amp;$B10,'Raw Data'!$F$5:$F$500,"&lt;="&amp;EOMONTH($B10,0))</f>
        <v>10181.827499999999</v>
      </c>
      <c r="F10" s="85">
        <f>SUMIFS('Raw Data'!$K$5:$K$500,'Raw Data'!$F$5:$F$500,"&gt;="&amp;$B10,'Raw Data'!$F$5:$F$500,"&lt;="&amp;EOMONTH($B10,0))/COUNTIFS('Raw Data'!$F$5:$F$500,"&gt;="&amp;$B10,'Raw Data'!$F$5:$F$500,"&lt;="&amp;EOMONTH($B10,0))</f>
        <v>0.53833627210845947</v>
      </c>
      <c r="G10" s="69"/>
      <c r="H10" s="68"/>
      <c r="I10" s="68"/>
      <c r="J10" s="68"/>
    </row>
    <row r="11" spans="1:17" x14ac:dyDescent="0.25">
      <c r="A11" s="46"/>
      <c r="B11" s="82">
        <v>42948</v>
      </c>
      <c r="C11" s="40">
        <f>SUMIFS('Raw Data'!$I$5:$I$500,'Raw Data'!$F$5:$F$500,"&gt;="&amp;$B11,'Raw Data'!$F$5:$F$500,"&lt;="&amp;EOMONTH($B11,0))</f>
        <v>285887.56467132049</v>
      </c>
      <c r="D11" s="51">
        <f>COUNTIFS('Raw Data'!$F$5:$F$500,"&gt;="&amp;$B11,'Raw Data'!$F$5:$F$500,"&lt;="&amp;EOMONTH($B11,0))</f>
        <v>23</v>
      </c>
      <c r="E11" s="41">
        <f>SUMIFS('Raw Data'!$I$5:$I$500,'Raw Data'!$F$5:$F$500,"&gt;="&amp;$B11,'Raw Data'!$F$5:$F$500,"&lt;="&amp;EOMONTH($B11,0))/COUNTIFS('Raw Data'!$F$5:$F$500,"&gt;="&amp;$B11,'Raw Data'!$F$5:$F$500,"&lt;="&amp;EOMONTH($B11,0))</f>
        <v>12429.894116144369</v>
      </c>
      <c r="F11" s="85">
        <f>SUMIFS('Raw Data'!$K$5:$K$500,'Raw Data'!$F$5:$F$500,"&gt;="&amp;$B11,'Raw Data'!$F$5:$F$500,"&lt;="&amp;EOMONTH($B11,0))/COUNTIFS('Raw Data'!$F$5:$F$500,"&gt;="&amp;$B11,'Raw Data'!$F$5:$F$500,"&lt;="&amp;EOMONTH($B11,0))</f>
        <v>0.48059768968451183</v>
      </c>
      <c r="G11" s="69"/>
      <c r="H11" s="68"/>
      <c r="I11" s="68"/>
      <c r="J11" s="68"/>
    </row>
    <row r="12" spans="1:17" x14ac:dyDescent="0.25">
      <c r="A12" s="46"/>
      <c r="B12" s="83">
        <v>42979</v>
      </c>
      <c r="C12" s="40">
        <f>SUMIFS('Raw Data'!$I$5:$I$500,'Raw Data'!$F$5:$F$500,"&gt;="&amp;$B12,'Raw Data'!$F$5:$F$500,"&lt;="&amp;EOMONTH($B12,0))</f>
        <v>479018.61162790697</v>
      </c>
      <c r="D12" s="51">
        <f>COUNTIFS('Raw Data'!$F$5:$F$500,"&gt;="&amp;$B12,'Raw Data'!$F$5:$F$500,"&lt;="&amp;EOMONTH($B12,0))</f>
        <v>25</v>
      </c>
      <c r="E12" s="41">
        <f>SUMIFS('Raw Data'!$I$5:$I$500,'Raw Data'!$F$5:$F$500,"&gt;="&amp;$B12,'Raw Data'!$F$5:$F$500,"&lt;="&amp;EOMONTH($B12,0))/COUNTIFS('Raw Data'!$F$5:$F$500,"&gt;="&amp;$B12,'Raw Data'!$F$5:$F$500,"&lt;="&amp;EOMONTH($B12,0))</f>
        <v>19160.74446511628</v>
      </c>
      <c r="F12" s="85">
        <f>SUMIFS('Raw Data'!$K$5:$K$500,'Raw Data'!$F$5:$F$500,"&gt;="&amp;$B12,'Raw Data'!$F$5:$F$500,"&lt;="&amp;EOMONTH($B12,0))/COUNTIFS('Raw Data'!$F$5:$F$500,"&gt;="&amp;$B12,'Raw Data'!$F$5:$F$500,"&lt;="&amp;EOMONTH($B12,0))</f>
        <v>0.51514199559367368</v>
      </c>
      <c r="G12" s="69"/>
      <c r="H12" s="68"/>
      <c r="I12" s="68"/>
      <c r="J12" s="68"/>
    </row>
    <row r="13" spans="1:17" x14ac:dyDescent="0.25">
      <c r="A13" s="46"/>
      <c r="B13" s="82">
        <v>43009</v>
      </c>
      <c r="C13" s="40">
        <f>SUMIFS('Raw Data'!$I$5:$I$500,'Raw Data'!$F$5:$F$500,"&gt;="&amp;$B13,'Raw Data'!$F$5:$F$500,"&lt;="&amp;EOMONTH($B13,0))</f>
        <v>214317.68208539812</v>
      </c>
      <c r="D13" s="51">
        <f>COUNTIFS('Raw Data'!$F$5:$F$500,"&gt;="&amp;$B13,'Raw Data'!$F$5:$F$500,"&lt;="&amp;EOMONTH($B13,0))</f>
        <v>20</v>
      </c>
      <c r="E13" s="41">
        <f>SUMIFS('Raw Data'!$I$5:$I$500,'Raw Data'!$F$5:$F$500,"&gt;="&amp;$B13,'Raw Data'!$F$5:$F$500,"&lt;="&amp;EOMONTH($B13,0))/COUNTIFS('Raw Data'!$F$5:$F$500,"&gt;="&amp;$B13,'Raw Data'!$F$5:$F$500,"&lt;="&amp;EOMONTH($B13,0))</f>
        <v>10715.884104269906</v>
      </c>
      <c r="F13" s="85">
        <f>SUMIFS('Raw Data'!$K$5:$K$500,'Raw Data'!$F$5:$F$500,"&gt;="&amp;$B13,'Raw Data'!$F$5:$F$500,"&lt;="&amp;EOMONTH($B13,0))/COUNTIFS('Raw Data'!$F$5:$F$500,"&gt;="&amp;$B13,'Raw Data'!$F$5:$F$500,"&lt;="&amp;EOMONTH($B13,0))</f>
        <v>0.51537097765723006</v>
      </c>
      <c r="G13" s="69"/>
      <c r="H13" s="68"/>
      <c r="I13" s="68"/>
      <c r="J13" s="68"/>
      <c r="Q13" s="6"/>
    </row>
    <row r="14" spans="1:17" x14ac:dyDescent="0.25">
      <c r="A14" s="46"/>
      <c r="B14" s="83">
        <v>43040</v>
      </c>
      <c r="C14" s="40">
        <f>SUMIFS('Raw Data'!$I$5:$I$500,'Raw Data'!$F$5:$F$500,"&gt;="&amp;$B14,'Raw Data'!$F$5:$F$500,"&lt;="&amp;EOMONTH($B14,0))</f>
        <v>173746.35533461903</v>
      </c>
      <c r="D14" s="51">
        <f>COUNTIFS('Raw Data'!$F$5:$F$500,"&gt;="&amp;$B14,'Raw Data'!$F$5:$F$500,"&lt;="&amp;EOMONTH($B14,0))</f>
        <v>17</v>
      </c>
      <c r="E14" s="41">
        <f>SUMIFS('Raw Data'!$I$5:$I$500,'Raw Data'!$F$5:$F$500,"&gt;="&amp;$B14,'Raw Data'!$F$5:$F$500,"&lt;="&amp;EOMONTH($B14,0))/COUNTIFS('Raw Data'!$F$5:$F$500,"&gt;="&amp;$B14,'Raw Data'!$F$5:$F$500,"&lt;="&amp;EOMONTH($B14,0))</f>
        <v>10220.373843212885</v>
      </c>
      <c r="F14" s="85">
        <f>SUMIFS('Raw Data'!$K$5:$K$500,'Raw Data'!$F$5:$F$500,"&gt;="&amp;$B14,'Raw Data'!$F$5:$F$500,"&lt;="&amp;EOMONTH($B14,0))/COUNTIFS('Raw Data'!$F$5:$F$500,"&gt;="&amp;$B14,'Raw Data'!$F$5:$F$500,"&lt;="&amp;EOMONTH($B14,0))</f>
        <v>0.51263372123934159</v>
      </c>
      <c r="G14" s="69"/>
      <c r="H14" s="68"/>
      <c r="I14" s="68"/>
      <c r="J14" s="68"/>
    </row>
    <row r="15" spans="1:17" ht="15.75" thickBot="1" x14ac:dyDescent="0.3">
      <c r="A15" s="46"/>
      <c r="B15" s="84">
        <v>43070</v>
      </c>
      <c r="C15" s="73">
        <f>SUMIFS('Raw Data'!$I$5:$I$500,'Raw Data'!$F$5:$F$500,"&gt;="&amp;$B15,'Raw Data'!$F$5:$F$500,"&lt;="&amp;EOMONTH($B15,0))</f>
        <v>109468.9907387713</v>
      </c>
      <c r="D15" s="51">
        <f>COUNTIFS('Raw Data'!$F$5:$F$500,"&gt;="&amp;$B15,'Raw Data'!$F$5:$F$500,"&lt;="&amp;EOMONTH($B15,0))</f>
        <v>7</v>
      </c>
      <c r="E15" s="41">
        <f>SUMIFS('Raw Data'!$I$5:$I$500,'Raw Data'!$F$5:$F$500,"&gt;="&amp;$B15,'Raw Data'!$F$5:$F$500,"&lt;="&amp;EOMONTH($B15,0))/COUNTIFS('Raw Data'!$F$5:$F$500,"&gt;="&amp;$B15,'Raw Data'!$F$5:$F$500,"&lt;="&amp;EOMONTH($B15,0))</f>
        <v>15638.427248395901</v>
      </c>
      <c r="F15" s="85">
        <f>SUMIFS('Raw Data'!$K$5:$K$500,'Raw Data'!$F$5:$F$500,"&gt;="&amp;$B15,'Raw Data'!$F$5:$F$500,"&lt;="&amp;EOMONTH($B15,0))/COUNTIFS('Raw Data'!$F$5:$F$500,"&gt;="&amp;$B15,'Raw Data'!$F$5:$F$500,"&lt;="&amp;EOMONTH($B15,0))</f>
        <v>0.45636226501993177</v>
      </c>
      <c r="G15" s="69"/>
      <c r="H15" s="68"/>
      <c r="I15" s="68"/>
      <c r="J15" s="68"/>
    </row>
    <row r="16" spans="1:17" ht="15.75" customHeight="1" x14ac:dyDescent="0.25">
      <c r="B16" s="140"/>
      <c r="C16" s="151">
        <f>SUM(C4:C15)</f>
        <v>3459329.9626994804</v>
      </c>
      <c r="D16" s="155">
        <f>SUM(D4:D15)</f>
        <v>283</v>
      </c>
      <c r="E16" s="151">
        <f>C16/D16</f>
        <v>12223.780786923959</v>
      </c>
      <c r="F16" s="160">
        <f>'Raw Data'!K3</f>
        <v>0.66472764083407987</v>
      </c>
      <c r="G16" s="159"/>
      <c r="H16" s="157"/>
      <c r="I16" s="157"/>
      <c r="J16" s="157"/>
    </row>
    <row r="17" spans="2:23" ht="15.75" customHeight="1" thickBot="1" x14ac:dyDescent="0.3">
      <c r="B17" s="141"/>
      <c r="C17" s="152"/>
      <c r="D17" s="156"/>
      <c r="E17" s="152"/>
      <c r="F17" s="161"/>
      <c r="G17" s="159"/>
      <c r="H17" s="157"/>
      <c r="I17" s="157"/>
      <c r="J17" s="157"/>
    </row>
    <row r="18" spans="2:23" ht="15.75" thickBot="1" x14ac:dyDescent="0.3">
      <c r="B18" s="42"/>
      <c r="C18" s="43"/>
      <c r="D18" s="43"/>
      <c r="E18" s="43"/>
      <c r="F18" s="43"/>
      <c r="G18" s="43"/>
      <c r="H18" s="43"/>
      <c r="I18" s="43"/>
      <c r="J18" s="43"/>
    </row>
    <row r="19" spans="2:23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</row>
    <row r="20" spans="2:23" x14ac:dyDescent="0.25">
      <c r="B20" s="57"/>
      <c r="C20" s="44"/>
      <c r="D20" s="44"/>
      <c r="E20" s="44"/>
      <c r="F20" s="44"/>
      <c r="G20" s="44"/>
      <c r="H20" s="44"/>
      <c r="I20" s="44"/>
      <c r="J20" s="44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9"/>
    </row>
    <row r="21" spans="2:23" x14ac:dyDescent="0.25">
      <c r="B21" s="57"/>
      <c r="C21" s="44"/>
      <c r="D21" s="44"/>
      <c r="E21" s="44"/>
      <c r="F21" s="44"/>
      <c r="G21" s="44"/>
      <c r="H21" s="44"/>
      <c r="I21" s="44"/>
      <c r="J21" s="44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9"/>
    </row>
    <row r="22" spans="2:23" x14ac:dyDescent="0.25">
      <c r="B22" s="57"/>
      <c r="C22" s="44"/>
      <c r="D22" s="44"/>
      <c r="E22" s="44"/>
      <c r="F22" s="44"/>
      <c r="G22" s="44"/>
      <c r="H22" s="44"/>
      <c r="I22" s="44"/>
      <c r="J22" s="44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</row>
    <row r="23" spans="2:23" x14ac:dyDescent="0.25">
      <c r="B23" s="57"/>
      <c r="C23" s="44"/>
      <c r="D23" s="44"/>
      <c r="E23" s="44"/>
      <c r="F23" s="44"/>
      <c r="G23" s="44"/>
      <c r="H23" s="44"/>
      <c r="I23" s="44"/>
      <c r="J23" s="44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9"/>
    </row>
    <row r="24" spans="2:23" x14ac:dyDescent="0.25">
      <c r="B24" s="57"/>
      <c r="C24" s="44"/>
      <c r="D24" s="44"/>
      <c r="E24" s="44"/>
      <c r="F24" s="44"/>
      <c r="G24" s="44"/>
      <c r="H24" s="44"/>
      <c r="I24" s="44"/>
      <c r="J24" s="44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9"/>
    </row>
    <row r="25" spans="2:23" x14ac:dyDescent="0.25">
      <c r="B25" s="57"/>
      <c r="C25" s="44"/>
      <c r="D25" s="44"/>
      <c r="E25" s="44"/>
      <c r="F25" s="44"/>
      <c r="G25" s="44"/>
      <c r="H25" s="44"/>
      <c r="I25" s="44"/>
      <c r="J25" s="44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9"/>
    </row>
    <row r="26" spans="2:23" x14ac:dyDescent="0.25">
      <c r="B26" s="57"/>
      <c r="C26" s="44"/>
      <c r="D26" s="44"/>
      <c r="E26" s="44"/>
      <c r="F26" s="44"/>
      <c r="G26" s="44"/>
      <c r="H26" s="44"/>
      <c r="I26" s="44"/>
      <c r="J26" s="44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9"/>
    </row>
    <row r="27" spans="2:23" x14ac:dyDescent="0.25">
      <c r="B27" s="57"/>
      <c r="C27" s="44"/>
      <c r="D27" s="44"/>
      <c r="E27" s="44"/>
      <c r="F27" s="44"/>
      <c r="G27" s="44"/>
      <c r="H27" s="44"/>
      <c r="I27" s="44"/>
      <c r="J27" s="44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9"/>
    </row>
    <row r="28" spans="2:23" x14ac:dyDescent="0.25">
      <c r="B28" s="57"/>
      <c r="C28" s="44"/>
      <c r="D28" s="44"/>
      <c r="E28" s="44"/>
      <c r="F28" s="44"/>
      <c r="G28" s="44"/>
      <c r="H28" s="44"/>
      <c r="I28" s="44"/>
      <c r="J28" s="44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9"/>
    </row>
    <row r="29" spans="2:23" x14ac:dyDescent="0.25">
      <c r="B29" s="57"/>
      <c r="C29" s="44"/>
      <c r="D29" s="44"/>
      <c r="E29" s="44"/>
      <c r="F29" s="44"/>
      <c r="G29" s="44"/>
      <c r="H29" s="44"/>
      <c r="I29" s="44"/>
      <c r="J29" s="44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9"/>
    </row>
    <row r="30" spans="2:23" x14ac:dyDescent="0.25">
      <c r="B30" s="57"/>
      <c r="C30" s="44"/>
      <c r="D30" s="44"/>
      <c r="E30" s="44"/>
      <c r="F30" s="44"/>
      <c r="G30" s="44"/>
      <c r="H30" s="44"/>
      <c r="I30" s="44"/>
      <c r="J30" s="44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9"/>
    </row>
    <row r="31" spans="2:23" x14ac:dyDescent="0.25">
      <c r="B31" s="57"/>
      <c r="C31" s="44"/>
      <c r="D31" s="44"/>
      <c r="E31" s="44"/>
      <c r="F31" s="44"/>
      <c r="G31" s="44"/>
      <c r="H31" s="44"/>
      <c r="I31" s="44"/>
      <c r="J31" s="44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9"/>
    </row>
    <row r="32" spans="2:23" x14ac:dyDescent="0.25">
      <c r="B32" s="57"/>
      <c r="C32" s="44"/>
      <c r="D32" s="44"/>
      <c r="E32" s="44"/>
      <c r="F32" s="44"/>
      <c r="G32" s="44"/>
      <c r="H32" s="44"/>
      <c r="I32" s="44"/>
      <c r="J32" s="44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9"/>
    </row>
    <row r="33" spans="2:23" x14ac:dyDescent="0.25">
      <c r="B33" s="57"/>
      <c r="C33" s="44"/>
      <c r="D33" s="44"/>
      <c r="E33" s="44"/>
      <c r="F33" s="44"/>
      <c r="G33" s="44"/>
      <c r="H33" s="44"/>
      <c r="I33" s="44"/>
      <c r="J33" s="44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9"/>
    </row>
    <row r="34" spans="2:23" x14ac:dyDescent="0.25">
      <c r="B34" s="57"/>
      <c r="C34" s="44"/>
      <c r="D34" s="44"/>
      <c r="E34" s="44"/>
      <c r="F34" s="44"/>
      <c r="G34" s="44"/>
      <c r="H34" s="44"/>
      <c r="I34" s="44"/>
      <c r="J34" s="44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9"/>
    </row>
    <row r="35" spans="2:23" x14ac:dyDescent="0.25">
      <c r="B35" s="57"/>
      <c r="C35" s="44"/>
      <c r="D35" s="44"/>
      <c r="E35" s="44"/>
      <c r="F35" s="44"/>
      <c r="G35" s="44"/>
      <c r="H35" s="44"/>
      <c r="I35" s="44"/>
      <c r="J35" s="44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9"/>
    </row>
    <row r="36" spans="2:23" x14ac:dyDescent="0.25">
      <c r="B36" s="57"/>
      <c r="C36" s="44"/>
      <c r="D36" s="44"/>
      <c r="E36" s="44"/>
      <c r="F36" s="44"/>
      <c r="G36" s="44"/>
      <c r="H36" s="44"/>
      <c r="I36" s="44"/>
      <c r="J36" s="44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</row>
    <row r="37" spans="2:23" x14ac:dyDescent="0.25">
      <c r="B37" s="57"/>
      <c r="C37" s="44"/>
      <c r="D37" s="44"/>
      <c r="E37" s="44"/>
      <c r="F37" s="44"/>
      <c r="G37" s="44"/>
      <c r="H37" s="44"/>
      <c r="I37" s="44"/>
      <c r="J37" s="44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9"/>
    </row>
    <row r="38" spans="2:23" x14ac:dyDescent="0.25">
      <c r="B38" s="60"/>
      <c r="C38" s="43"/>
      <c r="D38" s="43"/>
      <c r="E38" s="43"/>
      <c r="F38" s="43"/>
      <c r="G38" s="43"/>
      <c r="H38" s="43"/>
      <c r="I38" s="43"/>
      <c r="J38" s="43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9"/>
    </row>
    <row r="39" spans="2:23" x14ac:dyDescent="0.25">
      <c r="B39" s="60"/>
      <c r="C39" s="43"/>
      <c r="D39" s="43"/>
      <c r="E39" s="43"/>
      <c r="F39" s="43"/>
      <c r="G39" s="43"/>
      <c r="H39" s="43"/>
      <c r="I39" s="43"/>
      <c r="J39" s="43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9"/>
    </row>
    <row r="40" spans="2:23" x14ac:dyDescent="0.25">
      <c r="B40" s="60"/>
      <c r="C40" s="43"/>
      <c r="D40" s="43"/>
      <c r="E40" s="43"/>
      <c r="F40" s="43"/>
      <c r="G40" s="43"/>
      <c r="H40" s="43"/>
      <c r="I40" s="43"/>
      <c r="J40" s="43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9"/>
    </row>
    <row r="41" spans="2:23" x14ac:dyDescent="0.25">
      <c r="B41" s="60"/>
      <c r="C41" s="43"/>
      <c r="D41" s="43"/>
      <c r="E41" s="43"/>
      <c r="F41" s="43"/>
      <c r="G41" s="43"/>
      <c r="H41" s="43"/>
      <c r="I41" s="43"/>
      <c r="J41" s="43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9"/>
    </row>
    <row r="42" spans="2:23" x14ac:dyDescent="0.25">
      <c r="B42" s="60"/>
      <c r="C42" s="43"/>
      <c r="D42" s="43"/>
      <c r="E42" s="43"/>
      <c r="F42" s="43"/>
      <c r="G42" s="43"/>
      <c r="H42" s="43"/>
      <c r="I42" s="43"/>
      <c r="J42" s="43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9"/>
    </row>
    <row r="43" spans="2:23" x14ac:dyDescent="0.25">
      <c r="B43" s="60"/>
      <c r="C43" s="43"/>
      <c r="D43" s="43"/>
      <c r="E43" s="43"/>
      <c r="F43" s="43"/>
      <c r="G43" s="43"/>
      <c r="H43" s="43"/>
      <c r="I43" s="43"/>
      <c r="J43" s="43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9"/>
    </row>
    <row r="44" spans="2:23" x14ac:dyDescent="0.25">
      <c r="B44" s="60"/>
      <c r="C44" s="43"/>
      <c r="D44" s="43"/>
      <c r="E44" s="43"/>
      <c r="F44" s="43"/>
      <c r="G44" s="43"/>
      <c r="H44" s="43"/>
      <c r="I44" s="43"/>
      <c r="J44" s="43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</row>
    <row r="45" spans="2:23" x14ac:dyDescent="0.25">
      <c r="B45" s="60"/>
      <c r="C45" s="43"/>
      <c r="D45" s="43"/>
      <c r="E45" s="43"/>
      <c r="F45" s="43"/>
      <c r="G45" s="43"/>
      <c r="H45" s="43"/>
      <c r="I45" s="43"/>
      <c r="J45" s="43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</row>
    <row r="46" spans="2:23" x14ac:dyDescent="0.25">
      <c r="B46" s="60"/>
      <c r="C46" s="43"/>
      <c r="D46" s="43"/>
      <c r="E46" s="43"/>
      <c r="F46" s="43"/>
      <c r="G46" s="43"/>
      <c r="H46" s="43"/>
      <c r="I46" s="43"/>
      <c r="J46" s="43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9"/>
    </row>
    <row r="47" spans="2:23" x14ac:dyDescent="0.25">
      <c r="B47" s="60"/>
      <c r="C47" s="43"/>
      <c r="D47" s="43"/>
      <c r="E47" s="43"/>
      <c r="F47" s="43"/>
      <c r="G47" s="43"/>
      <c r="H47" s="43"/>
      <c r="I47" s="43"/>
      <c r="J47" s="43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9"/>
    </row>
    <row r="48" spans="2:23" x14ac:dyDescent="0.25">
      <c r="B48" s="60"/>
      <c r="C48" s="43"/>
      <c r="D48" s="43"/>
      <c r="E48" s="43"/>
      <c r="F48" s="43"/>
      <c r="G48" s="43"/>
      <c r="H48" s="43"/>
      <c r="I48" s="43"/>
      <c r="J48" s="43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9"/>
    </row>
    <row r="49" spans="2:23" ht="15.75" thickBot="1" x14ac:dyDescent="0.3">
      <c r="B49" s="61"/>
      <c r="C49" s="62"/>
      <c r="D49" s="62"/>
      <c r="E49" s="62"/>
      <c r="F49" s="62"/>
      <c r="G49" s="62"/>
      <c r="H49" s="62"/>
      <c r="I49" s="62"/>
      <c r="J49" s="62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4"/>
    </row>
    <row r="50" spans="2:23" ht="15.75" thickBot="1" x14ac:dyDescent="0.3"/>
    <row r="51" spans="2:23" x14ac:dyDescent="0.25">
      <c r="B51" s="65"/>
      <c r="C51" s="66"/>
      <c r="D51" s="66"/>
      <c r="E51" s="66"/>
      <c r="F51" s="66"/>
      <c r="G51" s="66"/>
      <c r="H51" s="66"/>
      <c r="I51" s="66"/>
      <c r="J51" s="6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6"/>
    </row>
    <row r="52" spans="2:23" x14ac:dyDescent="0.25">
      <c r="B52" s="60"/>
      <c r="C52" s="43"/>
      <c r="D52" s="43"/>
      <c r="E52" s="43"/>
      <c r="F52" s="43"/>
      <c r="G52" s="43"/>
      <c r="H52" s="43"/>
      <c r="I52" s="43"/>
      <c r="J52" s="43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9"/>
    </row>
    <row r="53" spans="2:23" x14ac:dyDescent="0.25">
      <c r="B53" s="60"/>
      <c r="C53" s="43"/>
      <c r="D53" s="43"/>
      <c r="E53" s="43"/>
      <c r="F53" s="43"/>
      <c r="G53" s="43"/>
      <c r="H53" s="43"/>
      <c r="I53" s="43"/>
      <c r="J53" s="43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9"/>
    </row>
    <row r="54" spans="2:23" x14ac:dyDescent="0.25">
      <c r="B54" s="60"/>
      <c r="C54" s="43"/>
      <c r="D54" s="43"/>
      <c r="E54" s="43"/>
      <c r="F54" s="43"/>
      <c r="G54" s="43"/>
      <c r="H54" s="43"/>
      <c r="I54" s="43"/>
      <c r="J54" s="43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9"/>
    </row>
    <row r="55" spans="2:23" x14ac:dyDescent="0.25">
      <c r="B55" s="60"/>
      <c r="C55" s="43"/>
      <c r="D55" s="43"/>
      <c r="E55" s="43"/>
      <c r="F55" s="43"/>
      <c r="G55" s="43"/>
      <c r="H55" s="43"/>
      <c r="I55" s="43"/>
      <c r="J55" s="43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9"/>
    </row>
    <row r="56" spans="2:23" x14ac:dyDescent="0.25">
      <c r="B56" s="60"/>
      <c r="C56" s="43"/>
      <c r="D56" s="43"/>
      <c r="E56" s="43"/>
      <c r="F56" s="43"/>
      <c r="G56" s="43"/>
      <c r="H56" s="43"/>
      <c r="I56" s="43"/>
      <c r="J56" s="43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9"/>
    </row>
    <row r="57" spans="2:23" x14ac:dyDescent="0.25">
      <c r="B57" s="60"/>
      <c r="C57" s="43"/>
      <c r="D57" s="43"/>
      <c r="E57" s="43"/>
      <c r="F57" s="43"/>
      <c r="G57" s="43"/>
      <c r="H57" s="43"/>
      <c r="I57" s="43"/>
      <c r="J57" s="43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9"/>
    </row>
    <row r="58" spans="2:23" x14ac:dyDescent="0.25">
      <c r="B58" s="60"/>
      <c r="C58" s="43"/>
      <c r="D58" s="43"/>
      <c r="E58" s="43"/>
      <c r="F58" s="43"/>
      <c r="G58" s="43"/>
      <c r="H58" s="43"/>
      <c r="I58" s="43"/>
      <c r="J58" s="43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9"/>
    </row>
    <row r="59" spans="2:23" x14ac:dyDescent="0.25">
      <c r="B59" s="60"/>
      <c r="C59" s="43"/>
      <c r="D59" s="43"/>
      <c r="E59" s="43"/>
      <c r="F59" s="43"/>
      <c r="G59" s="43"/>
      <c r="H59" s="43"/>
      <c r="I59" s="43"/>
      <c r="J59" s="43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9"/>
    </row>
    <row r="60" spans="2:23" x14ac:dyDescent="0.25">
      <c r="B60" s="60"/>
      <c r="C60" s="43"/>
      <c r="D60" s="43"/>
      <c r="E60" s="43"/>
      <c r="F60" s="43"/>
      <c r="G60" s="43"/>
      <c r="H60" s="43"/>
      <c r="I60" s="43"/>
      <c r="J60" s="43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9"/>
    </row>
    <row r="61" spans="2:23" x14ac:dyDescent="0.25">
      <c r="B61" s="60"/>
      <c r="C61" s="43"/>
      <c r="D61" s="43"/>
      <c r="E61" s="43"/>
      <c r="F61" s="43"/>
      <c r="G61" s="43"/>
      <c r="H61" s="43"/>
      <c r="I61" s="43"/>
      <c r="J61" s="43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9"/>
    </row>
    <row r="62" spans="2:23" x14ac:dyDescent="0.25">
      <c r="B62" s="60"/>
      <c r="C62" s="43"/>
      <c r="D62" s="43"/>
      <c r="E62" s="43"/>
      <c r="F62" s="43"/>
      <c r="G62" s="43"/>
      <c r="H62" s="43"/>
      <c r="I62" s="43"/>
      <c r="J62" s="43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9"/>
    </row>
    <row r="63" spans="2:23" x14ac:dyDescent="0.25">
      <c r="B63" s="60"/>
      <c r="C63" s="43"/>
      <c r="D63" s="43"/>
      <c r="E63" s="43"/>
      <c r="F63" s="43"/>
      <c r="G63" s="43"/>
      <c r="H63" s="43"/>
      <c r="I63" s="43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9"/>
    </row>
    <row r="64" spans="2:23" x14ac:dyDescent="0.25">
      <c r="B64" s="60"/>
      <c r="C64" s="43"/>
      <c r="D64" s="43"/>
      <c r="E64" s="43"/>
      <c r="F64" s="43"/>
      <c r="G64" s="43"/>
      <c r="H64" s="43"/>
      <c r="I64" s="43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9"/>
    </row>
    <row r="65" spans="2:23" x14ac:dyDescent="0.25">
      <c r="B65" s="60"/>
      <c r="C65" s="43"/>
      <c r="D65" s="43"/>
      <c r="E65" s="43"/>
      <c r="F65" s="43"/>
      <c r="G65" s="43"/>
      <c r="H65" s="43"/>
      <c r="I65" s="43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9"/>
    </row>
    <row r="66" spans="2:23" x14ac:dyDescent="0.25">
      <c r="B66" s="60"/>
      <c r="C66" s="43"/>
      <c r="D66" s="43"/>
      <c r="E66" s="43"/>
      <c r="F66" s="43"/>
      <c r="G66" s="43"/>
      <c r="H66" s="43"/>
      <c r="I66" s="43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9"/>
    </row>
    <row r="67" spans="2:23" x14ac:dyDescent="0.25">
      <c r="B67" s="60"/>
      <c r="C67" s="43"/>
      <c r="D67" s="43"/>
      <c r="E67" s="43"/>
      <c r="F67" s="43"/>
      <c r="G67" s="43"/>
      <c r="H67" s="43"/>
      <c r="I67" s="43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9"/>
    </row>
    <row r="68" spans="2:23" x14ac:dyDescent="0.25">
      <c r="B68" s="60"/>
      <c r="C68" s="43"/>
      <c r="D68" s="43"/>
      <c r="E68" s="43"/>
      <c r="F68" s="43"/>
      <c r="G68" s="43"/>
      <c r="H68" s="43"/>
      <c r="I68" s="43"/>
      <c r="J68" s="43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9"/>
    </row>
    <row r="69" spans="2:23" x14ac:dyDescent="0.25">
      <c r="B69" s="60"/>
      <c r="C69" s="43"/>
      <c r="D69" s="43"/>
      <c r="E69" s="43"/>
      <c r="F69" s="43"/>
      <c r="G69" s="43"/>
      <c r="H69" s="43"/>
      <c r="I69" s="43"/>
      <c r="J69" s="43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9"/>
    </row>
    <row r="70" spans="2:23" x14ac:dyDescent="0.25">
      <c r="B70" s="60"/>
      <c r="C70" s="43"/>
      <c r="D70" s="43"/>
      <c r="E70" s="43"/>
      <c r="F70" s="43"/>
      <c r="G70" s="43"/>
      <c r="H70" s="43"/>
      <c r="I70" s="43"/>
      <c r="J70" s="43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9"/>
    </row>
    <row r="71" spans="2:23" x14ac:dyDescent="0.25">
      <c r="B71" s="60"/>
      <c r="C71" s="43"/>
      <c r="D71" s="43"/>
      <c r="E71" s="43"/>
      <c r="F71" s="43"/>
      <c r="G71" s="43"/>
      <c r="H71" s="43"/>
      <c r="I71" s="43"/>
      <c r="J71" s="43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9"/>
    </row>
    <row r="72" spans="2:23" x14ac:dyDescent="0.25">
      <c r="B72" s="60"/>
      <c r="C72" s="43"/>
      <c r="D72" s="43"/>
      <c r="E72" s="43"/>
      <c r="F72" s="43"/>
      <c r="G72" s="43"/>
      <c r="H72" s="43"/>
      <c r="I72" s="43"/>
      <c r="J72" s="43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9"/>
    </row>
    <row r="73" spans="2:23" x14ac:dyDescent="0.25">
      <c r="B73" s="60"/>
      <c r="C73" s="43"/>
      <c r="D73" s="43"/>
      <c r="E73" s="43"/>
      <c r="F73" s="43"/>
      <c r="G73" s="43"/>
      <c r="H73" s="43"/>
      <c r="I73" s="43"/>
      <c r="J73" s="43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9"/>
    </row>
    <row r="74" spans="2:23" x14ac:dyDescent="0.25">
      <c r="B74" s="60"/>
      <c r="C74" s="43"/>
      <c r="D74" s="43"/>
      <c r="E74" s="43"/>
      <c r="F74" s="43"/>
      <c r="G74" s="43"/>
      <c r="H74" s="43"/>
      <c r="I74" s="43"/>
      <c r="J74" s="43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9"/>
    </row>
    <row r="75" spans="2:23" x14ac:dyDescent="0.25">
      <c r="B75" s="60"/>
      <c r="C75" s="43"/>
      <c r="D75" s="43"/>
      <c r="E75" s="43"/>
      <c r="F75" s="43"/>
      <c r="G75" s="43"/>
      <c r="H75" s="43"/>
      <c r="I75" s="43"/>
      <c r="J75" s="43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9"/>
    </row>
    <row r="76" spans="2:23" x14ac:dyDescent="0.25">
      <c r="B76" s="60"/>
      <c r="C76" s="43"/>
      <c r="D76" s="43"/>
      <c r="E76" s="43"/>
      <c r="F76" s="43"/>
      <c r="G76" s="43"/>
      <c r="H76" s="43"/>
      <c r="I76" s="43"/>
      <c r="J76" s="43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9"/>
    </row>
    <row r="77" spans="2:23" x14ac:dyDescent="0.25">
      <c r="B77" s="60"/>
      <c r="C77" s="43"/>
      <c r="D77" s="43"/>
      <c r="E77" s="43"/>
      <c r="F77" s="43"/>
      <c r="G77" s="43"/>
      <c r="H77" s="43"/>
      <c r="I77" s="43"/>
      <c r="J77" s="43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9"/>
    </row>
    <row r="78" spans="2:23" x14ac:dyDescent="0.25">
      <c r="B78" s="60"/>
      <c r="C78" s="43"/>
      <c r="D78" s="43"/>
      <c r="E78" s="43"/>
      <c r="F78" s="43"/>
      <c r="G78" s="43"/>
      <c r="H78" s="43"/>
      <c r="I78" s="43"/>
      <c r="J78" s="43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9"/>
    </row>
    <row r="79" spans="2:23" x14ac:dyDescent="0.25">
      <c r="B79" s="60"/>
      <c r="C79" s="43"/>
      <c r="D79" s="43"/>
      <c r="E79" s="43"/>
      <c r="F79" s="43"/>
      <c r="G79" s="43"/>
      <c r="H79" s="43"/>
      <c r="I79" s="43"/>
      <c r="J79" s="43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9"/>
    </row>
    <row r="80" spans="2:23" x14ac:dyDescent="0.25">
      <c r="B80" s="60"/>
      <c r="C80" s="43"/>
      <c r="D80" s="43"/>
      <c r="E80" s="43"/>
      <c r="F80" s="43"/>
      <c r="G80" s="43"/>
      <c r="H80" s="43"/>
      <c r="I80" s="43"/>
      <c r="J80" s="43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9"/>
    </row>
    <row r="81" spans="2:23" ht="15.75" thickBot="1" x14ac:dyDescent="0.3">
      <c r="B81" s="61"/>
      <c r="C81" s="62"/>
      <c r="D81" s="62"/>
      <c r="E81" s="62"/>
      <c r="F81" s="62"/>
      <c r="G81" s="62"/>
      <c r="H81" s="62"/>
      <c r="I81" s="62"/>
      <c r="J81" s="62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4"/>
    </row>
    <row r="82" spans="2:23" ht="15.75" thickBot="1" x14ac:dyDescent="0.3"/>
    <row r="83" spans="2:23" x14ac:dyDescent="0.25">
      <c r="B83" s="65"/>
      <c r="C83" s="66"/>
      <c r="D83" s="66"/>
      <c r="E83" s="66"/>
      <c r="F83" s="66"/>
      <c r="G83" s="66"/>
      <c r="H83" s="66"/>
      <c r="I83" s="66"/>
      <c r="J83" s="66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6"/>
    </row>
    <row r="84" spans="2:23" x14ac:dyDescent="0.25">
      <c r="B84" s="60"/>
      <c r="C84" s="43"/>
      <c r="D84" s="43"/>
      <c r="E84" s="43"/>
      <c r="F84" s="43"/>
      <c r="G84" s="43"/>
      <c r="H84" s="43"/>
      <c r="I84" s="43"/>
      <c r="J84" s="43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9"/>
    </row>
    <row r="85" spans="2:23" x14ac:dyDescent="0.25">
      <c r="B85" s="60"/>
      <c r="C85" s="43"/>
      <c r="D85" s="43"/>
      <c r="E85" s="43"/>
      <c r="F85" s="43"/>
      <c r="G85" s="43"/>
      <c r="H85" s="43"/>
      <c r="I85" s="43"/>
      <c r="J85" s="43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9"/>
    </row>
    <row r="86" spans="2:23" x14ac:dyDescent="0.25">
      <c r="B86" s="60"/>
      <c r="C86" s="43"/>
      <c r="D86" s="43"/>
      <c r="E86" s="43"/>
      <c r="F86" s="43"/>
      <c r="G86" s="43"/>
      <c r="H86" s="43"/>
      <c r="I86" s="43"/>
      <c r="J86" s="43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9"/>
    </row>
    <row r="87" spans="2:23" x14ac:dyDescent="0.25">
      <c r="B87" s="60"/>
      <c r="C87" s="43"/>
      <c r="D87" s="43"/>
      <c r="E87" s="43"/>
      <c r="F87" s="43"/>
      <c r="G87" s="43"/>
      <c r="H87" s="43"/>
      <c r="I87" s="43"/>
      <c r="J87" s="43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9"/>
    </row>
    <row r="88" spans="2:23" x14ac:dyDescent="0.25">
      <c r="B88" s="60"/>
      <c r="C88" s="43"/>
      <c r="D88" s="43"/>
      <c r="E88" s="43"/>
      <c r="F88" s="43"/>
      <c r="G88" s="43"/>
      <c r="H88" s="43"/>
      <c r="I88" s="43"/>
      <c r="J88" s="43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9"/>
    </row>
    <row r="89" spans="2:23" x14ac:dyDescent="0.25">
      <c r="B89" s="60"/>
      <c r="C89" s="43"/>
      <c r="D89" s="43"/>
      <c r="E89" s="43"/>
      <c r="F89" s="43"/>
      <c r="G89" s="43"/>
      <c r="H89" s="43"/>
      <c r="I89" s="43"/>
      <c r="J89" s="43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9"/>
    </row>
    <row r="90" spans="2:23" x14ac:dyDescent="0.25">
      <c r="B90" s="60"/>
      <c r="C90" s="43"/>
      <c r="D90" s="43"/>
      <c r="E90" s="43"/>
      <c r="F90" s="43"/>
      <c r="G90" s="43"/>
      <c r="H90" s="43"/>
      <c r="I90" s="43"/>
      <c r="J90" s="43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9"/>
    </row>
    <row r="91" spans="2:23" x14ac:dyDescent="0.25">
      <c r="B91" s="60"/>
      <c r="C91" s="43"/>
      <c r="D91" s="43"/>
      <c r="E91" s="43"/>
      <c r="F91" s="43"/>
      <c r="G91" s="43"/>
      <c r="H91" s="43"/>
      <c r="I91" s="43"/>
      <c r="J91" s="43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9"/>
    </row>
    <row r="92" spans="2:23" x14ac:dyDescent="0.25">
      <c r="B92" s="60"/>
      <c r="C92" s="43"/>
      <c r="D92" s="43"/>
      <c r="E92" s="43"/>
      <c r="F92" s="43"/>
      <c r="G92" s="43"/>
      <c r="H92" s="43"/>
      <c r="I92" s="43"/>
      <c r="J92" s="43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9"/>
    </row>
    <row r="93" spans="2:23" x14ac:dyDescent="0.25">
      <c r="B93" s="60"/>
      <c r="C93" s="43"/>
      <c r="D93" s="43"/>
      <c r="E93" s="43"/>
      <c r="F93" s="43"/>
      <c r="G93" s="43"/>
      <c r="H93" s="43"/>
      <c r="I93" s="43"/>
      <c r="J93" s="43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9"/>
    </row>
    <row r="94" spans="2:23" x14ac:dyDescent="0.25">
      <c r="B94" s="60"/>
      <c r="C94" s="43"/>
      <c r="D94" s="43"/>
      <c r="E94" s="43"/>
      <c r="F94" s="43"/>
      <c r="G94" s="43"/>
      <c r="H94" s="43"/>
      <c r="I94" s="43"/>
      <c r="J94" s="43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9"/>
    </row>
    <row r="95" spans="2:23" x14ac:dyDescent="0.25">
      <c r="B95" s="60"/>
      <c r="C95" s="43"/>
      <c r="D95" s="43"/>
      <c r="E95" s="43"/>
      <c r="F95" s="43"/>
      <c r="G95" s="43"/>
      <c r="H95" s="43"/>
      <c r="I95" s="43"/>
      <c r="J95" s="43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9"/>
    </row>
    <row r="96" spans="2:23" x14ac:dyDescent="0.25">
      <c r="B96" s="60"/>
      <c r="C96" s="43"/>
      <c r="D96" s="43"/>
      <c r="E96" s="43"/>
      <c r="F96" s="43"/>
      <c r="G96" s="43"/>
      <c r="H96" s="43"/>
      <c r="I96" s="43"/>
      <c r="J96" s="43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9"/>
    </row>
    <row r="97" spans="2:23" x14ac:dyDescent="0.25">
      <c r="B97" s="60"/>
      <c r="C97" s="43"/>
      <c r="D97" s="43"/>
      <c r="E97" s="43"/>
      <c r="F97" s="43"/>
      <c r="G97" s="43"/>
      <c r="H97" s="43"/>
      <c r="I97" s="43"/>
      <c r="J97" s="43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9"/>
    </row>
    <row r="98" spans="2:23" x14ac:dyDescent="0.25">
      <c r="B98" s="60"/>
      <c r="C98" s="43"/>
      <c r="D98" s="43"/>
      <c r="E98" s="43"/>
      <c r="F98" s="43"/>
      <c r="G98" s="43"/>
      <c r="H98" s="43"/>
      <c r="I98" s="43"/>
      <c r="J98" s="43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9"/>
    </row>
    <row r="99" spans="2:23" x14ac:dyDescent="0.25">
      <c r="B99" s="60"/>
      <c r="C99" s="43"/>
      <c r="D99" s="43"/>
      <c r="E99" s="43"/>
      <c r="F99" s="43"/>
      <c r="G99" s="43"/>
      <c r="H99" s="43"/>
      <c r="I99" s="43"/>
      <c r="J99" s="43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9"/>
    </row>
    <row r="100" spans="2:23" x14ac:dyDescent="0.25">
      <c r="B100" s="60"/>
      <c r="C100" s="43"/>
      <c r="D100" s="43"/>
      <c r="E100" s="43"/>
      <c r="F100" s="43"/>
      <c r="G100" s="43"/>
      <c r="H100" s="43"/>
      <c r="I100" s="43"/>
      <c r="J100" s="43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9"/>
    </row>
    <row r="101" spans="2:23" x14ac:dyDescent="0.25">
      <c r="B101" s="60"/>
      <c r="C101" s="43"/>
      <c r="D101" s="43"/>
      <c r="E101" s="43"/>
      <c r="F101" s="43"/>
      <c r="G101" s="43"/>
      <c r="H101" s="43"/>
      <c r="I101" s="43"/>
      <c r="J101" s="43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9"/>
    </row>
    <row r="102" spans="2:23" x14ac:dyDescent="0.25">
      <c r="B102" s="60"/>
      <c r="C102" s="43"/>
      <c r="D102" s="43"/>
      <c r="E102" s="43"/>
      <c r="F102" s="43"/>
      <c r="G102" s="43"/>
      <c r="H102" s="43"/>
      <c r="I102" s="43"/>
      <c r="J102" s="43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9"/>
    </row>
    <row r="103" spans="2:23" x14ac:dyDescent="0.25">
      <c r="B103" s="60"/>
      <c r="C103" s="43"/>
      <c r="D103" s="43"/>
      <c r="E103" s="43"/>
      <c r="F103" s="43"/>
      <c r="G103" s="43"/>
      <c r="H103" s="43"/>
      <c r="I103" s="43"/>
      <c r="J103" s="43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9"/>
    </row>
    <row r="104" spans="2:23" x14ac:dyDescent="0.25">
      <c r="B104" s="60"/>
      <c r="C104" s="43"/>
      <c r="D104" s="43"/>
      <c r="E104" s="43"/>
      <c r="F104" s="43"/>
      <c r="G104" s="43"/>
      <c r="H104" s="43"/>
      <c r="I104" s="43"/>
      <c r="J104" s="43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9"/>
    </row>
    <row r="105" spans="2:23" x14ac:dyDescent="0.25">
      <c r="B105" s="60"/>
      <c r="C105" s="43"/>
      <c r="D105" s="43"/>
      <c r="E105" s="43"/>
      <c r="F105" s="43"/>
      <c r="G105" s="43"/>
      <c r="H105" s="43"/>
      <c r="I105" s="43"/>
      <c r="J105" s="43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9"/>
    </row>
    <row r="106" spans="2:23" x14ac:dyDescent="0.25">
      <c r="B106" s="60"/>
      <c r="C106" s="43"/>
      <c r="D106" s="43"/>
      <c r="E106" s="43"/>
      <c r="F106" s="43"/>
      <c r="G106" s="43"/>
      <c r="H106" s="43"/>
      <c r="I106" s="43"/>
      <c r="J106" s="43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9"/>
    </row>
    <row r="107" spans="2:23" x14ac:dyDescent="0.25">
      <c r="B107" s="60"/>
      <c r="C107" s="43"/>
      <c r="D107" s="43"/>
      <c r="E107" s="43"/>
      <c r="F107" s="43"/>
      <c r="G107" s="43"/>
      <c r="H107" s="43"/>
      <c r="I107" s="43"/>
      <c r="J107" s="43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9"/>
    </row>
    <row r="108" spans="2:23" x14ac:dyDescent="0.25">
      <c r="B108" s="60"/>
      <c r="C108" s="43"/>
      <c r="D108" s="43"/>
      <c r="E108" s="43"/>
      <c r="F108" s="43"/>
      <c r="G108" s="43"/>
      <c r="H108" s="43"/>
      <c r="I108" s="43"/>
      <c r="J108" s="43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9"/>
    </row>
    <row r="109" spans="2:23" x14ac:dyDescent="0.25">
      <c r="B109" s="60"/>
      <c r="C109" s="43"/>
      <c r="D109" s="43"/>
      <c r="E109" s="43"/>
      <c r="F109" s="43"/>
      <c r="G109" s="43"/>
      <c r="H109" s="43"/>
      <c r="I109" s="43"/>
      <c r="J109" s="43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9"/>
    </row>
    <row r="110" spans="2:23" x14ac:dyDescent="0.25">
      <c r="B110" s="60"/>
      <c r="C110" s="43"/>
      <c r="D110" s="43"/>
      <c r="E110" s="43"/>
      <c r="F110" s="43"/>
      <c r="G110" s="43"/>
      <c r="H110" s="43"/>
      <c r="I110" s="43"/>
      <c r="J110" s="43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9"/>
    </row>
    <row r="111" spans="2:23" x14ac:dyDescent="0.25">
      <c r="B111" s="60"/>
      <c r="C111" s="43"/>
      <c r="D111" s="43"/>
      <c r="E111" s="43"/>
      <c r="F111" s="43"/>
      <c r="G111" s="43"/>
      <c r="H111" s="43"/>
      <c r="I111" s="43"/>
      <c r="J111" s="43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9"/>
    </row>
    <row r="112" spans="2:23" x14ac:dyDescent="0.25">
      <c r="B112" s="60"/>
      <c r="C112" s="43"/>
      <c r="D112" s="43"/>
      <c r="E112" s="43"/>
      <c r="F112" s="43"/>
      <c r="G112" s="43"/>
      <c r="H112" s="43"/>
      <c r="I112" s="43"/>
      <c r="J112" s="43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9"/>
    </row>
    <row r="113" spans="2:23" ht="15.75" thickBot="1" x14ac:dyDescent="0.3">
      <c r="B113" s="61"/>
      <c r="C113" s="62"/>
      <c r="D113" s="62"/>
      <c r="E113" s="62"/>
      <c r="F113" s="62"/>
      <c r="G113" s="62"/>
      <c r="H113" s="62"/>
      <c r="I113" s="62"/>
      <c r="J113" s="62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4"/>
    </row>
    <row r="114" spans="2:23" ht="15.75" thickBot="1" x14ac:dyDescent="0.3"/>
    <row r="115" spans="2:23" x14ac:dyDescent="0.25">
      <c r="B115" s="65"/>
      <c r="C115" s="66"/>
      <c r="D115" s="66"/>
      <c r="E115" s="66"/>
      <c r="F115" s="66"/>
      <c r="G115" s="66"/>
      <c r="H115" s="66"/>
      <c r="I115" s="66"/>
      <c r="J115" s="66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6"/>
    </row>
    <row r="116" spans="2:23" x14ac:dyDescent="0.25">
      <c r="B116" s="60"/>
      <c r="C116" s="43"/>
      <c r="D116" s="43"/>
      <c r="E116" s="43"/>
      <c r="F116" s="43"/>
      <c r="G116" s="43"/>
      <c r="H116" s="43"/>
      <c r="I116" s="43"/>
      <c r="J116" s="43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9"/>
    </row>
    <row r="117" spans="2:23" x14ac:dyDescent="0.25">
      <c r="B117" s="60"/>
      <c r="C117" s="43"/>
      <c r="D117" s="43"/>
      <c r="E117" s="43"/>
      <c r="F117" s="43"/>
      <c r="G117" s="43"/>
      <c r="H117" s="43"/>
      <c r="I117" s="43"/>
      <c r="J117" s="43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9"/>
    </row>
    <row r="118" spans="2:23" x14ac:dyDescent="0.25">
      <c r="B118" s="60"/>
      <c r="C118" s="43"/>
      <c r="D118" s="43"/>
      <c r="E118" s="43"/>
      <c r="F118" s="43"/>
      <c r="G118" s="43"/>
      <c r="H118" s="43"/>
      <c r="I118" s="43"/>
      <c r="J118" s="43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9"/>
    </row>
    <row r="119" spans="2:23" x14ac:dyDescent="0.25">
      <c r="B119" s="60"/>
      <c r="C119" s="43"/>
      <c r="D119" s="43"/>
      <c r="E119" s="43"/>
      <c r="F119" s="43"/>
      <c r="G119" s="43"/>
      <c r="H119" s="43"/>
      <c r="I119" s="43"/>
      <c r="J119" s="43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9"/>
    </row>
    <row r="120" spans="2:23" x14ac:dyDescent="0.25">
      <c r="B120" s="60"/>
      <c r="C120" s="43"/>
      <c r="D120" s="43"/>
      <c r="E120" s="43"/>
      <c r="F120" s="43"/>
      <c r="G120" s="43"/>
      <c r="H120" s="43"/>
      <c r="I120" s="43"/>
      <c r="J120" s="43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9"/>
    </row>
    <row r="121" spans="2:23" x14ac:dyDescent="0.25">
      <c r="B121" s="60"/>
      <c r="C121" s="43"/>
      <c r="D121" s="43"/>
      <c r="E121" s="43"/>
      <c r="F121" s="43"/>
      <c r="G121" s="43"/>
      <c r="H121" s="43"/>
      <c r="I121" s="43"/>
      <c r="J121" s="43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9"/>
    </row>
    <row r="122" spans="2:23" x14ac:dyDescent="0.25">
      <c r="B122" s="60"/>
      <c r="C122" s="43"/>
      <c r="D122" s="43"/>
      <c r="E122" s="43"/>
      <c r="F122" s="43"/>
      <c r="G122" s="43"/>
      <c r="H122" s="43"/>
      <c r="I122" s="43"/>
      <c r="J122" s="43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9"/>
    </row>
    <row r="123" spans="2:23" x14ac:dyDescent="0.25">
      <c r="B123" s="60"/>
      <c r="C123" s="43"/>
      <c r="D123" s="43"/>
      <c r="E123" s="43"/>
      <c r="F123" s="43"/>
      <c r="G123" s="43"/>
      <c r="H123" s="43"/>
      <c r="I123" s="43"/>
      <c r="J123" s="43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9"/>
    </row>
    <row r="124" spans="2:23" x14ac:dyDescent="0.25">
      <c r="B124" s="60"/>
      <c r="C124" s="43"/>
      <c r="D124" s="43"/>
      <c r="E124" s="43"/>
      <c r="F124" s="43"/>
      <c r="G124" s="43"/>
      <c r="H124" s="43"/>
      <c r="I124" s="43"/>
      <c r="J124" s="43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9"/>
    </row>
    <row r="125" spans="2:23" x14ac:dyDescent="0.25">
      <c r="B125" s="60"/>
      <c r="C125" s="43"/>
      <c r="D125" s="43"/>
      <c r="E125" s="43"/>
      <c r="F125" s="43"/>
      <c r="G125" s="43"/>
      <c r="H125" s="43"/>
      <c r="I125" s="43"/>
      <c r="J125" s="43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9"/>
    </row>
    <row r="126" spans="2:23" x14ac:dyDescent="0.25">
      <c r="B126" s="60"/>
      <c r="C126" s="43"/>
      <c r="D126" s="43"/>
      <c r="E126" s="43"/>
      <c r="F126" s="43"/>
      <c r="G126" s="43"/>
      <c r="H126" s="43"/>
      <c r="I126" s="43"/>
      <c r="J126" s="43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9"/>
    </row>
    <row r="127" spans="2:23" x14ac:dyDescent="0.25">
      <c r="B127" s="60"/>
      <c r="C127" s="43"/>
      <c r="D127" s="43"/>
      <c r="E127" s="43"/>
      <c r="F127" s="43"/>
      <c r="G127" s="43"/>
      <c r="H127" s="43"/>
      <c r="I127" s="43"/>
      <c r="J127" s="43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9"/>
    </row>
    <row r="128" spans="2:23" x14ac:dyDescent="0.25">
      <c r="B128" s="60"/>
      <c r="C128" s="43"/>
      <c r="D128" s="43"/>
      <c r="E128" s="43"/>
      <c r="F128" s="43"/>
      <c r="G128" s="43"/>
      <c r="H128" s="43"/>
      <c r="I128" s="43"/>
      <c r="J128" s="43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9"/>
    </row>
    <row r="129" spans="2:23" x14ac:dyDescent="0.25">
      <c r="B129" s="60"/>
      <c r="C129" s="43"/>
      <c r="D129" s="43"/>
      <c r="E129" s="43"/>
      <c r="F129" s="43"/>
      <c r="G129" s="43"/>
      <c r="H129" s="43"/>
      <c r="I129" s="43"/>
      <c r="J129" s="43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9"/>
    </row>
    <row r="130" spans="2:23" x14ac:dyDescent="0.25">
      <c r="B130" s="60"/>
      <c r="C130" s="43"/>
      <c r="D130" s="43"/>
      <c r="E130" s="43"/>
      <c r="F130" s="43"/>
      <c r="G130" s="43"/>
      <c r="H130" s="43"/>
      <c r="I130" s="43"/>
      <c r="J130" s="43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9"/>
    </row>
    <row r="131" spans="2:23" x14ac:dyDescent="0.25">
      <c r="B131" s="60"/>
      <c r="C131" s="43"/>
      <c r="D131" s="43"/>
      <c r="E131" s="43"/>
      <c r="F131" s="43"/>
      <c r="G131" s="43"/>
      <c r="H131" s="43"/>
      <c r="I131" s="43"/>
      <c r="J131" s="43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9"/>
    </row>
    <row r="132" spans="2:23" x14ac:dyDescent="0.25">
      <c r="B132" s="60"/>
      <c r="C132" s="43"/>
      <c r="D132" s="43"/>
      <c r="E132" s="43"/>
      <c r="F132" s="43"/>
      <c r="G132" s="43"/>
      <c r="H132" s="43"/>
      <c r="I132" s="43"/>
      <c r="J132" s="43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9"/>
    </row>
    <row r="133" spans="2:23" x14ac:dyDescent="0.25">
      <c r="B133" s="60"/>
      <c r="C133" s="43"/>
      <c r="D133" s="43"/>
      <c r="E133" s="43"/>
      <c r="F133" s="43"/>
      <c r="G133" s="43"/>
      <c r="H133" s="43"/>
      <c r="I133" s="43"/>
      <c r="J133" s="43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9"/>
    </row>
    <row r="134" spans="2:23" x14ac:dyDescent="0.25">
      <c r="B134" s="60"/>
      <c r="C134" s="43"/>
      <c r="D134" s="43"/>
      <c r="E134" s="43"/>
      <c r="F134" s="43"/>
      <c r="G134" s="43"/>
      <c r="H134" s="43"/>
      <c r="I134" s="43"/>
      <c r="J134" s="43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9"/>
    </row>
    <row r="135" spans="2:23" x14ac:dyDescent="0.25">
      <c r="B135" s="60"/>
      <c r="C135" s="43"/>
      <c r="D135" s="43"/>
      <c r="E135" s="43"/>
      <c r="F135" s="43"/>
      <c r="G135" s="43"/>
      <c r="H135" s="43"/>
      <c r="I135" s="43"/>
      <c r="J135" s="43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9"/>
    </row>
    <row r="136" spans="2:23" x14ac:dyDescent="0.25">
      <c r="B136" s="60"/>
      <c r="C136" s="43"/>
      <c r="D136" s="43"/>
      <c r="E136" s="43"/>
      <c r="F136" s="43"/>
      <c r="G136" s="43"/>
      <c r="H136" s="43"/>
      <c r="I136" s="43"/>
      <c r="J136" s="43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9"/>
    </row>
    <row r="137" spans="2:23" x14ac:dyDescent="0.25">
      <c r="B137" s="60"/>
      <c r="C137" s="43"/>
      <c r="D137" s="43"/>
      <c r="E137" s="43"/>
      <c r="F137" s="43"/>
      <c r="G137" s="43"/>
      <c r="H137" s="43"/>
      <c r="I137" s="43"/>
      <c r="J137" s="43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9"/>
    </row>
    <row r="138" spans="2:23" x14ac:dyDescent="0.25">
      <c r="B138" s="60"/>
      <c r="C138" s="43"/>
      <c r="D138" s="43"/>
      <c r="E138" s="43"/>
      <c r="F138" s="43"/>
      <c r="G138" s="43"/>
      <c r="H138" s="43"/>
      <c r="I138" s="43"/>
      <c r="J138" s="43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9"/>
    </row>
    <row r="139" spans="2:23" x14ac:dyDescent="0.25">
      <c r="B139" s="60"/>
      <c r="C139" s="43"/>
      <c r="D139" s="43"/>
      <c r="E139" s="43"/>
      <c r="F139" s="43"/>
      <c r="G139" s="43"/>
      <c r="H139" s="43"/>
      <c r="I139" s="43"/>
      <c r="J139" s="43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9"/>
    </row>
    <row r="140" spans="2:23" x14ac:dyDescent="0.25">
      <c r="B140" s="60"/>
      <c r="C140" s="43"/>
      <c r="D140" s="43"/>
      <c r="E140" s="43"/>
      <c r="F140" s="43"/>
      <c r="G140" s="43"/>
      <c r="H140" s="43"/>
      <c r="I140" s="43"/>
      <c r="J140" s="43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9"/>
    </row>
    <row r="141" spans="2:23" x14ac:dyDescent="0.25">
      <c r="B141" s="60"/>
      <c r="C141" s="43"/>
      <c r="D141" s="43"/>
      <c r="E141" s="43"/>
      <c r="F141" s="43"/>
      <c r="G141" s="43"/>
      <c r="H141" s="43"/>
      <c r="I141" s="43"/>
      <c r="J141" s="43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9"/>
    </row>
    <row r="142" spans="2:23" x14ac:dyDescent="0.25">
      <c r="B142" s="60"/>
      <c r="C142" s="43"/>
      <c r="D142" s="43"/>
      <c r="E142" s="43"/>
      <c r="F142" s="43"/>
      <c r="G142" s="43"/>
      <c r="H142" s="43"/>
      <c r="I142" s="43"/>
      <c r="J142" s="43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9"/>
    </row>
    <row r="143" spans="2:23" x14ac:dyDescent="0.25">
      <c r="B143" s="60"/>
      <c r="C143" s="43"/>
      <c r="D143" s="43"/>
      <c r="E143" s="43"/>
      <c r="F143" s="43"/>
      <c r="G143" s="43"/>
      <c r="H143" s="43"/>
      <c r="I143" s="43"/>
      <c r="J143" s="43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9"/>
    </row>
    <row r="144" spans="2:23" x14ac:dyDescent="0.25">
      <c r="B144" s="60"/>
      <c r="C144" s="43"/>
      <c r="D144" s="43"/>
      <c r="E144" s="43"/>
      <c r="F144" s="43"/>
      <c r="G144" s="43"/>
      <c r="H144" s="43"/>
      <c r="I144" s="43"/>
      <c r="J144" s="43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9"/>
    </row>
    <row r="145" spans="2:24" ht="15.75" thickBot="1" x14ac:dyDescent="0.3">
      <c r="B145" s="61"/>
      <c r="C145" s="62"/>
      <c r="D145" s="62"/>
      <c r="E145" s="62"/>
      <c r="F145" s="62"/>
      <c r="G145" s="62"/>
      <c r="H145" s="62"/>
      <c r="I145" s="62"/>
      <c r="J145" s="62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4"/>
    </row>
    <row r="147" spans="2:24" x14ac:dyDescent="0.25">
      <c r="B147" s="42"/>
      <c r="C147" s="43"/>
      <c r="D147" s="43"/>
      <c r="E147" s="43"/>
      <c r="F147" s="43"/>
      <c r="G147" s="43"/>
      <c r="H147" s="43"/>
      <c r="I147" s="43"/>
      <c r="J147" s="43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x14ac:dyDescent="0.25">
      <c r="B148" s="42"/>
      <c r="C148" s="43"/>
      <c r="D148" s="43"/>
      <c r="E148" s="43"/>
      <c r="F148" s="43"/>
      <c r="G148" s="43"/>
      <c r="H148" s="43"/>
      <c r="I148" s="43"/>
      <c r="J148" s="43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</row>
    <row r="149" spans="2:24" x14ac:dyDescent="0.25">
      <c r="B149" s="42"/>
      <c r="C149" s="43"/>
      <c r="D149" s="43"/>
      <c r="E149" s="43"/>
      <c r="F149" s="43"/>
      <c r="G149" s="43"/>
      <c r="H149" s="43"/>
      <c r="I149" s="43"/>
      <c r="J149" s="43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</row>
    <row r="150" spans="2:24" x14ac:dyDescent="0.25">
      <c r="B150" s="42"/>
      <c r="C150" s="43"/>
      <c r="D150" s="43"/>
      <c r="E150" s="43"/>
      <c r="F150" s="43"/>
      <c r="G150" s="43"/>
      <c r="H150" s="43"/>
      <c r="I150" s="43"/>
      <c r="J150" s="43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</row>
    <row r="151" spans="2:24" x14ac:dyDescent="0.25">
      <c r="B151" s="42"/>
      <c r="C151" s="43"/>
      <c r="D151" s="43"/>
      <c r="E151" s="43"/>
      <c r="F151" s="43"/>
      <c r="G151" s="43"/>
      <c r="H151" s="43"/>
      <c r="I151" s="43"/>
      <c r="J151" s="43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</row>
    <row r="152" spans="2:24" x14ac:dyDescent="0.25">
      <c r="B152" s="42"/>
      <c r="C152" s="43"/>
      <c r="D152" s="43"/>
      <c r="E152" s="43"/>
      <c r="F152" s="43"/>
      <c r="G152" s="43"/>
      <c r="H152" s="43"/>
      <c r="I152" s="43"/>
      <c r="J152" s="43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</row>
    <row r="153" spans="2:24" x14ac:dyDescent="0.25">
      <c r="B153" s="42"/>
      <c r="C153" s="43"/>
      <c r="D153" s="43"/>
      <c r="E153" s="43"/>
      <c r="F153" s="43"/>
      <c r="G153" s="43"/>
      <c r="H153" s="43"/>
      <c r="I153" s="43"/>
      <c r="J153" s="43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</row>
    <row r="154" spans="2:24" x14ac:dyDescent="0.25">
      <c r="B154" s="42"/>
      <c r="C154" s="43"/>
      <c r="D154" s="43"/>
      <c r="E154" s="43"/>
      <c r="F154" s="43"/>
      <c r="G154" s="43"/>
      <c r="H154" s="43"/>
      <c r="I154" s="43"/>
      <c r="J154" s="43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</row>
    <row r="155" spans="2:24" x14ac:dyDescent="0.25">
      <c r="B155" s="42"/>
      <c r="C155" s="43"/>
      <c r="D155" s="43"/>
      <c r="E155" s="43"/>
      <c r="F155" s="43"/>
      <c r="G155" s="43"/>
      <c r="H155" s="43"/>
      <c r="I155" s="43"/>
      <c r="J155" s="43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</row>
    <row r="156" spans="2:24" x14ac:dyDescent="0.25">
      <c r="B156" s="42"/>
      <c r="C156" s="43"/>
      <c r="D156" s="43"/>
      <c r="E156" s="43"/>
      <c r="F156" s="43"/>
      <c r="G156" s="43"/>
      <c r="H156" s="43"/>
      <c r="I156" s="43"/>
      <c r="J156" s="43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</row>
    <row r="157" spans="2:24" x14ac:dyDescent="0.25">
      <c r="B157" s="42"/>
      <c r="C157" s="43"/>
      <c r="D157" s="43"/>
      <c r="E157" s="43"/>
      <c r="F157" s="43"/>
      <c r="G157" s="43"/>
      <c r="H157" s="43"/>
      <c r="I157" s="43"/>
      <c r="J157" s="43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</row>
    <row r="158" spans="2:24" x14ac:dyDescent="0.25">
      <c r="B158" s="42"/>
      <c r="C158" s="43"/>
      <c r="D158" s="43"/>
      <c r="E158" s="43"/>
      <c r="F158" s="43"/>
      <c r="G158" s="43"/>
      <c r="H158" s="43"/>
      <c r="I158" s="43"/>
      <c r="J158" s="43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</row>
    <row r="159" spans="2:24" x14ac:dyDescent="0.25">
      <c r="B159" s="42"/>
      <c r="C159" s="43"/>
      <c r="D159" s="43"/>
      <c r="E159" s="43"/>
      <c r="F159" s="43"/>
      <c r="G159" s="43"/>
      <c r="H159" s="43"/>
      <c r="I159" s="43"/>
      <c r="J159" s="43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</row>
    <row r="160" spans="2:24" x14ac:dyDescent="0.25">
      <c r="B160" s="42"/>
      <c r="C160" s="43"/>
      <c r="D160" s="43"/>
      <c r="E160" s="43"/>
      <c r="F160" s="43"/>
      <c r="G160" s="43"/>
      <c r="H160" s="43"/>
      <c r="I160" s="43"/>
      <c r="J160" s="43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</row>
    <row r="161" spans="2:24" x14ac:dyDescent="0.25">
      <c r="B161" s="42"/>
      <c r="C161" s="43"/>
      <c r="D161" s="43"/>
      <c r="E161" s="43"/>
      <c r="F161" s="43"/>
      <c r="G161" s="43"/>
      <c r="H161" s="43"/>
      <c r="I161" s="43"/>
      <c r="J161" s="43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</row>
    <row r="162" spans="2:24" x14ac:dyDescent="0.25">
      <c r="B162" s="42"/>
      <c r="C162" s="43"/>
      <c r="D162" s="43"/>
      <c r="E162" s="43"/>
      <c r="F162" s="43"/>
      <c r="G162" s="43"/>
      <c r="H162" s="43"/>
      <c r="I162" s="43"/>
      <c r="J162" s="43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</row>
    <row r="163" spans="2:24" x14ac:dyDescent="0.25">
      <c r="B163" s="42"/>
      <c r="C163" s="43"/>
      <c r="D163" s="43"/>
      <c r="E163" s="43"/>
      <c r="F163" s="43"/>
      <c r="G163" s="43"/>
      <c r="H163" s="43"/>
      <c r="I163" s="43"/>
      <c r="J163" s="43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</row>
    <row r="164" spans="2:24" x14ac:dyDescent="0.25">
      <c r="B164" s="42"/>
      <c r="C164" s="43"/>
      <c r="D164" s="43"/>
      <c r="E164" s="43"/>
      <c r="F164" s="43"/>
      <c r="G164" s="43"/>
      <c r="H164" s="43"/>
      <c r="I164" s="43"/>
      <c r="J164" s="43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</row>
    <row r="165" spans="2:24" x14ac:dyDescent="0.25">
      <c r="B165" s="42"/>
      <c r="C165" s="43"/>
      <c r="D165" s="43"/>
      <c r="E165" s="43"/>
      <c r="F165" s="43"/>
      <c r="G165" s="43"/>
      <c r="H165" s="43"/>
      <c r="I165" s="43"/>
      <c r="J165" s="43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</row>
    <row r="166" spans="2:24" x14ac:dyDescent="0.25">
      <c r="B166" s="42"/>
      <c r="C166" s="43"/>
      <c r="D166" s="43"/>
      <c r="E166" s="43"/>
      <c r="F166" s="43"/>
      <c r="G166" s="43"/>
      <c r="H166" s="43"/>
      <c r="I166" s="43"/>
      <c r="J166" s="43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</row>
    <row r="167" spans="2:24" x14ac:dyDescent="0.25">
      <c r="B167" s="42"/>
      <c r="C167" s="43"/>
      <c r="D167" s="43"/>
      <c r="E167" s="43"/>
      <c r="F167" s="43"/>
      <c r="G167" s="43"/>
      <c r="H167" s="43"/>
      <c r="I167" s="43"/>
      <c r="J167" s="43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</row>
    <row r="168" spans="2:24" x14ac:dyDescent="0.25">
      <c r="B168" s="42"/>
      <c r="C168" s="43"/>
      <c r="D168" s="43"/>
      <c r="E168" s="43"/>
      <c r="F168" s="43"/>
      <c r="G168" s="43"/>
      <c r="H168" s="43"/>
      <c r="I168" s="43"/>
      <c r="J168" s="43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</row>
    <row r="169" spans="2:24" x14ac:dyDescent="0.25">
      <c r="B169" s="42"/>
      <c r="C169" s="43"/>
      <c r="D169" s="43"/>
      <c r="E169" s="43"/>
      <c r="F169" s="43"/>
      <c r="G169" s="43"/>
      <c r="H169" s="43"/>
      <c r="I169" s="43"/>
      <c r="J169" s="43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</row>
    <row r="170" spans="2:24" x14ac:dyDescent="0.25">
      <c r="B170" s="42"/>
      <c r="C170" s="43"/>
      <c r="D170" s="43"/>
      <c r="E170" s="43"/>
      <c r="F170" s="43"/>
      <c r="G170" s="43"/>
      <c r="H170" s="43"/>
      <c r="I170" s="43"/>
      <c r="J170" s="43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</row>
    <row r="171" spans="2:24" x14ac:dyDescent="0.25">
      <c r="B171" s="42"/>
      <c r="C171" s="43"/>
      <c r="D171" s="43"/>
      <c r="E171" s="43"/>
      <c r="F171" s="43"/>
      <c r="G171" s="43"/>
      <c r="H171" s="43"/>
      <c r="I171" s="43"/>
      <c r="J171" s="43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</row>
    <row r="172" spans="2:24" x14ac:dyDescent="0.25">
      <c r="B172" s="42"/>
      <c r="C172" s="43"/>
      <c r="D172" s="43"/>
      <c r="E172" s="43"/>
      <c r="F172" s="43"/>
      <c r="G172" s="43"/>
      <c r="H172" s="43"/>
      <c r="I172" s="43"/>
      <c r="J172" s="43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</row>
    <row r="173" spans="2:24" x14ac:dyDescent="0.25">
      <c r="B173" s="42"/>
      <c r="C173" s="43"/>
      <c r="D173" s="43"/>
      <c r="E173" s="43"/>
      <c r="F173" s="43"/>
      <c r="G173" s="43"/>
      <c r="H173" s="43"/>
      <c r="I173" s="43"/>
      <c r="J173" s="43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</row>
    <row r="174" spans="2:24" x14ac:dyDescent="0.25">
      <c r="B174" s="42"/>
      <c r="C174" s="43"/>
      <c r="D174" s="43"/>
      <c r="E174" s="43"/>
      <c r="F174" s="43"/>
      <c r="G174" s="43"/>
      <c r="H174" s="43"/>
      <c r="I174" s="43"/>
      <c r="J174" s="43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</row>
    <row r="175" spans="2:24" x14ac:dyDescent="0.25">
      <c r="B175" s="42"/>
      <c r="C175" s="43"/>
      <c r="D175" s="43"/>
      <c r="E175" s="43"/>
      <c r="F175" s="43"/>
      <c r="G175" s="43"/>
      <c r="H175" s="43"/>
      <c r="I175" s="43"/>
      <c r="J175" s="43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</row>
    <row r="176" spans="2:24" x14ac:dyDescent="0.25">
      <c r="B176" s="42"/>
      <c r="C176" s="43"/>
      <c r="D176" s="43"/>
      <c r="E176" s="43"/>
      <c r="F176" s="43"/>
      <c r="G176" s="43"/>
      <c r="H176" s="43"/>
      <c r="I176" s="43"/>
      <c r="J176" s="43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</row>
    <row r="177" spans="2:24" x14ac:dyDescent="0.25">
      <c r="B177" s="42"/>
      <c r="C177" s="43"/>
      <c r="D177" s="43"/>
      <c r="E177" s="43"/>
      <c r="F177" s="43"/>
      <c r="G177" s="43"/>
      <c r="H177" s="43"/>
      <c r="I177" s="43"/>
      <c r="J177" s="43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</row>
    <row r="178" spans="2:24" x14ac:dyDescent="0.25">
      <c r="B178" s="42"/>
      <c r="C178" s="43"/>
      <c r="D178" s="43"/>
      <c r="E178" s="43"/>
      <c r="F178" s="43"/>
      <c r="G178" s="43"/>
      <c r="H178" s="43"/>
      <c r="I178" s="43"/>
      <c r="J178" s="43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</row>
    <row r="179" spans="2:24" x14ac:dyDescent="0.25">
      <c r="B179" s="42"/>
      <c r="C179" s="43"/>
      <c r="D179" s="43"/>
      <c r="E179" s="43"/>
      <c r="F179" s="43"/>
      <c r="G179" s="43"/>
      <c r="H179" s="43"/>
      <c r="I179" s="43"/>
      <c r="J179" s="43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</row>
    <row r="180" spans="2:24" x14ac:dyDescent="0.25">
      <c r="B180" s="42"/>
      <c r="C180" s="43"/>
      <c r="D180" s="43"/>
      <c r="E180" s="43"/>
      <c r="F180" s="43"/>
      <c r="G180" s="43"/>
      <c r="H180" s="43"/>
      <c r="I180" s="43"/>
      <c r="J180" s="43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</row>
    <row r="181" spans="2:24" x14ac:dyDescent="0.25">
      <c r="B181" s="42"/>
      <c r="C181" s="43"/>
      <c r="D181" s="43"/>
      <c r="E181" s="43"/>
      <c r="F181" s="43"/>
      <c r="G181" s="43"/>
      <c r="H181" s="43"/>
      <c r="I181" s="43"/>
      <c r="J181" s="43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</row>
    <row r="182" spans="2:24" x14ac:dyDescent="0.25">
      <c r="B182" s="42"/>
      <c r="C182" s="43"/>
      <c r="D182" s="43"/>
      <c r="E182" s="43"/>
      <c r="F182" s="43"/>
      <c r="G182" s="43"/>
      <c r="H182" s="43"/>
      <c r="I182" s="43"/>
      <c r="J182" s="43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</row>
    <row r="183" spans="2:24" x14ac:dyDescent="0.25">
      <c r="B183" s="42"/>
      <c r="C183" s="43"/>
      <c r="D183" s="43"/>
      <c r="E183" s="43"/>
      <c r="F183" s="43"/>
      <c r="G183" s="43"/>
      <c r="H183" s="43"/>
      <c r="I183" s="43"/>
      <c r="J183" s="43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</row>
    <row r="184" spans="2:24" x14ac:dyDescent="0.25">
      <c r="B184" s="42"/>
      <c r="C184" s="43"/>
      <c r="D184" s="43"/>
      <c r="E184" s="43"/>
      <c r="F184" s="43"/>
      <c r="G184" s="43"/>
      <c r="H184" s="43"/>
      <c r="I184" s="43"/>
      <c r="J184" s="43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</row>
    <row r="185" spans="2:24" x14ac:dyDescent="0.25">
      <c r="B185" s="42"/>
      <c r="C185" s="43"/>
      <c r="D185" s="43"/>
      <c r="E185" s="43"/>
      <c r="F185" s="43"/>
      <c r="G185" s="43"/>
      <c r="H185" s="43"/>
      <c r="I185" s="43"/>
      <c r="J185" s="43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</row>
    <row r="186" spans="2:24" x14ac:dyDescent="0.25">
      <c r="B186" s="42"/>
      <c r="C186" s="43"/>
      <c r="D186" s="43"/>
      <c r="E186" s="43"/>
      <c r="F186" s="43"/>
      <c r="G186" s="43"/>
      <c r="H186" s="43"/>
      <c r="I186" s="43"/>
      <c r="J186" s="4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</row>
    <row r="187" spans="2:24" x14ac:dyDescent="0.25">
      <c r="B187" s="42"/>
      <c r="C187" s="43"/>
      <c r="D187" s="43"/>
      <c r="E187" s="43"/>
      <c r="F187" s="43"/>
      <c r="G187" s="43"/>
      <c r="H187" s="43"/>
      <c r="I187" s="43"/>
      <c r="J187" s="43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</row>
    <row r="188" spans="2:24" x14ac:dyDescent="0.25">
      <c r="B188" s="42"/>
      <c r="C188" s="43"/>
      <c r="D188" s="43"/>
      <c r="E188" s="43"/>
      <c r="F188" s="43"/>
      <c r="G188" s="43"/>
      <c r="H188" s="43"/>
      <c r="I188" s="43"/>
      <c r="J188" s="43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</row>
    <row r="189" spans="2:24" x14ac:dyDescent="0.25">
      <c r="B189" s="42"/>
      <c r="C189" s="43"/>
      <c r="D189" s="43"/>
      <c r="E189" s="43"/>
      <c r="F189" s="43"/>
      <c r="G189" s="43"/>
      <c r="H189" s="43"/>
      <c r="I189" s="43"/>
      <c r="J189" s="43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</row>
    <row r="190" spans="2:24" x14ac:dyDescent="0.25">
      <c r="B190" s="42"/>
      <c r="C190" s="43"/>
      <c r="D190" s="43"/>
      <c r="E190" s="43"/>
      <c r="F190" s="43"/>
      <c r="G190" s="43"/>
      <c r="H190" s="43"/>
      <c r="I190" s="43"/>
      <c r="J190" s="43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</row>
    <row r="191" spans="2:24" x14ac:dyDescent="0.25">
      <c r="B191" s="42"/>
      <c r="C191" s="43"/>
      <c r="D191" s="43"/>
      <c r="E191" s="43"/>
      <c r="F191" s="43"/>
      <c r="G191" s="43"/>
      <c r="H191" s="43"/>
      <c r="I191" s="43"/>
      <c r="J191" s="43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</row>
    <row r="192" spans="2:24" x14ac:dyDescent="0.25">
      <c r="B192" s="42"/>
      <c r="C192" s="43"/>
      <c r="D192" s="43"/>
      <c r="E192" s="43"/>
      <c r="F192" s="43"/>
      <c r="G192" s="43"/>
      <c r="H192" s="43"/>
      <c r="I192" s="43"/>
      <c r="J192" s="43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</row>
    <row r="193" spans="2:24" x14ac:dyDescent="0.25">
      <c r="B193" s="42"/>
      <c r="C193" s="43"/>
      <c r="D193" s="43"/>
      <c r="E193" s="43"/>
      <c r="F193" s="43"/>
      <c r="G193" s="43"/>
      <c r="H193" s="43"/>
      <c r="I193" s="43"/>
      <c r="J193" s="43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</row>
    <row r="194" spans="2:24" x14ac:dyDescent="0.25">
      <c r="B194" s="42"/>
      <c r="C194" s="43"/>
      <c r="D194" s="43"/>
      <c r="E194" s="43"/>
      <c r="F194" s="43"/>
      <c r="G194" s="43"/>
      <c r="H194" s="43"/>
      <c r="I194" s="43"/>
      <c r="J194" s="43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</row>
    <row r="195" spans="2:24" x14ac:dyDescent="0.25">
      <c r="B195" s="42"/>
      <c r="C195" s="43"/>
      <c r="D195" s="43"/>
      <c r="E195" s="43"/>
      <c r="F195" s="43"/>
      <c r="G195" s="43"/>
      <c r="H195" s="43"/>
      <c r="I195" s="43"/>
      <c r="J195" s="43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</row>
    <row r="196" spans="2:24" x14ac:dyDescent="0.25">
      <c r="B196" s="42"/>
      <c r="C196" s="43"/>
      <c r="D196" s="43"/>
      <c r="E196" s="43"/>
      <c r="F196" s="43"/>
      <c r="G196" s="43"/>
      <c r="H196" s="43"/>
      <c r="I196" s="43"/>
      <c r="J196" s="43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</row>
    <row r="197" spans="2:24" x14ac:dyDescent="0.25">
      <c r="B197" s="42"/>
      <c r="C197" s="43"/>
      <c r="D197" s="43"/>
      <c r="E197" s="43"/>
      <c r="F197" s="43"/>
      <c r="G197" s="43"/>
      <c r="H197" s="43"/>
      <c r="I197" s="43"/>
      <c r="J197" s="43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</row>
    <row r="198" spans="2:24" x14ac:dyDescent="0.25">
      <c r="B198" s="42"/>
      <c r="C198" s="43"/>
      <c r="D198" s="43"/>
      <c r="E198" s="43"/>
      <c r="F198" s="43"/>
      <c r="G198" s="43"/>
      <c r="H198" s="43"/>
      <c r="I198" s="43"/>
      <c r="J198" s="43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</row>
    <row r="199" spans="2:24" x14ac:dyDescent="0.25">
      <c r="B199" s="42"/>
      <c r="C199" s="43"/>
      <c r="D199" s="43"/>
      <c r="E199" s="43"/>
      <c r="F199" s="43"/>
      <c r="G199" s="43"/>
      <c r="H199" s="43"/>
      <c r="I199" s="43"/>
      <c r="J199" s="43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</row>
    <row r="200" spans="2:24" x14ac:dyDescent="0.25">
      <c r="B200" s="42"/>
      <c r="C200" s="43"/>
      <c r="D200" s="43"/>
      <c r="E200" s="43"/>
      <c r="F200" s="43"/>
      <c r="G200" s="43"/>
      <c r="H200" s="43"/>
      <c r="I200" s="43"/>
      <c r="J200" s="43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 spans="2:24" x14ac:dyDescent="0.25">
      <c r="B201" s="42"/>
      <c r="C201" s="43"/>
      <c r="D201" s="43"/>
      <c r="E201" s="43"/>
      <c r="F201" s="43"/>
      <c r="G201" s="43"/>
      <c r="H201" s="43"/>
      <c r="I201" s="43"/>
      <c r="J201" s="43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</row>
    <row r="202" spans="2:24" x14ac:dyDescent="0.25">
      <c r="B202" s="42"/>
      <c r="C202" s="43"/>
      <c r="D202" s="43"/>
      <c r="E202" s="43"/>
      <c r="F202" s="43"/>
      <c r="G202" s="43"/>
      <c r="H202" s="43"/>
      <c r="I202" s="43"/>
      <c r="J202" s="43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 spans="2:24" x14ac:dyDescent="0.25">
      <c r="B203" s="42"/>
      <c r="C203" s="43"/>
      <c r="D203" s="43"/>
      <c r="E203" s="43"/>
      <c r="F203" s="43"/>
      <c r="G203" s="43"/>
      <c r="H203" s="43"/>
      <c r="I203" s="43"/>
      <c r="J203" s="43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 spans="2:24" x14ac:dyDescent="0.25">
      <c r="B204" s="42"/>
      <c r="C204" s="43"/>
      <c r="D204" s="43"/>
      <c r="E204" s="43"/>
      <c r="F204" s="43"/>
      <c r="G204" s="43"/>
      <c r="H204" s="43"/>
      <c r="I204" s="43"/>
      <c r="J204" s="43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 spans="2:24" x14ac:dyDescent="0.25">
      <c r="B205" s="42"/>
      <c r="C205" s="43"/>
      <c r="D205" s="43"/>
      <c r="E205" s="43"/>
      <c r="F205" s="43"/>
      <c r="G205" s="43"/>
      <c r="H205" s="43"/>
      <c r="I205" s="43"/>
      <c r="J205" s="43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</row>
    <row r="206" spans="2:24" x14ac:dyDescent="0.25">
      <c r="B206" s="42"/>
      <c r="C206" s="43"/>
      <c r="D206" s="43"/>
      <c r="E206" s="43"/>
      <c r="F206" s="43"/>
      <c r="G206" s="43"/>
      <c r="H206" s="43"/>
      <c r="I206" s="43"/>
      <c r="J206" s="43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 spans="2:24" x14ac:dyDescent="0.25">
      <c r="B207" s="42"/>
      <c r="C207" s="43"/>
      <c r="D207" s="43"/>
      <c r="E207" s="43"/>
      <c r="F207" s="43"/>
      <c r="G207" s="43"/>
      <c r="H207" s="43"/>
      <c r="I207" s="43"/>
      <c r="J207" s="43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</row>
    <row r="208" spans="2:24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 spans="2:24" x14ac:dyDescent="0.25">
      <c r="B209" s="42"/>
      <c r="C209" s="43"/>
      <c r="D209" s="43"/>
      <c r="E209" s="43"/>
      <c r="F209" s="43"/>
      <c r="G209" s="43"/>
      <c r="H209" s="43"/>
      <c r="I209" s="43"/>
      <c r="J209" s="43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</row>
    <row r="210" spans="2:24" x14ac:dyDescent="0.25">
      <c r="B210" s="42"/>
      <c r="C210" s="43"/>
      <c r="D210" s="43"/>
      <c r="E210" s="43"/>
      <c r="F210" s="43"/>
      <c r="G210" s="43"/>
      <c r="H210" s="43"/>
      <c r="I210" s="43"/>
      <c r="J210" s="43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 spans="2:24" x14ac:dyDescent="0.25">
      <c r="B211" s="42"/>
      <c r="C211" s="43"/>
      <c r="D211" s="43"/>
      <c r="E211" s="43"/>
      <c r="F211" s="43"/>
      <c r="G211" s="43"/>
      <c r="H211" s="43"/>
      <c r="I211" s="43"/>
      <c r="J211" s="43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</row>
    <row r="212" spans="2:24" x14ac:dyDescent="0.25">
      <c r="B212" s="42"/>
      <c r="C212" s="43"/>
      <c r="D212" s="43"/>
      <c r="E212" s="43"/>
      <c r="F212" s="43"/>
      <c r="G212" s="43"/>
      <c r="H212" s="43"/>
      <c r="I212" s="43"/>
      <c r="J212" s="43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 spans="2:24" x14ac:dyDescent="0.25">
      <c r="B213" s="42"/>
      <c r="C213" s="43"/>
      <c r="D213" s="43"/>
      <c r="E213" s="43"/>
      <c r="F213" s="43"/>
      <c r="G213" s="43"/>
      <c r="H213" s="43"/>
      <c r="I213" s="43"/>
      <c r="J213" s="43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</row>
    <row r="214" spans="2:24" x14ac:dyDescent="0.25">
      <c r="B214" s="42"/>
      <c r="C214" s="43"/>
      <c r="D214" s="43"/>
      <c r="E214" s="43"/>
      <c r="F214" s="43"/>
      <c r="G214" s="43"/>
      <c r="H214" s="43"/>
      <c r="I214" s="43"/>
      <c r="J214" s="43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 spans="2:24" x14ac:dyDescent="0.25">
      <c r="B215" s="42"/>
      <c r="C215" s="43"/>
      <c r="D215" s="43"/>
      <c r="E215" s="43"/>
      <c r="F215" s="43"/>
      <c r="G215" s="43"/>
      <c r="H215" s="43"/>
      <c r="I215" s="43"/>
      <c r="J215" s="43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</row>
    <row r="216" spans="2:24" x14ac:dyDescent="0.25">
      <c r="B216" s="42"/>
      <c r="C216" s="43"/>
      <c r="D216" s="43"/>
      <c r="E216" s="43"/>
      <c r="F216" s="43"/>
      <c r="G216" s="43"/>
      <c r="H216" s="43"/>
      <c r="I216" s="43"/>
      <c r="J216" s="43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 spans="2:24" x14ac:dyDescent="0.25">
      <c r="B217" s="42"/>
      <c r="C217" s="43"/>
      <c r="D217" s="43"/>
      <c r="E217" s="43"/>
      <c r="F217" s="43"/>
      <c r="G217" s="43"/>
      <c r="H217" s="43"/>
      <c r="I217" s="43"/>
      <c r="J217" s="43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</row>
    <row r="218" spans="2:24" x14ac:dyDescent="0.25">
      <c r="B218" s="42"/>
      <c r="C218" s="43"/>
      <c r="D218" s="43"/>
      <c r="E218" s="43"/>
      <c r="F218" s="43"/>
      <c r="G218" s="43"/>
      <c r="H218" s="43"/>
      <c r="I218" s="43"/>
      <c r="J218" s="43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</row>
    <row r="219" spans="2:24" x14ac:dyDescent="0.25">
      <c r="B219" s="42"/>
      <c r="C219" s="43"/>
      <c r="D219" s="43"/>
      <c r="E219" s="43"/>
      <c r="F219" s="43"/>
      <c r="G219" s="43"/>
      <c r="H219" s="43"/>
      <c r="I219" s="43"/>
      <c r="J219" s="43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</row>
    <row r="220" spans="2:24" x14ac:dyDescent="0.25">
      <c r="B220" s="42"/>
      <c r="C220" s="43"/>
      <c r="D220" s="43"/>
      <c r="E220" s="43"/>
      <c r="F220" s="43"/>
      <c r="G220" s="43"/>
      <c r="H220" s="43"/>
      <c r="I220" s="43"/>
      <c r="J220" s="43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</row>
    <row r="221" spans="2:24" x14ac:dyDescent="0.25">
      <c r="B221" s="42"/>
      <c r="C221" s="43"/>
      <c r="D221" s="43"/>
      <c r="E221" s="43"/>
      <c r="F221" s="43"/>
      <c r="G221" s="43"/>
      <c r="H221" s="43"/>
      <c r="I221" s="43"/>
      <c r="J221" s="43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</row>
    <row r="222" spans="2:24" x14ac:dyDescent="0.25">
      <c r="B222" s="42"/>
      <c r="C222" s="43"/>
      <c r="D222" s="43"/>
      <c r="E222" s="43"/>
      <c r="F222" s="43"/>
      <c r="G222" s="43"/>
      <c r="H222" s="43"/>
      <c r="I222" s="43"/>
      <c r="J222" s="43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</row>
    <row r="223" spans="2:24" x14ac:dyDescent="0.25">
      <c r="B223" s="42"/>
      <c r="C223" s="43"/>
      <c r="D223" s="43"/>
      <c r="E223" s="43"/>
      <c r="F223" s="43"/>
      <c r="G223" s="43"/>
      <c r="H223" s="43"/>
      <c r="I223" s="43"/>
      <c r="J223" s="43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</row>
    <row r="224" spans="2:24" x14ac:dyDescent="0.25">
      <c r="B224" s="42"/>
      <c r="C224" s="43"/>
      <c r="D224" s="43"/>
      <c r="E224" s="43"/>
      <c r="F224" s="43"/>
      <c r="G224" s="43"/>
      <c r="H224" s="43"/>
      <c r="I224" s="43"/>
      <c r="J224" s="43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</row>
    <row r="225" spans="2:24" x14ac:dyDescent="0.25">
      <c r="B225" s="42"/>
      <c r="C225" s="43"/>
      <c r="D225" s="43"/>
      <c r="E225" s="43"/>
      <c r="F225" s="43"/>
      <c r="G225" s="43"/>
      <c r="H225" s="43"/>
      <c r="I225" s="43"/>
      <c r="J225" s="43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</row>
    <row r="226" spans="2:24" x14ac:dyDescent="0.25">
      <c r="B226" s="42"/>
      <c r="C226" s="43"/>
      <c r="D226" s="43"/>
      <c r="E226" s="43"/>
      <c r="F226" s="43"/>
      <c r="G226" s="43"/>
      <c r="H226" s="43"/>
      <c r="I226" s="43"/>
      <c r="J226" s="43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</row>
    <row r="227" spans="2:24" x14ac:dyDescent="0.25">
      <c r="B227" s="42"/>
      <c r="C227" s="43"/>
      <c r="D227" s="43"/>
      <c r="E227" s="43"/>
      <c r="F227" s="43"/>
      <c r="G227" s="43"/>
      <c r="H227" s="43"/>
      <c r="I227" s="43"/>
      <c r="J227" s="43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</row>
    <row r="228" spans="2:24" x14ac:dyDescent="0.25">
      <c r="B228" s="42"/>
      <c r="C228" s="43"/>
      <c r="D228" s="43"/>
      <c r="E228" s="43"/>
      <c r="F228" s="43"/>
      <c r="G228" s="43"/>
      <c r="H228" s="43"/>
      <c r="I228" s="43"/>
      <c r="J228" s="43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</row>
    <row r="229" spans="2:24" x14ac:dyDescent="0.25">
      <c r="B229" s="42"/>
      <c r="C229" s="43"/>
      <c r="D229" s="43"/>
      <c r="E229" s="43"/>
      <c r="F229" s="43"/>
      <c r="G229" s="43"/>
      <c r="H229" s="43"/>
      <c r="I229" s="43"/>
      <c r="J229" s="43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</row>
    <row r="230" spans="2:24" x14ac:dyDescent="0.25">
      <c r="B230" s="42"/>
      <c r="C230" s="43"/>
      <c r="D230" s="43"/>
      <c r="E230" s="43"/>
      <c r="F230" s="43"/>
      <c r="G230" s="43"/>
      <c r="H230" s="43"/>
      <c r="I230" s="43"/>
      <c r="J230" s="43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</row>
    <row r="231" spans="2:24" x14ac:dyDescent="0.25">
      <c r="B231" s="42"/>
      <c r="C231" s="43"/>
      <c r="D231" s="43"/>
      <c r="E231" s="43"/>
      <c r="F231" s="43"/>
      <c r="G231" s="43"/>
      <c r="H231" s="43"/>
      <c r="I231" s="43"/>
      <c r="J231" s="43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</row>
    <row r="232" spans="2:24" x14ac:dyDescent="0.25">
      <c r="B232" s="42"/>
      <c r="C232" s="43"/>
      <c r="D232" s="43"/>
      <c r="E232" s="43"/>
      <c r="F232" s="43"/>
      <c r="G232" s="43"/>
      <c r="H232" s="43"/>
      <c r="I232" s="43"/>
      <c r="J232" s="43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</row>
    <row r="233" spans="2:24" x14ac:dyDescent="0.25">
      <c r="B233" s="42"/>
      <c r="C233" s="43"/>
      <c r="D233" s="43"/>
      <c r="E233" s="43"/>
      <c r="F233" s="43"/>
      <c r="G233" s="43"/>
      <c r="H233" s="43"/>
      <c r="I233" s="43"/>
      <c r="J233" s="43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</row>
    <row r="234" spans="2:24" x14ac:dyDescent="0.25">
      <c r="B234" s="42"/>
      <c r="C234" s="43"/>
      <c r="D234" s="43"/>
      <c r="E234" s="43"/>
      <c r="F234" s="43"/>
      <c r="G234" s="43"/>
      <c r="H234" s="43"/>
      <c r="I234" s="43"/>
      <c r="J234" s="43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</row>
    <row r="235" spans="2:24" x14ac:dyDescent="0.25">
      <c r="B235" s="42"/>
      <c r="C235" s="43"/>
      <c r="D235" s="43"/>
      <c r="E235" s="43"/>
      <c r="F235" s="43"/>
      <c r="G235" s="43"/>
      <c r="H235" s="43"/>
      <c r="I235" s="43"/>
      <c r="J235" s="43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</row>
    <row r="236" spans="2:24" x14ac:dyDescent="0.25">
      <c r="B236" s="42"/>
      <c r="C236" s="43"/>
      <c r="D236" s="43"/>
      <c r="E236" s="43"/>
      <c r="F236" s="43"/>
      <c r="G236" s="43"/>
      <c r="H236" s="43"/>
      <c r="I236" s="43"/>
      <c r="J236" s="43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</row>
    <row r="237" spans="2:24" x14ac:dyDescent="0.25">
      <c r="B237" s="42"/>
      <c r="C237" s="43"/>
      <c r="D237" s="43"/>
      <c r="E237" s="43"/>
      <c r="F237" s="43"/>
      <c r="G237" s="43"/>
      <c r="H237" s="43"/>
      <c r="I237" s="43"/>
      <c r="J237" s="43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</row>
    <row r="238" spans="2:24" x14ac:dyDescent="0.25">
      <c r="B238" s="42"/>
      <c r="C238" s="43"/>
      <c r="D238" s="43"/>
      <c r="E238" s="43"/>
      <c r="F238" s="43"/>
      <c r="G238" s="43"/>
      <c r="H238" s="43"/>
      <c r="I238" s="43"/>
      <c r="J238" s="43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</row>
    <row r="239" spans="2:24" x14ac:dyDescent="0.25">
      <c r="B239" s="42"/>
      <c r="C239" s="43"/>
      <c r="D239" s="43"/>
      <c r="E239" s="43"/>
      <c r="F239" s="43"/>
      <c r="G239" s="43"/>
      <c r="H239" s="43"/>
      <c r="I239" s="43"/>
      <c r="J239" s="43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</row>
    <row r="240" spans="2:24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</row>
    <row r="241" spans="2:24" x14ac:dyDescent="0.25">
      <c r="B241" s="42"/>
      <c r="C241" s="43"/>
      <c r="D241" s="43"/>
      <c r="E241" s="43"/>
      <c r="F241" s="43"/>
      <c r="G241" s="43"/>
      <c r="H241" s="43"/>
      <c r="I241" s="43"/>
      <c r="J241" s="43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</row>
    <row r="242" spans="2:24" x14ac:dyDescent="0.25">
      <c r="B242" s="42"/>
      <c r="C242" s="43"/>
      <c r="D242" s="43"/>
      <c r="E242" s="43"/>
      <c r="F242" s="43"/>
      <c r="G242" s="43"/>
      <c r="H242" s="43"/>
      <c r="I242" s="43"/>
      <c r="J242" s="43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</row>
    <row r="243" spans="2:24" x14ac:dyDescent="0.25">
      <c r="B243" s="42"/>
      <c r="C243" s="43"/>
      <c r="D243" s="43"/>
      <c r="E243" s="43"/>
      <c r="F243" s="43"/>
      <c r="G243" s="43"/>
      <c r="H243" s="43"/>
      <c r="I243" s="43"/>
      <c r="J243" s="43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</row>
    <row r="244" spans="2:24" x14ac:dyDescent="0.25">
      <c r="B244" s="42"/>
      <c r="C244" s="43"/>
      <c r="D244" s="43"/>
      <c r="E244" s="43"/>
      <c r="F244" s="43"/>
      <c r="G244" s="43"/>
      <c r="H244" s="43"/>
      <c r="I244" s="43"/>
      <c r="J244" s="43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</row>
    <row r="245" spans="2:24" x14ac:dyDescent="0.25">
      <c r="B245" s="42"/>
      <c r="C245" s="43"/>
      <c r="D245" s="43"/>
      <c r="E245" s="43"/>
      <c r="F245" s="43"/>
      <c r="G245" s="43"/>
      <c r="H245" s="43"/>
      <c r="I245" s="43"/>
      <c r="J245" s="43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</row>
    <row r="246" spans="2:24" x14ac:dyDescent="0.25">
      <c r="B246" s="42"/>
      <c r="C246" s="43"/>
      <c r="D246" s="43"/>
      <c r="E246" s="43"/>
      <c r="F246" s="43"/>
      <c r="G246" s="43"/>
      <c r="H246" s="43"/>
      <c r="I246" s="43"/>
      <c r="J246" s="43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</row>
    <row r="247" spans="2:24" x14ac:dyDescent="0.25">
      <c r="B247" s="42"/>
      <c r="C247" s="43"/>
      <c r="D247" s="43"/>
      <c r="E247" s="43"/>
      <c r="F247" s="43"/>
      <c r="G247" s="43"/>
      <c r="H247" s="43"/>
      <c r="I247" s="43"/>
      <c r="J247" s="43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</row>
    <row r="248" spans="2:24" x14ac:dyDescent="0.25">
      <c r="B248" s="42"/>
      <c r="C248" s="43"/>
      <c r="D248" s="43"/>
      <c r="E248" s="43"/>
      <c r="F248" s="43"/>
      <c r="G248" s="43"/>
      <c r="H248" s="43"/>
      <c r="I248" s="43"/>
      <c r="J248" s="43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</row>
    <row r="249" spans="2:24" x14ac:dyDescent="0.25">
      <c r="B249" s="42"/>
      <c r="C249" s="43"/>
      <c r="D249" s="43"/>
      <c r="E249" s="43"/>
      <c r="F249" s="43"/>
      <c r="G249" s="43"/>
      <c r="H249" s="43"/>
      <c r="I249" s="43"/>
      <c r="J249" s="43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</row>
    <row r="250" spans="2:24" x14ac:dyDescent="0.25">
      <c r="B250" s="42"/>
      <c r="C250" s="43"/>
      <c r="D250" s="43"/>
      <c r="E250" s="43"/>
      <c r="F250" s="43"/>
      <c r="G250" s="43"/>
      <c r="H250" s="43"/>
      <c r="I250" s="43"/>
      <c r="J250" s="43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</row>
    <row r="251" spans="2:24" x14ac:dyDescent="0.25">
      <c r="B251" s="42"/>
      <c r="C251" s="43"/>
      <c r="D251" s="43"/>
      <c r="E251" s="43"/>
      <c r="F251" s="43"/>
      <c r="G251" s="43"/>
      <c r="H251" s="43"/>
      <c r="I251" s="43"/>
      <c r="J251" s="43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</row>
    <row r="252" spans="2:24" x14ac:dyDescent="0.25">
      <c r="B252" s="42"/>
      <c r="C252" s="43"/>
      <c r="D252" s="43"/>
      <c r="E252" s="43"/>
      <c r="F252" s="43"/>
      <c r="G252" s="43"/>
      <c r="H252" s="43"/>
      <c r="I252" s="43"/>
      <c r="J252" s="43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</row>
    <row r="253" spans="2:24" x14ac:dyDescent="0.25">
      <c r="B253" s="42"/>
      <c r="C253" s="43"/>
      <c r="D253" s="43"/>
      <c r="E253" s="43"/>
      <c r="F253" s="43"/>
      <c r="G253" s="43"/>
      <c r="H253" s="43"/>
      <c r="I253" s="43"/>
      <c r="J253" s="43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</row>
    <row r="254" spans="2:24" x14ac:dyDescent="0.25">
      <c r="B254" s="42"/>
      <c r="C254" s="43"/>
      <c r="D254" s="43"/>
      <c r="E254" s="43"/>
      <c r="F254" s="43"/>
      <c r="G254" s="43"/>
      <c r="H254" s="43"/>
      <c r="I254" s="43"/>
      <c r="J254" s="43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 spans="2:24" x14ac:dyDescent="0.25">
      <c r="B255" s="42"/>
      <c r="C255" s="43"/>
      <c r="D255" s="43"/>
      <c r="E255" s="43"/>
      <c r="F255" s="43"/>
      <c r="G255" s="43"/>
      <c r="H255" s="43"/>
      <c r="I255" s="43"/>
      <c r="J255" s="43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 spans="2:24" x14ac:dyDescent="0.25">
      <c r="B256" s="42"/>
      <c r="C256" s="43"/>
      <c r="D256" s="43"/>
      <c r="E256" s="43"/>
      <c r="F256" s="43"/>
      <c r="G256" s="43"/>
      <c r="H256" s="43"/>
      <c r="I256" s="43"/>
      <c r="J256" s="43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 spans="2:24" x14ac:dyDescent="0.25">
      <c r="B257" s="42"/>
      <c r="C257" s="43"/>
      <c r="D257" s="43"/>
      <c r="E257" s="43"/>
      <c r="F257" s="43"/>
      <c r="G257" s="43"/>
      <c r="H257" s="43"/>
      <c r="I257" s="43"/>
      <c r="J257" s="43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 spans="2:24" x14ac:dyDescent="0.25">
      <c r="B258" s="42"/>
      <c r="C258" s="43"/>
      <c r="D258" s="43"/>
      <c r="E258" s="43"/>
      <c r="F258" s="43"/>
      <c r="G258" s="43"/>
      <c r="H258" s="43"/>
      <c r="I258" s="43"/>
      <c r="J258" s="43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 spans="2:24" x14ac:dyDescent="0.25">
      <c r="B259" s="42"/>
      <c r="C259" s="43"/>
      <c r="D259" s="43"/>
      <c r="E259" s="43"/>
      <c r="F259" s="43"/>
      <c r="G259" s="43"/>
      <c r="H259" s="43"/>
      <c r="I259" s="43"/>
      <c r="J259" s="43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 spans="2:24" x14ac:dyDescent="0.25">
      <c r="B260" s="42"/>
      <c r="C260" s="43"/>
      <c r="D260" s="43"/>
      <c r="E260" s="43"/>
      <c r="F260" s="43"/>
      <c r="G260" s="43"/>
      <c r="H260" s="43"/>
      <c r="I260" s="43"/>
      <c r="J260" s="43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</row>
    <row r="261" spans="2:24" x14ac:dyDescent="0.25">
      <c r="B261" s="42"/>
      <c r="C261" s="43"/>
      <c r="D261" s="43"/>
      <c r="E261" s="43"/>
      <c r="F261" s="43"/>
      <c r="G261" s="43"/>
      <c r="H261" s="43"/>
      <c r="I261" s="43"/>
      <c r="J261" s="43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</row>
    <row r="262" spans="2:24" x14ac:dyDescent="0.25">
      <c r="B262" s="42"/>
      <c r="C262" s="43"/>
      <c r="D262" s="43"/>
      <c r="E262" s="43"/>
      <c r="F262" s="43"/>
      <c r="G262" s="43"/>
      <c r="H262" s="43"/>
      <c r="I262" s="43"/>
      <c r="J262" s="43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</row>
    <row r="263" spans="2:24" x14ac:dyDescent="0.25">
      <c r="B263" s="42"/>
      <c r="C263" s="43"/>
      <c r="D263" s="43"/>
      <c r="E263" s="43"/>
      <c r="F263" s="43"/>
      <c r="G263" s="43"/>
      <c r="H263" s="43"/>
      <c r="I263" s="43"/>
      <c r="J263" s="43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</row>
    <row r="264" spans="2:24" x14ac:dyDescent="0.25">
      <c r="B264" s="42"/>
      <c r="C264" s="43"/>
      <c r="D264" s="43"/>
      <c r="E264" s="43"/>
      <c r="F264" s="43"/>
      <c r="G264" s="43"/>
      <c r="H264" s="43"/>
      <c r="I264" s="43"/>
      <c r="J264" s="43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</row>
    <row r="265" spans="2:24" x14ac:dyDescent="0.25">
      <c r="B265" s="42"/>
      <c r="C265" s="43"/>
      <c r="D265" s="43"/>
      <c r="E265" s="43"/>
      <c r="F265" s="43"/>
      <c r="G265" s="43"/>
      <c r="H265" s="43"/>
      <c r="I265" s="43"/>
      <c r="J265" s="43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</row>
    <row r="266" spans="2:24" x14ac:dyDescent="0.25">
      <c r="B266" s="42"/>
      <c r="C266" s="43"/>
      <c r="D266" s="43"/>
      <c r="E266" s="43"/>
      <c r="F266" s="43"/>
      <c r="G266" s="43"/>
      <c r="H266" s="43"/>
      <c r="I266" s="43"/>
      <c r="J266" s="43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</row>
    <row r="267" spans="2:24" x14ac:dyDescent="0.25">
      <c r="B267" s="42"/>
      <c r="C267" s="43"/>
      <c r="D267" s="43"/>
      <c r="E267" s="43"/>
      <c r="F267" s="43"/>
      <c r="G267" s="43"/>
      <c r="H267" s="43"/>
      <c r="I267" s="43"/>
      <c r="J267" s="43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</row>
    <row r="268" spans="2:24" x14ac:dyDescent="0.25">
      <c r="B268" s="42"/>
      <c r="C268" s="43"/>
      <c r="D268" s="43"/>
      <c r="E268" s="43"/>
      <c r="F268" s="43"/>
      <c r="G268" s="43"/>
      <c r="H268" s="43"/>
      <c r="I268" s="43"/>
      <c r="J268" s="43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</row>
    <row r="269" spans="2:24" x14ac:dyDescent="0.25">
      <c r="B269" s="42"/>
      <c r="C269" s="43"/>
      <c r="D269" s="43"/>
      <c r="E269" s="43"/>
      <c r="F269" s="43"/>
      <c r="G269" s="43"/>
      <c r="H269" s="43"/>
      <c r="I269" s="43"/>
      <c r="J269" s="43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</row>
    <row r="270" spans="2:24" x14ac:dyDescent="0.25">
      <c r="B270" s="42"/>
      <c r="C270" s="43"/>
      <c r="D270" s="43"/>
      <c r="E270" s="43"/>
      <c r="F270" s="43"/>
      <c r="G270" s="43"/>
      <c r="H270" s="43"/>
      <c r="I270" s="43"/>
      <c r="J270" s="43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</row>
    <row r="271" spans="2:24" x14ac:dyDescent="0.25">
      <c r="B271" s="42"/>
      <c r="C271" s="43"/>
      <c r="D271" s="43"/>
      <c r="E271" s="43"/>
      <c r="F271" s="43"/>
      <c r="G271" s="43"/>
      <c r="H271" s="43"/>
      <c r="I271" s="43"/>
      <c r="J271" s="43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</row>
    <row r="272" spans="2:24" x14ac:dyDescent="0.25">
      <c r="B272" s="42"/>
      <c r="C272" s="43"/>
      <c r="D272" s="43"/>
      <c r="E272" s="43"/>
      <c r="F272" s="43"/>
      <c r="G272" s="43"/>
      <c r="H272" s="43"/>
      <c r="I272" s="43"/>
      <c r="J272" s="43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</row>
    <row r="273" spans="2:24" x14ac:dyDescent="0.25">
      <c r="B273" s="42"/>
      <c r="C273" s="43"/>
      <c r="D273" s="43"/>
      <c r="E273" s="43"/>
      <c r="F273" s="43"/>
      <c r="G273" s="43"/>
      <c r="H273" s="43"/>
      <c r="I273" s="43"/>
      <c r="J273" s="43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</row>
  </sheetData>
  <mergeCells count="18">
    <mergeCell ref="I16:I17"/>
    <mergeCell ref="J16:J17"/>
    <mergeCell ref="G2:G3"/>
    <mergeCell ref="H2:H3"/>
    <mergeCell ref="I2:I3"/>
    <mergeCell ref="J2:J3"/>
    <mergeCell ref="G16:G17"/>
    <mergeCell ref="H16:H17"/>
    <mergeCell ref="B16:B17"/>
    <mergeCell ref="C16:C17"/>
    <mergeCell ref="D16:D17"/>
    <mergeCell ref="E16:E17"/>
    <mergeCell ref="F16:F17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2019-09-13T20:32:08Z</cp:lastPrinted>
  <dcterms:created xsi:type="dcterms:W3CDTF">2015-06-16T16:58:48Z</dcterms:created>
  <dcterms:modified xsi:type="dcterms:W3CDTF">2024-02-22T00:04:51Z</dcterms:modified>
</cp:coreProperties>
</file>