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18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Data'!$B$4:$Q$277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5" i="9"/>
  <c r="E19" i="9" l="1"/>
  <c r="M241" i="1"/>
  <c r="K241" i="1"/>
  <c r="M240" i="1"/>
  <c r="K240" i="1"/>
  <c r="M239" i="1"/>
  <c r="K239" i="1"/>
  <c r="M238" i="1"/>
  <c r="K238" i="1"/>
  <c r="M237" i="1"/>
  <c r="K237" i="1"/>
  <c r="M236" i="1"/>
  <c r="K236" i="1"/>
  <c r="L235" i="1"/>
  <c r="M235" i="1" s="1"/>
  <c r="K235" i="1"/>
  <c r="M234" i="1"/>
  <c r="K234" i="1"/>
  <c r="M233" i="1"/>
  <c r="K233" i="1"/>
  <c r="M232" i="1"/>
  <c r="L232" i="1"/>
  <c r="K232" i="1"/>
  <c r="M231" i="1"/>
  <c r="K231" i="1"/>
  <c r="M230" i="1"/>
  <c r="K230" i="1"/>
  <c r="M229" i="1"/>
  <c r="K229" i="1"/>
  <c r="L228" i="1"/>
  <c r="M228" i="1" s="1"/>
  <c r="K228" i="1"/>
  <c r="M227" i="1"/>
  <c r="K227" i="1"/>
  <c r="M226" i="1"/>
  <c r="K226" i="1"/>
  <c r="M225" i="1"/>
  <c r="K225" i="1"/>
  <c r="M224" i="1"/>
  <c r="L224" i="1"/>
  <c r="K224" i="1"/>
  <c r="M223" i="1"/>
  <c r="K223" i="1"/>
  <c r="M222" i="1"/>
  <c r="K222" i="1"/>
  <c r="J222" i="1"/>
  <c r="M221" i="1"/>
  <c r="K221" i="1"/>
  <c r="M220" i="1"/>
  <c r="L220" i="1"/>
  <c r="K220" i="1"/>
  <c r="M219" i="1"/>
  <c r="K219" i="1"/>
  <c r="M218" i="1"/>
  <c r="K218" i="1"/>
  <c r="M217" i="1"/>
  <c r="K217" i="1"/>
  <c r="L216" i="1"/>
  <c r="M216" i="1" s="1"/>
  <c r="K216" i="1"/>
  <c r="M215" i="1"/>
  <c r="K215" i="1"/>
  <c r="M214" i="1"/>
  <c r="J214" i="1"/>
  <c r="K214" i="1" s="1"/>
  <c r="M213" i="1"/>
  <c r="K213" i="1"/>
  <c r="M212" i="1"/>
  <c r="K212" i="1"/>
  <c r="M211" i="1"/>
  <c r="K211" i="1"/>
  <c r="M210" i="1"/>
  <c r="K210" i="1"/>
  <c r="J210" i="1"/>
  <c r="M209" i="1"/>
  <c r="K209" i="1"/>
  <c r="M208" i="1"/>
  <c r="K208" i="1"/>
  <c r="M207" i="1"/>
  <c r="K207" i="1"/>
  <c r="M206" i="1"/>
  <c r="K206" i="1"/>
  <c r="M205" i="1"/>
  <c r="K205" i="1"/>
  <c r="M204" i="1"/>
  <c r="K204" i="1"/>
  <c r="L203" i="1"/>
  <c r="M203" i="1" s="1"/>
  <c r="K203" i="1"/>
  <c r="J203" i="1"/>
  <c r="M202" i="1"/>
  <c r="K202" i="1"/>
  <c r="M201" i="1"/>
  <c r="K201" i="1"/>
  <c r="L200" i="1"/>
  <c r="M200" i="1" s="1"/>
  <c r="K200" i="1"/>
  <c r="M199" i="1"/>
  <c r="K199" i="1"/>
  <c r="M198" i="1"/>
  <c r="K198" i="1"/>
  <c r="L197" i="1"/>
  <c r="M197" i="1" s="1"/>
  <c r="K197" i="1"/>
  <c r="M196" i="1"/>
  <c r="K196" i="1"/>
  <c r="L195" i="1"/>
  <c r="M195" i="1" s="1"/>
  <c r="K195" i="1"/>
  <c r="M194" i="1"/>
  <c r="K194" i="1"/>
  <c r="J194" i="1"/>
  <c r="M193" i="1"/>
  <c r="K193" i="1"/>
  <c r="M192" i="1"/>
  <c r="K192" i="1"/>
  <c r="L191" i="1"/>
  <c r="M191" i="1" s="1"/>
  <c r="K191" i="1"/>
  <c r="M190" i="1"/>
  <c r="K190" i="1"/>
  <c r="M189" i="1"/>
  <c r="K189" i="1"/>
  <c r="J189" i="1"/>
  <c r="M188" i="1"/>
  <c r="K188" i="1"/>
  <c r="M187" i="1"/>
  <c r="J187" i="1"/>
  <c r="K187" i="1" s="1"/>
  <c r="L186" i="1"/>
  <c r="M186" i="1" s="1"/>
  <c r="K186" i="1"/>
  <c r="M185" i="1"/>
  <c r="K185" i="1"/>
  <c r="M184" i="1"/>
  <c r="K184" i="1"/>
  <c r="L183" i="1"/>
  <c r="M183" i="1" s="1"/>
  <c r="K183" i="1"/>
  <c r="M182" i="1"/>
  <c r="K182" i="1"/>
  <c r="M181" i="1"/>
  <c r="K181" i="1"/>
  <c r="M180" i="1"/>
  <c r="K180" i="1"/>
  <c r="M179" i="1"/>
  <c r="K179" i="1"/>
  <c r="J178" i="1"/>
  <c r="I178" i="1"/>
  <c r="M178" i="1" s="1"/>
  <c r="M177" i="1"/>
  <c r="K177" i="1"/>
  <c r="M176" i="1"/>
  <c r="K176" i="1"/>
  <c r="J175" i="1"/>
  <c r="I175" i="1"/>
  <c r="M175" i="1" s="1"/>
  <c r="M174" i="1"/>
  <c r="K174" i="1"/>
  <c r="M173" i="1"/>
  <c r="K173" i="1"/>
  <c r="J173" i="1"/>
  <c r="M172" i="1"/>
  <c r="J172" i="1"/>
  <c r="K172" i="1" s="1"/>
  <c r="M171" i="1"/>
  <c r="K171" i="1"/>
  <c r="J171" i="1"/>
  <c r="M170" i="1"/>
  <c r="J170" i="1"/>
  <c r="K170" i="1" s="1"/>
  <c r="M169" i="1"/>
  <c r="K169" i="1"/>
  <c r="J169" i="1"/>
  <c r="L168" i="1"/>
  <c r="M168" i="1" s="1"/>
  <c r="K168" i="1"/>
  <c r="J168" i="1"/>
  <c r="L167" i="1"/>
  <c r="M167" i="1" s="1"/>
  <c r="K167" i="1"/>
  <c r="M166" i="1"/>
  <c r="K166" i="1"/>
  <c r="M165" i="1"/>
  <c r="K165" i="1"/>
  <c r="M164" i="1"/>
  <c r="K164" i="1"/>
  <c r="M163" i="1"/>
  <c r="K163" i="1"/>
  <c r="M162" i="1"/>
  <c r="K162" i="1"/>
  <c r="L161" i="1"/>
  <c r="M161" i="1" s="1"/>
  <c r="K161" i="1"/>
  <c r="M160" i="1"/>
  <c r="K160" i="1"/>
  <c r="M159" i="1"/>
  <c r="K159" i="1"/>
  <c r="M158" i="1"/>
  <c r="K158" i="1"/>
  <c r="M157" i="1"/>
  <c r="K157" i="1"/>
  <c r="M156" i="1"/>
  <c r="K156" i="1"/>
  <c r="M155" i="1"/>
  <c r="K155" i="1"/>
  <c r="M154" i="1"/>
  <c r="L154" i="1"/>
  <c r="K154" i="1"/>
  <c r="L153" i="1"/>
  <c r="M153" i="1" s="1"/>
  <c r="K153" i="1"/>
  <c r="M152" i="1"/>
  <c r="K152" i="1"/>
  <c r="M151" i="1"/>
  <c r="K151" i="1"/>
  <c r="M150" i="1"/>
  <c r="K150" i="1"/>
  <c r="M149" i="1"/>
  <c r="L149" i="1"/>
  <c r="K149" i="1"/>
  <c r="M148" i="1"/>
  <c r="K148" i="1"/>
  <c r="M147" i="1"/>
  <c r="K147" i="1"/>
  <c r="J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L140" i="1"/>
  <c r="K140" i="1"/>
  <c r="J140" i="1"/>
  <c r="M139" i="1"/>
  <c r="K139" i="1"/>
  <c r="M138" i="1"/>
  <c r="K138" i="1"/>
  <c r="M137" i="1"/>
  <c r="K137" i="1"/>
  <c r="M136" i="1"/>
  <c r="K136" i="1"/>
  <c r="M135" i="1"/>
  <c r="L135" i="1"/>
  <c r="K135" i="1"/>
  <c r="L134" i="1"/>
  <c r="M134" i="1" s="1"/>
  <c r="K134" i="1"/>
  <c r="M133" i="1"/>
  <c r="K133" i="1"/>
  <c r="M132" i="1"/>
  <c r="K132" i="1"/>
  <c r="M131" i="1"/>
  <c r="K131" i="1"/>
  <c r="M130" i="1"/>
  <c r="L130" i="1"/>
  <c r="K130" i="1"/>
  <c r="J130" i="1"/>
  <c r="M129" i="1"/>
  <c r="L129" i="1"/>
  <c r="K129" i="1"/>
  <c r="M128" i="1"/>
  <c r="K128" i="1"/>
  <c r="M127" i="1"/>
  <c r="K127" i="1"/>
  <c r="M126" i="1"/>
  <c r="K126" i="1"/>
  <c r="M125" i="1"/>
  <c r="K125" i="1"/>
  <c r="J125" i="1"/>
  <c r="M124" i="1"/>
  <c r="K124" i="1"/>
  <c r="M123" i="1"/>
  <c r="K123" i="1"/>
  <c r="M122" i="1"/>
  <c r="K122" i="1"/>
  <c r="M121" i="1"/>
  <c r="J121" i="1"/>
  <c r="K121" i="1" s="1"/>
  <c r="L120" i="1"/>
  <c r="M120" i="1" s="1"/>
  <c r="K120" i="1"/>
  <c r="M119" i="1"/>
  <c r="K119" i="1"/>
  <c r="M118" i="1"/>
  <c r="K118" i="1"/>
  <c r="M117" i="1"/>
  <c r="K117" i="1"/>
  <c r="M116" i="1"/>
  <c r="K116" i="1"/>
  <c r="M115" i="1"/>
  <c r="L115" i="1"/>
  <c r="K115" i="1"/>
  <c r="M114" i="1"/>
  <c r="K114" i="1"/>
  <c r="M113" i="1"/>
  <c r="K113" i="1"/>
  <c r="M112" i="1"/>
  <c r="K112" i="1"/>
  <c r="J112" i="1"/>
  <c r="M111" i="1"/>
  <c r="K111" i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M103" i="1"/>
  <c r="K103" i="1"/>
  <c r="M102" i="1"/>
  <c r="K102" i="1"/>
  <c r="M101" i="1"/>
  <c r="K101" i="1"/>
  <c r="M100" i="1"/>
  <c r="K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K92" i="1"/>
  <c r="M91" i="1"/>
  <c r="K91" i="1"/>
  <c r="M90" i="1"/>
  <c r="K90" i="1"/>
  <c r="M89" i="1"/>
  <c r="K89" i="1"/>
  <c r="M88" i="1"/>
  <c r="K88" i="1"/>
  <c r="M87" i="1"/>
  <c r="K87" i="1"/>
  <c r="M86" i="1"/>
  <c r="J86" i="1"/>
  <c r="K86" i="1" s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J45" i="1"/>
  <c r="M44" i="1"/>
  <c r="J44" i="1"/>
  <c r="K44" i="1" s="1"/>
  <c r="M43" i="1"/>
  <c r="K43" i="1"/>
  <c r="L42" i="1"/>
  <c r="M42" i="1" s="1"/>
  <c r="K42" i="1"/>
  <c r="M41" i="1"/>
  <c r="K41" i="1"/>
  <c r="M40" i="1"/>
  <c r="K40" i="1"/>
  <c r="M39" i="1"/>
  <c r="K39" i="1"/>
  <c r="M38" i="1"/>
  <c r="K38" i="1"/>
  <c r="M37" i="1"/>
  <c r="K37" i="1"/>
  <c r="M36" i="1"/>
  <c r="L36" i="1"/>
  <c r="K36" i="1"/>
  <c r="M35" i="1"/>
  <c r="K35" i="1"/>
  <c r="M34" i="1"/>
  <c r="K34" i="1"/>
  <c r="M33" i="1"/>
  <c r="K33" i="1"/>
  <c r="M32" i="1"/>
  <c r="K32" i="1"/>
  <c r="J32" i="1"/>
  <c r="M31" i="1"/>
  <c r="K31" i="1"/>
  <c r="M30" i="1"/>
  <c r="K30" i="1"/>
  <c r="M29" i="1"/>
  <c r="K29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L16" i="1"/>
  <c r="M16" i="1" s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K175" i="1" l="1"/>
  <c r="K178" i="1"/>
  <c r="D4" i="8" l="1"/>
  <c r="D23" i="8" s="1"/>
  <c r="E4" i="8"/>
  <c r="E23" i="8" s="1"/>
  <c r="C5" i="10"/>
  <c r="D5" i="10"/>
  <c r="E5" i="10"/>
  <c r="H5" i="10"/>
  <c r="I5" i="10"/>
  <c r="J5" i="10"/>
  <c r="C6" i="10"/>
  <c r="D6" i="10"/>
  <c r="E6" i="10"/>
  <c r="H6" i="10"/>
  <c r="I6" i="10"/>
  <c r="J6" i="10"/>
  <c r="C7" i="10"/>
  <c r="D7" i="10"/>
  <c r="E7" i="10"/>
  <c r="H7" i="10"/>
  <c r="I7" i="10"/>
  <c r="J7" i="10"/>
  <c r="C8" i="10"/>
  <c r="D8" i="10"/>
  <c r="E8" i="10"/>
  <c r="H8" i="10"/>
  <c r="I8" i="10"/>
  <c r="J8" i="10"/>
  <c r="C9" i="10"/>
  <c r="D9" i="10"/>
  <c r="E9" i="10"/>
  <c r="H9" i="10"/>
  <c r="I9" i="10"/>
  <c r="J9" i="10"/>
  <c r="C10" i="10"/>
  <c r="D10" i="10"/>
  <c r="E10" i="10"/>
  <c r="H10" i="10"/>
  <c r="I10" i="10"/>
  <c r="J10" i="10"/>
  <c r="C11" i="10"/>
  <c r="D11" i="10"/>
  <c r="E11" i="10"/>
  <c r="H11" i="10"/>
  <c r="I11" i="10"/>
  <c r="J11" i="10"/>
  <c r="J4" i="10"/>
  <c r="I4" i="10"/>
  <c r="H4" i="10"/>
  <c r="E4" i="10"/>
  <c r="D4" i="10"/>
  <c r="C4" i="10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4" i="11"/>
  <c r="C4" i="11"/>
  <c r="D4" i="11"/>
  <c r="G4" i="11"/>
  <c r="C14" i="11"/>
  <c r="D14" i="11"/>
  <c r="G14" i="11"/>
  <c r="C15" i="11"/>
  <c r="D15" i="11"/>
  <c r="G15" i="11"/>
  <c r="C16" i="11"/>
  <c r="D16" i="11"/>
  <c r="G16" i="11"/>
  <c r="C17" i="11"/>
  <c r="D17" i="11"/>
  <c r="G17" i="11"/>
  <c r="C18" i="11"/>
  <c r="D18" i="11"/>
  <c r="G18" i="11"/>
  <c r="C19" i="11"/>
  <c r="D19" i="11"/>
  <c r="G19" i="11"/>
  <c r="C20" i="11"/>
  <c r="D20" i="11"/>
  <c r="G20" i="11"/>
  <c r="C21" i="11"/>
  <c r="D21" i="11"/>
  <c r="G21" i="11"/>
  <c r="C22" i="11"/>
  <c r="D22" i="11"/>
  <c r="G22" i="11"/>
  <c r="C23" i="11"/>
  <c r="D23" i="11"/>
  <c r="G23" i="11"/>
  <c r="C24" i="11"/>
  <c r="D24" i="11"/>
  <c r="G24" i="11"/>
  <c r="G25" i="11"/>
  <c r="D25" i="11"/>
  <c r="C25" i="11"/>
  <c r="G6" i="11"/>
  <c r="G7" i="11"/>
  <c r="G8" i="11"/>
  <c r="G9" i="11"/>
  <c r="G10" i="11"/>
  <c r="G11" i="11"/>
  <c r="G12" i="11"/>
  <c r="G13" i="11"/>
  <c r="D6" i="11"/>
  <c r="D7" i="11"/>
  <c r="D8" i="11"/>
  <c r="D9" i="11"/>
  <c r="D10" i="11"/>
  <c r="D11" i="11"/>
  <c r="D12" i="11"/>
  <c r="D13" i="11"/>
  <c r="C6" i="11"/>
  <c r="C7" i="11"/>
  <c r="C8" i="11"/>
  <c r="C9" i="11"/>
  <c r="C10" i="11"/>
  <c r="C11" i="11"/>
  <c r="C12" i="11"/>
  <c r="C13" i="11"/>
  <c r="G5" i="11"/>
  <c r="C5" i="11"/>
  <c r="D5" i="11"/>
  <c r="E15" i="8"/>
  <c r="E16" i="8"/>
  <c r="D16" i="8"/>
  <c r="E5" i="13"/>
  <c r="E6" i="13"/>
  <c r="E7" i="13"/>
  <c r="E8" i="13"/>
  <c r="E9" i="13"/>
  <c r="E10" i="13"/>
  <c r="E11" i="13"/>
  <c r="E12" i="13"/>
  <c r="E13" i="13"/>
  <c r="E14" i="13"/>
  <c r="E15" i="13"/>
  <c r="E4" i="13"/>
  <c r="D5" i="13"/>
  <c r="D6" i="13"/>
  <c r="D7" i="13"/>
  <c r="D8" i="13"/>
  <c r="D9" i="13"/>
  <c r="D10" i="13"/>
  <c r="D11" i="13"/>
  <c r="D12" i="13"/>
  <c r="D13" i="13"/>
  <c r="D14" i="13"/>
  <c r="D15" i="13"/>
  <c r="D4" i="13"/>
  <c r="D15" i="7" l="1"/>
  <c r="D6" i="9"/>
  <c r="G6" i="10"/>
  <c r="F6" i="10"/>
  <c r="F11" i="11"/>
  <c r="F13" i="11"/>
  <c r="D18" i="9"/>
  <c r="D17" i="9"/>
  <c r="F9" i="11"/>
  <c r="F7" i="11"/>
  <c r="D9" i="9"/>
  <c r="D16" i="7"/>
  <c r="F14" i="11"/>
  <c r="F12" i="11"/>
  <c r="F21" i="11"/>
  <c r="D10" i="9"/>
  <c r="F9" i="10"/>
  <c r="F17" i="11"/>
  <c r="D7" i="9"/>
  <c r="F19" i="11"/>
  <c r="F15" i="11"/>
  <c r="F23" i="11"/>
  <c r="F16" i="11"/>
  <c r="D8" i="9"/>
  <c r="F8" i="11"/>
  <c r="D16" i="9"/>
  <c r="F22" i="11"/>
  <c r="D5" i="9"/>
  <c r="F24" i="11"/>
  <c r="D12" i="9"/>
  <c r="F10" i="11"/>
  <c r="F18" i="11"/>
  <c r="F10" i="10"/>
  <c r="F8" i="10"/>
  <c r="F20" i="11"/>
  <c r="F5" i="10" l="1"/>
  <c r="D14" i="9"/>
  <c r="F4" i="11"/>
  <c r="D11" i="9"/>
  <c r="F11" i="10"/>
  <c r="D15" i="9"/>
  <c r="F4" i="10"/>
  <c r="D4" i="9"/>
  <c r="F7" i="10"/>
  <c r="F25" i="11"/>
  <c r="G5" i="10"/>
  <c r="G11" i="10"/>
  <c r="G4" i="10"/>
  <c r="G7" i="10"/>
  <c r="G8" i="10"/>
  <c r="G10" i="10"/>
  <c r="F5" i="11"/>
  <c r="F6" i="11"/>
  <c r="G9" i="10"/>
  <c r="D13" i="9"/>
  <c r="F7" i="13"/>
  <c r="F10" i="13"/>
  <c r="F12" i="13"/>
  <c r="F13" i="13"/>
  <c r="F15" i="13"/>
  <c r="F4" i="13"/>
  <c r="F5" i="13"/>
  <c r="F6" i="13"/>
  <c r="F8" i="13"/>
  <c r="F9" i="13"/>
  <c r="F11" i="13"/>
  <c r="F14" i="13"/>
  <c r="C6" i="13" l="1"/>
  <c r="C7" i="13"/>
  <c r="C8" i="13"/>
  <c r="C9" i="13"/>
  <c r="C10" i="13"/>
  <c r="C11" i="13"/>
  <c r="C12" i="13"/>
  <c r="C13" i="13"/>
  <c r="C14" i="13"/>
  <c r="C15" i="13"/>
  <c r="C4" i="13"/>
  <c r="C5" i="13"/>
  <c r="C16" i="13" l="1"/>
  <c r="D16" i="13"/>
  <c r="E16" i="13" l="1"/>
  <c r="D26" i="11" l="1"/>
  <c r="G26" i="11"/>
  <c r="E26" i="11"/>
  <c r="C26" i="11"/>
  <c r="I12" i="10"/>
  <c r="E18" i="8"/>
  <c r="D18" i="8"/>
  <c r="E17" i="8"/>
  <c r="E27" i="8" s="1"/>
  <c r="D17" i="8"/>
  <c r="D27" i="8" s="1"/>
  <c r="D15" i="8"/>
  <c r="E14" i="8"/>
  <c r="D14" i="8"/>
  <c r="E13" i="8"/>
  <c r="D13" i="8"/>
  <c r="E12" i="8"/>
  <c r="D12" i="8"/>
  <c r="E11" i="8"/>
  <c r="D11" i="8"/>
  <c r="D26" i="8" s="1"/>
  <c r="E10" i="8"/>
  <c r="D10" i="8"/>
  <c r="E9" i="8"/>
  <c r="D9" i="8"/>
  <c r="E8" i="8"/>
  <c r="D8" i="8"/>
  <c r="E7" i="8"/>
  <c r="D7" i="8"/>
  <c r="E6" i="8"/>
  <c r="D6" i="8"/>
  <c r="D25" i="8" s="1"/>
  <c r="E5" i="8"/>
  <c r="E24" i="8" s="1"/>
  <c r="D5" i="8"/>
  <c r="D24" i="8" s="1"/>
  <c r="S325" i="1"/>
  <c r="D9" i="7"/>
  <c r="D13" i="7"/>
  <c r="D11" i="7"/>
  <c r="D5" i="7"/>
  <c r="D24" i="7" s="1"/>
  <c r="D18" i="7"/>
  <c r="D17" i="7"/>
  <c r="P3" i="1"/>
  <c r="O3" i="1"/>
  <c r="N3" i="1"/>
  <c r="L3" i="1"/>
  <c r="J3" i="1"/>
  <c r="I3" i="1"/>
  <c r="E26" i="8" l="1"/>
  <c r="E25" i="8"/>
  <c r="L4" i="8"/>
  <c r="E19" i="8"/>
  <c r="D27" i="7"/>
  <c r="D12" i="7"/>
  <c r="D12" i="10"/>
  <c r="C12" i="10"/>
  <c r="K3" i="1"/>
  <c r="D4" i="7"/>
  <c r="D23" i="7" s="1"/>
  <c r="D6" i="7"/>
  <c r="D7" i="7"/>
  <c r="D19" i="8"/>
  <c r="E12" i="10"/>
  <c r="H12" i="10"/>
  <c r="J12" i="10"/>
  <c r="M3" i="1"/>
  <c r="D8" i="7"/>
  <c r="D14" i="7"/>
  <c r="D10" i="7"/>
  <c r="D19" i="9" l="1"/>
  <c r="F16" i="13"/>
  <c r="D26" i="7"/>
  <c r="D25" i="7"/>
  <c r="D28" i="7"/>
  <c r="D19" i="7"/>
  <c r="K4" i="7"/>
  <c r="F26" i="11"/>
  <c r="G12" i="10"/>
  <c r="F12" i="10"/>
</calcChain>
</file>

<file path=xl/sharedStrings.xml><?xml version="1.0" encoding="utf-8"?>
<sst xmlns="http://schemas.openxmlformats.org/spreadsheetml/2006/main" count="1424" uniqueCount="418">
  <si>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</si>
  <si>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</si>
  <si>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</si>
  <si>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</si>
  <si>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</si>
  <si>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</si>
  <si>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</si>
  <si>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</si>
  <si>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</si>
  <si>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</si>
  <si>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</si>
  <si>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</si>
  <si>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</si>
  <si>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</si>
  <si>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</si>
  <si>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B</t>
  </si>
  <si>
    <t>K</t>
  </si>
  <si>
    <t>LC</t>
  </si>
  <si>
    <t>W</t>
  </si>
  <si>
    <t>OP</t>
  </si>
  <si>
    <t>Designer</t>
  </si>
  <si>
    <t>Average Margin</t>
  </si>
  <si>
    <t>VP</t>
  </si>
  <si>
    <t>#</t>
  </si>
  <si>
    <t>FP</t>
  </si>
  <si>
    <t>Credit Card Fees</t>
  </si>
  <si>
    <t>Notes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</si>
  <si>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</si>
  <si>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</si>
  <si>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</si>
  <si>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</si>
  <si>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</si>
  <si>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</si>
  <si>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</si>
  <si>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</si>
  <si>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</si>
  <si>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</si>
  <si>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</si>
  <si>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</si>
  <si>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</si>
  <si>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</si>
  <si>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</si>
  <si>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</si>
  <si>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</si>
  <si>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</si>
  <si>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</si>
  <si>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</si>
  <si>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Total additional incentive</t>
  </si>
  <si>
    <t>Total # of sales</t>
  </si>
  <si>
    <t>Totals to date</t>
  </si>
  <si>
    <t>Product by classification</t>
  </si>
  <si>
    <t>Average margin</t>
  </si>
  <si>
    <t>Location</t>
  </si>
  <si>
    <t>Total # of sales closed</t>
  </si>
  <si>
    <t>D</t>
  </si>
  <si>
    <t>Uncategorized</t>
  </si>
  <si>
    <t>ABQ</t>
  </si>
  <si>
    <t>JG</t>
  </si>
  <si>
    <t>Marco</t>
  </si>
  <si>
    <t>Bracken</t>
  </si>
  <si>
    <t>MW</t>
  </si>
  <si>
    <t>Russ</t>
  </si>
  <si>
    <t>Trzcienski</t>
  </si>
  <si>
    <t>Turrietta</t>
  </si>
  <si>
    <t>Ciszewski</t>
  </si>
  <si>
    <t>Shelton</t>
  </si>
  <si>
    <t>Installer charged an additional $99 cost for wrap kit (This is NA for LC)</t>
  </si>
  <si>
    <t>Lavandoski</t>
  </si>
  <si>
    <t>TR</t>
  </si>
  <si>
    <t>Rob</t>
  </si>
  <si>
    <t>Beebe</t>
  </si>
  <si>
    <t>Valve/trim added at site check - Do not add to comm sheet (cost $259.81) - Per Jack</t>
  </si>
  <si>
    <t>Chris M</t>
  </si>
  <si>
    <t>Azevedo</t>
  </si>
  <si>
    <t>McMullen</t>
  </si>
  <si>
    <t>BS</t>
  </si>
  <si>
    <t>Don</t>
  </si>
  <si>
    <t>Tewanema</t>
  </si>
  <si>
    <t>Brantley</t>
  </si>
  <si>
    <t>Colvett</t>
  </si>
  <si>
    <t>Margin ended better than anticipated</t>
  </si>
  <si>
    <t>Bennett</t>
  </si>
  <si>
    <t>Maez</t>
  </si>
  <si>
    <t>GL</t>
  </si>
  <si>
    <t>Rob S</t>
  </si>
  <si>
    <t>Hultin</t>
  </si>
  <si>
    <t>Rodriguez</t>
  </si>
  <si>
    <t>Basic electric added, C/O (not by MW), for $935 w/ tax. Wasn't enough, Pushed margin down 2.9%</t>
  </si>
  <si>
    <t>Gorman</t>
  </si>
  <si>
    <t>Costs were $2012 more than expected. (Pricing for Classic French doors is not correct.)</t>
  </si>
  <si>
    <t>Like</t>
  </si>
  <si>
    <t>Drywall patch unforeseen, add'l trip charge.</t>
  </si>
  <si>
    <t>Rio Rancho</t>
  </si>
  <si>
    <t>Exceed Const.</t>
  </si>
  <si>
    <t>Carroll (SID)</t>
  </si>
  <si>
    <t>Costs were $1571 more than expected. Window/door trim, corner trim, fir out not sold. (Material &amp; Labor COST: 5163.24)</t>
  </si>
  <si>
    <t>Carroll (LC)</t>
  </si>
  <si>
    <t>Spano</t>
  </si>
  <si>
    <t>Haas</t>
  </si>
  <si>
    <t>Add'l labor on 1 window + issue with blinds</t>
  </si>
  <si>
    <t>Santa Fe</t>
  </si>
  <si>
    <t>House</t>
  </si>
  <si>
    <t>DIY</t>
  </si>
  <si>
    <t>Kalb</t>
  </si>
  <si>
    <t>Costing only</t>
  </si>
  <si>
    <t>Placitas</t>
  </si>
  <si>
    <t>Soden</t>
  </si>
  <si>
    <t>Lujan</t>
  </si>
  <si>
    <t>Isaac</t>
  </si>
  <si>
    <t>Yonkers (HBR)</t>
  </si>
  <si>
    <t>Las Cruces</t>
  </si>
  <si>
    <t>Carl</t>
  </si>
  <si>
    <t>Simmons</t>
  </si>
  <si>
    <t>Costs were $452 higher than expected. Costs to R&amp;R decking were substantially higher than expected</t>
  </si>
  <si>
    <t>Benedict</t>
  </si>
  <si>
    <t>Orlofsky</t>
  </si>
  <si>
    <t>Williams</t>
  </si>
  <si>
    <t>Giebel</t>
  </si>
  <si>
    <t>Carter</t>
  </si>
  <si>
    <t>Ward</t>
  </si>
  <si>
    <t>Erdman</t>
  </si>
  <si>
    <t>Yamashita</t>
  </si>
  <si>
    <t>Costs include $510 cost for broken glass</t>
  </si>
  <si>
    <t>NS</t>
  </si>
  <si>
    <t>Thomas</t>
  </si>
  <si>
    <t>Corrales</t>
  </si>
  <si>
    <t>Brownell / Russell</t>
  </si>
  <si>
    <t>Cormier</t>
  </si>
  <si>
    <t>Costs were 1226 higher than expected: $566.91 for re-do floor - Valve/trim COST: 319.07 (957.21 Retail) Switched from BCI to ONYX at site check (Cost difference of 300 +/-) CC Fees: 231.12</t>
  </si>
  <si>
    <t>Sandia Park</t>
  </si>
  <si>
    <t>Staten</t>
  </si>
  <si>
    <t>Costs were higher than expected: 787.77 in CC Fees, Electrical work not calculated in comm sheet)</t>
  </si>
  <si>
    <t>Pine Hill</t>
  </si>
  <si>
    <t>Make A Wish</t>
  </si>
  <si>
    <t>Silsbee</t>
  </si>
  <si>
    <t>Chavez</t>
  </si>
  <si>
    <t>Armijo</t>
  </si>
  <si>
    <t>Western Wall</t>
  </si>
  <si>
    <t>Moore</t>
  </si>
  <si>
    <t>STU</t>
  </si>
  <si>
    <t>Job "saved" by Clay - Front end was heavy because the actual sq yds of product wasn't verified</t>
  </si>
  <si>
    <t>Becker</t>
  </si>
  <si>
    <t>Power</t>
  </si>
  <si>
    <t>Costs were 715.06 higher than expected: Special shape needed 8.5 hours of add'l labor - 117.78 in CC fees</t>
  </si>
  <si>
    <t>Rendace</t>
  </si>
  <si>
    <t>Phaneuf</t>
  </si>
  <si>
    <t>Install has a minimum of 300 sq ft for SR, but price sheet shows no minimums?</t>
  </si>
  <si>
    <t>Paine</t>
  </si>
  <si>
    <t>Discount given to cust, reducing retail by $875 (Add'l incentive given MW to offset this.) Also, 2nd story fee missed, scaffold needed over pool</t>
  </si>
  <si>
    <t>Joyce</t>
  </si>
  <si>
    <t>Reynolds</t>
  </si>
  <si>
    <t>Costs were $156.07 higher than expected. $96.42 at THD, Old PC walls missed on comm sheet</t>
  </si>
  <si>
    <t>Houseman</t>
  </si>
  <si>
    <t>Alexander</t>
  </si>
  <si>
    <t>Costs were $1119.49 higher than expected: $342.14 costs related to broken glass. Stucco work cpst $1430, Drywall work to all windows $797 (Missed by MW)</t>
  </si>
  <si>
    <t>Elmquist</t>
  </si>
  <si>
    <t>Triebwasser</t>
  </si>
  <si>
    <t>Costs were $5,450.45 higher than expected. (Elctrical and plumbing sold @ cost. Add'l travel needed, Construction costs significantly higher then sold.</t>
  </si>
  <si>
    <t>Padilla/Tapia</t>
  </si>
  <si>
    <t>Slade</t>
  </si>
  <si>
    <t>Diveley</t>
  </si>
  <si>
    <t>$1000 discount given at closing (misunderstanding about how interior of windows would be "finished")</t>
  </si>
  <si>
    <t>Los Lunas</t>
  </si>
  <si>
    <t>Laporte</t>
  </si>
  <si>
    <t>Concrete added at site check, C/O not done (per Jack)</t>
  </si>
  <si>
    <t>Petersen</t>
  </si>
  <si>
    <t>Tetto price increase took effect between selling and ordering</t>
  </si>
  <si>
    <t>Wade</t>
  </si>
  <si>
    <t>Wall</t>
  </si>
  <si>
    <t>Geiger</t>
  </si>
  <si>
    <t>Santullo</t>
  </si>
  <si>
    <t>Engbrock</t>
  </si>
  <si>
    <t>Mike R</t>
  </si>
  <si>
    <t>Pando</t>
  </si>
  <si>
    <t>Overstreet</t>
  </si>
  <si>
    <t>Laycock</t>
  </si>
  <si>
    <t>Yarnes</t>
  </si>
  <si>
    <t>Add'l charge from TEMO in August? (1376.58 + 124.11)</t>
  </si>
  <si>
    <t>Sheffield</t>
  </si>
  <si>
    <t>Carlson/Dwyer</t>
  </si>
  <si>
    <t>Tindell</t>
  </si>
  <si>
    <t>Rhodes</t>
  </si>
  <si>
    <t>Robert T</t>
  </si>
  <si>
    <t>Monnin</t>
  </si>
  <si>
    <t>Capitan</t>
  </si>
  <si>
    <t>Lazzaretti</t>
  </si>
  <si>
    <t>DIY project (We delivered)</t>
  </si>
  <si>
    <t>JDDM Const</t>
  </si>
  <si>
    <t>Travis</t>
  </si>
  <si>
    <t>Lee</t>
  </si>
  <si>
    <t>McKinley</t>
  </si>
  <si>
    <t>Duran</t>
  </si>
  <si>
    <t>Clovis</t>
  </si>
  <si>
    <t>Fetzer</t>
  </si>
  <si>
    <t>Onyx priced out as standard, 2 wall system. It was custom, w/ 4 walls and 2 "returns."</t>
  </si>
  <si>
    <t>Cianflone</t>
  </si>
  <si>
    <t>Drywall/tape/texture after removal of soffit not included in pricing.</t>
  </si>
  <si>
    <t>Koepp</t>
  </si>
  <si>
    <t>Los Alamos</t>
  </si>
  <si>
    <t>Rieken</t>
  </si>
  <si>
    <t>$871 in CC fees, plus $600 for "training" Gabe Toscani</t>
  </si>
  <si>
    <t>Bosque Farms</t>
  </si>
  <si>
    <t>Kitts</t>
  </si>
  <si>
    <t>Prade</t>
  </si>
  <si>
    <t>Hecker</t>
  </si>
  <si>
    <t>Concrete needed grinding for swing door operation ($1375)</t>
  </si>
  <si>
    <t>Merritt</t>
  </si>
  <si>
    <t>Beardsley</t>
  </si>
  <si>
    <t>Weber</t>
  </si>
  <si>
    <t>Vega</t>
  </si>
  <si>
    <t>10% discount given at end of job for delays, incentive given for discount</t>
  </si>
  <si>
    <t>Winn</t>
  </si>
  <si>
    <t>Erwin</t>
  </si>
  <si>
    <t>(Incentive to get commission back up to $0)</t>
  </si>
  <si>
    <t>Nishiyama</t>
  </si>
  <si>
    <t>Kaehele</t>
  </si>
  <si>
    <t>2nd story fee missed by sales</t>
  </si>
  <si>
    <t>Janes</t>
  </si>
  <si>
    <t>Kruger</t>
  </si>
  <si>
    <t>Robinson</t>
  </si>
  <si>
    <t>Extra valve on costing (Isaac ordered the 2nd one?)</t>
  </si>
  <si>
    <t>Burdekin</t>
  </si>
  <si>
    <t>Cost $1124 higher than expected- Installation issue with 1st cover, 2nd ordered. - Installer paid for 50% of new cover</t>
  </si>
  <si>
    <t>Sanchez</t>
  </si>
  <si>
    <t>Shorr</t>
  </si>
  <si>
    <t>Potter</t>
  </si>
  <si>
    <t>Stucco repair done by Western wall - Add'l cost not covered by Infinity pricing which includes stucco patch)</t>
  </si>
  <si>
    <t>Umpierre</t>
  </si>
  <si>
    <t>Mackel</t>
  </si>
  <si>
    <t>Anselmi</t>
  </si>
  <si>
    <t>Flores</t>
  </si>
  <si>
    <t>Logan</t>
  </si>
  <si>
    <t>McWhorter</t>
  </si>
  <si>
    <t>Instalation issues delayed job and created unneccessary costs (discount given at closing of $388 for CS ) plus $730.32 at THD</t>
  </si>
  <si>
    <t>Halliburton</t>
  </si>
  <si>
    <t>Davis</t>
  </si>
  <si>
    <t>Stump</t>
  </si>
  <si>
    <t>Pellman</t>
  </si>
  <si>
    <t>Bell</t>
  </si>
  <si>
    <t>Fantl</t>
  </si>
  <si>
    <t>Legg</t>
  </si>
  <si>
    <t>TEMO product cost $800.59 more than expected</t>
  </si>
  <si>
    <t>Bombardt</t>
  </si>
  <si>
    <t>York</t>
  </si>
  <si>
    <t>Branchal</t>
  </si>
  <si>
    <t>Schultz</t>
  </si>
  <si>
    <t>Russell</t>
  </si>
  <si>
    <t>Saxman</t>
  </si>
  <si>
    <t>About $2450 in warranty work done (including replacing vent hood)</t>
  </si>
  <si>
    <t>Daly</t>
  </si>
  <si>
    <t>Tijeras</t>
  </si>
  <si>
    <t>Herring</t>
  </si>
  <si>
    <t>Usov</t>
  </si>
  <si>
    <t>Rounds</t>
  </si>
  <si>
    <t>Cost of staining door was $250 (retail) higher than expected</t>
  </si>
  <si>
    <t>Kramer</t>
  </si>
  <si>
    <t>Alston</t>
  </si>
  <si>
    <t>Sandoval</t>
  </si>
  <si>
    <t>Thayer</t>
  </si>
  <si>
    <t>Gutierrez</t>
  </si>
  <si>
    <t>Guetersloh</t>
  </si>
  <si>
    <t>Counter top cost not properly calculated by GL, NS took over sale after GL left his position</t>
  </si>
  <si>
    <t>Hillendahl</t>
  </si>
  <si>
    <t>Monsanto</t>
  </si>
  <si>
    <t>Edgewood</t>
  </si>
  <si>
    <t>Marquardt</t>
  </si>
  <si>
    <t>Blumhoefer</t>
  </si>
  <si>
    <t>Self Generated lead</t>
  </si>
  <si>
    <t>Keller</t>
  </si>
  <si>
    <t>Lucero</t>
  </si>
  <si>
    <t>Colbert</t>
  </si>
  <si>
    <t>$1005 over budget - JG was given price for enclosing window - Clay gave is as N/C Par, Not knowing that JG expected N/C Retail.</t>
  </si>
  <si>
    <t>Ele Butte</t>
  </si>
  <si>
    <t>Blaser</t>
  </si>
  <si>
    <t>Ahr</t>
  </si>
  <si>
    <t>Quemado</t>
  </si>
  <si>
    <t>Nebblett</t>
  </si>
  <si>
    <t>Log roof cost 641 add'l to prep for SR - Charged $160 for snow day &amp; 210 for "no work" on Saturday - 3 add'l hotel stays - Incorrect temo part = 1 round trip ($1204)</t>
  </si>
  <si>
    <t>Olinger</t>
  </si>
  <si>
    <t>Smith</t>
  </si>
  <si>
    <t>Vetterick</t>
  </si>
  <si>
    <t>Cost of concrete work higher than expected, MW could not have anticipated this cost.</t>
  </si>
  <si>
    <t>CD</t>
  </si>
  <si>
    <t>Hoskins</t>
  </si>
  <si>
    <t>Sutton</t>
  </si>
  <si>
    <t>Gomez</t>
  </si>
  <si>
    <t>Clack</t>
  </si>
  <si>
    <t>Cost was 368 more than expected: Water drain trenching cost $398 more than expected - Plus electrical work pricing seems to be incorrect for the mini-split</t>
  </si>
  <si>
    <t>Hansen</t>
  </si>
  <si>
    <t>Shaw</t>
  </si>
  <si>
    <t>Add'l incentive added as 2 discounts given impacting comm, but margin came out ok.</t>
  </si>
  <si>
    <t>Brugger</t>
  </si>
  <si>
    <t>Sharratt</t>
  </si>
  <si>
    <t>Marine</t>
  </si>
  <si>
    <t>Alley</t>
  </si>
  <si>
    <t>Clark</t>
  </si>
  <si>
    <t>$300 removed from contract price to have customer handle painting of stucco patch.</t>
  </si>
  <si>
    <t>Wiggins</t>
  </si>
  <si>
    <t>Several items missed by NS - Mirror cost significantly more than anticipated</t>
  </si>
  <si>
    <t>Thomas S.</t>
  </si>
  <si>
    <t>Hiep / Vo</t>
  </si>
  <si>
    <t>Martinez</t>
  </si>
  <si>
    <t>Costs were $726.23 higher than expected: $240 for Thomas (training), $100 - Chip Brick, $478 - CC fees)</t>
  </si>
  <si>
    <t>White</t>
  </si>
  <si>
    <t>Costs were $183.61 higher than anticipated: $177 in CC fees - $42 to wrap window</t>
  </si>
  <si>
    <t>Nusser</t>
  </si>
  <si>
    <t>Izaguirre</t>
  </si>
  <si>
    <t>Windows measured/ordered incorrectly - were 1" too large for openings. $300 add'l labor to install (Margin should have been 68.4%)</t>
  </si>
  <si>
    <t>Haaland</t>
  </si>
  <si>
    <t>Torrez/Wirth</t>
  </si>
  <si>
    <t>Dunsmore</t>
  </si>
  <si>
    <t>Costs were 298.72 higher than expected: C-beam insert not accounted for Cost: $277.20</t>
  </si>
  <si>
    <t>Hubbard</t>
  </si>
  <si>
    <t>Jaramillo</t>
  </si>
  <si>
    <t>Costs were $1170.92 higher than expected - Incorrect Med cabs spec'd and ordered - Painting miscalculated by sales</t>
  </si>
  <si>
    <t>Moreau</t>
  </si>
  <si>
    <t>Otero</t>
  </si>
  <si>
    <t>Prime Time</t>
  </si>
  <si>
    <t>Payne</t>
  </si>
  <si>
    <t>Drywall not calc properly, comm reduced - $766 worth of damage/reordered Sollid items (margin should be 53.7%) (2/15/19 addintional costs came in after job closed)</t>
  </si>
  <si>
    <t>Lael</t>
  </si>
  <si>
    <t>Fanning</t>
  </si>
  <si>
    <t>Buck</t>
  </si>
  <si>
    <t>R&amp;R pavers not accounted for in contract</t>
  </si>
  <si>
    <t>Bugg</t>
  </si>
  <si>
    <t>Ireland</t>
  </si>
  <si>
    <t>CC fees not accounted for ($131.79) Basic elec Non-comm retail of $1100 does not cover CJT's cost of $650. $214 dedected from contract price as customer did not like fan selection. (will try to get a refund from CJT)</t>
  </si>
  <si>
    <t>Trammell</t>
  </si>
  <si>
    <t>Hunter</t>
  </si>
  <si>
    <t>Costs were $145 more than expected: CC fees: $259.50 - Site check cost $450 (150 x 3 covers), Permit cost $162, TTL $612. $600 in contract for Site check / Permit</t>
  </si>
  <si>
    <t>Harrelson</t>
  </si>
  <si>
    <t>Hart</t>
  </si>
  <si>
    <t>Two bath  contract: 1st bath had issues, customer canceled 2nd bath</t>
  </si>
  <si>
    <t>Kitchen canceled by customer: she purchased cabinets from us.</t>
  </si>
  <si>
    <t>Stokes</t>
  </si>
  <si>
    <t>HMS</t>
  </si>
  <si>
    <t>Sterba</t>
  </si>
  <si>
    <t>Costs were $592 higher than expected: $417 discount given at closing for "inconvenience," plus $515 to repair unnecessary stucco work.</t>
  </si>
  <si>
    <t>Felice</t>
  </si>
  <si>
    <t>Lavigne</t>
  </si>
  <si>
    <t>Costs were 866 higher than expected: Sales didn't add appropriate increase to pro-k pricing)</t>
  </si>
  <si>
    <t>Rivard</t>
  </si>
  <si>
    <t>Cody</t>
  </si>
  <si>
    <t>Add'l costs associated w/ project: Tile roofing needed to be R&amp;R &amp; fascia painted for install (+$210 raw cost)</t>
  </si>
  <si>
    <t>Several issues w/ project: plimbing, tile etc, had to be rebuilt several times - Also, many items missed by TR</t>
  </si>
  <si>
    <t>Triebwasser (B)</t>
  </si>
  <si>
    <t>Trujillo (K)</t>
  </si>
  <si>
    <t>Pricing for C-top was off by $300 - Add'l plumbing work re-done -$195</t>
  </si>
  <si>
    <t>Link</t>
  </si>
  <si>
    <t>Extensize remodel job costing 3900 more then expected.</t>
  </si>
  <si>
    <t>Offerman</t>
  </si>
  <si>
    <t>Costs were $100 more than expected (CC fees were 202.92)</t>
  </si>
  <si>
    <t>MS</t>
  </si>
  <si>
    <t>Maldonado</t>
  </si>
  <si>
    <t>Torreon</t>
  </si>
  <si>
    <t>Tile on sill not mentioned by sales - 6 sills needed to be re-tiled (RC- $327) Plus $457 in CC fees</t>
  </si>
  <si>
    <t>Simonsen</t>
  </si>
  <si>
    <t>Core cuts/footers missed @ sale - $454 in CC fees @ closing</t>
  </si>
  <si>
    <t>Taos</t>
  </si>
  <si>
    <t>Heartsong</t>
  </si>
  <si>
    <t>Holderried</t>
  </si>
  <si>
    <t>Davison</t>
  </si>
  <si>
    <t>Vargas</t>
  </si>
  <si>
    <t>Window measured/ordered incorrectly adding $856.70 to cost to replace/rush new window</t>
  </si>
  <si>
    <t>Cynova</t>
  </si>
  <si>
    <t>Pederson (B)</t>
  </si>
  <si>
    <t>Costs were $125.27 more than anticipated. Some drywall repair needed &amp; more tile than sold</t>
  </si>
  <si>
    <t>United Methodist</t>
  </si>
  <si>
    <t>Lemitar</t>
  </si>
  <si>
    <t>Gonzales</t>
  </si>
  <si>
    <t>Sharpe</t>
  </si>
  <si>
    <t>Zamora</t>
  </si>
  <si>
    <t>Hadady</t>
  </si>
  <si>
    <t>Costs include $440 in "training expenses"</t>
  </si>
  <si>
    <t>Trujillo (B)</t>
  </si>
  <si>
    <t>Hoebelheinrich</t>
  </si>
  <si>
    <t>Initial scope of work "loose" - C/O at site check for $12,070 to tidy up job</t>
  </si>
  <si>
    <t>Hinojosa</t>
  </si>
  <si>
    <t>Costs were 584.59 higher than anticipated: Mis-measure caused delays and $540.57 add'l costs. Plus $580 discount given</t>
  </si>
  <si>
    <t>Teague</t>
  </si>
  <si>
    <t>Costs were $5700 higher than expected. (C-top, Drywall, C/S flooring demo)</t>
  </si>
  <si>
    <t>Pederson (K)</t>
  </si>
  <si>
    <t>Costs were $1331.92 higher than anticipated: Backsplash labor costs $430 add'l, Sales missed: knobs/pulls, demo C-top, Demo Bsplash</t>
  </si>
  <si>
    <t>Graham</t>
  </si>
  <si>
    <t>Incorrectly sold. Should have been sold w/ 4.25" roof.</t>
  </si>
  <si>
    <t>Alderete</t>
  </si>
  <si>
    <t>Corsi</t>
  </si>
  <si>
    <t>OTC</t>
  </si>
  <si>
    <t>Andrews</t>
  </si>
  <si>
    <t>Cover</t>
  </si>
  <si>
    <t>Tegtmeyer</t>
  </si>
  <si>
    <t>Lamberson</t>
  </si>
  <si>
    <t>Costs include CC fees ($495) and Training fees ($720)</t>
  </si>
  <si>
    <t>Belen</t>
  </si>
  <si>
    <t>Fedor</t>
  </si>
  <si>
    <t>Lang (K)</t>
  </si>
  <si>
    <t>Lang (GB)</t>
  </si>
  <si>
    <t>Lang (MB)</t>
  </si>
  <si>
    <t>Liles</t>
  </si>
  <si>
    <t>Linden</t>
  </si>
  <si>
    <t>Jeff</t>
  </si>
  <si>
    <t>2018 Job Cost, Margin and Commission Summary</t>
  </si>
  <si>
    <t>IR-SR</t>
  </si>
  <si>
    <t>IR-OP</t>
  </si>
  <si>
    <t>IR-LC</t>
  </si>
  <si>
    <t>K-B</t>
  </si>
  <si>
    <t>Kitchen</t>
  </si>
  <si>
    <t>Bath</t>
  </si>
  <si>
    <t>Abq</t>
  </si>
  <si>
    <t>Bernalillo</t>
  </si>
  <si>
    <t>Pine hill</t>
  </si>
  <si>
    <t>Jobs Installed</t>
  </si>
  <si>
    <t>B-FR</t>
  </si>
  <si>
    <t>Thomas S</t>
  </si>
  <si>
    <t>Russ T</t>
  </si>
  <si>
    <t>Whiterock</t>
  </si>
  <si>
    <t>Siding</t>
  </si>
  <si>
    <t>Elephant Butte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</si>
</sst>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9" fontId="1" fillId="0" borderId="0" xfId="0" applyNumberFormat="1" applyFont="1"/>
    <xf numFmtId="164" fontId="0" fillId="0" borderId="0" xfId="0" applyNumberFormat="1"/>
    <xf numFmtId="40" fontId="0" fillId="0" borderId="0" xfId="0" applyNumberFormat="1"/>
    <xf numFmtId="40" fontId="1" fillId="0" borderId="0" xfId="0" applyNumberFormat="1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/>
    </xf>
    <xf numFmtId="40" fontId="1" fillId="0" borderId="1" xfId="0" applyNumberFormat="1" applyFont="1" applyBorder="1"/>
    <xf numFmtId="40" fontId="0" fillId="0" borderId="1" xfId="0" applyNumberFormat="1" applyBorder="1"/>
    <xf numFmtId="0" fontId="1" fillId="0" borderId="0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39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Fill="1"/>
    <xf numFmtId="0" fontId="3" fillId="0" borderId="3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4" fontId="3" fillId="0" borderId="6" xfId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0" fillId="0" borderId="0" xfId="0" applyFill="1"/>
    <xf numFmtId="10" fontId="0" fillId="0" borderId="19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2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7" xfId="0" applyBorder="1"/>
    <xf numFmtId="0" fontId="0" fillId="0" borderId="10" xfId="0" applyBorder="1"/>
    <xf numFmtId="0" fontId="0" fillId="0" borderId="28" xfId="0" applyBorder="1" applyAlignment="1">
      <alignment horizontal="center"/>
    </xf>
    <xf numFmtId="0" fontId="0" fillId="0" borderId="0" xfId="0" applyBorder="1"/>
    <xf numFmtId="0" fontId="0" fillId="0" borderId="29" xfId="0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27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28" xfId="0" applyBorder="1"/>
    <xf numFmtId="0" fontId="0" fillId="0" borderId="11" xfId="0" applyBorder="1"/>
    <xf numFmtId="164" fontId="0" fillId="0" borderId="4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0" fontId="1" fillId="0" borderId="1" xfId="0" applyFont="1" applyBorder="1"/>
    <xf numFmtId="39" fontId="1" fillId="0" borderId="1" xfId="0" applyNumberFormat="1" applyFont="1" applyBorder="1"/>
    <xf numFmtId="164" fontId="1" fillId="0" borderId="1" xfId="0" applyNumberFormat="1" applyFont="1" applyBorder="1"/>
    <xf numFmtId="40" fontId="1" fillId="0" borderId="2" xfId="0" applyNumberFormat="1" applyFont="1" applyBorder="1"/>
    <xf numFmtId="164" fontId="1" fillId="6" borderId="1" xfId="0" applyNumberFormat="1" applyFont="1" applyFill="1" applyBorder="1"/>
    <xf numFmtId="39" fontId="1" fillId="0" borderId="1" xfId="0" applyNumberFormat="1" applyFont="1" applyFill="1" applyBorder="1"/>
    <xf numFmtId="10" fontId="0" fillId="0" borderId="0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20" xfId="0" applyBorder="1" applyAlignment="1">
      <alignment horizontal="center"/>
    </xf>
    <xf numFmtId="164" fontId="1" fillId="0" borderId="0" xfId="0" applyNumberFormat="1" applyFont="1"/>
    <xf numFmtId="0" fontId="3" fillId="0" borderId="0" xfId="0" applyFont="1" applyBorder="1" applyAlignment="1">
      <alignment horizontal="center"/>
    </xf>
    <xf numFmtId="39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/>
    <xf numFmtId="40" fontId="1" fillId="0" borderId="1" xfId="0" applyNumberFormat="1" applyFont="1" applyFill="1" applyBorder="1"/>
    <xf numFmtId="1" fontId="0" fillId="0" borderId="0" xfId="0" applyNumberFormat="1" applyAlignment="1">
      <alignment horizontal="center"/>
    </xf>
    <xf numFmtId="1" fontId="0" fillId="0" borderId="19" xfId="0" applyNumberForma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0.46978089513111326</c:v>
                </c:pt>
                <c:pt idx="1">
                  <c:v>0.40171909757503554</c:v>
                </c:pt>
                <c:pt idx="2">
                  <c:v>0.5617789068644391</c:v>
                </c:pt>
                <c:pt idx="3">
                  <c:v>0.50727173164220551</c:v>
                </c:pt>
                <c:pt idx="4">
                  <c:v>0.51770912332600694</c:v>
                </c:pt>
                <c:pt idx="5">
                  <c:v>0.55610094195330817</c:v>
                </c:pt>
                <c:pt idx="6">
                  <c:v>0.30644265223085521</c:v>
                </c:pt>
                <c:pt idx="7">
                  <c:v>0.56846496526121792</c:v>
                </c:pt>
                <c:pt idx="8">
                  <c:v>0.54384258212227088</c:v>
                </c:pt>
                <c:pt idx="9">
                  <c:v>0.56870999999999994</c:v>
                </c:pt>
                <c:pt idx="10">
                  <c:v>0.57252800931035441</c:v>
                </c:pt>
                <c:pt idx="11">
                  <c:v>0.62493784471777314</c:v>
                </c:pt>
                <c:pt idx="12">
                  <c:v>0.50985831261433201</c:v>
                </c:pt>
                <c:pt idx="13">
                  <c:v>0.53157300671685748</c:v>
                </c:pt>
                <c:pt idx="14">
                  <c:v>0.51252221925631458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777159088"/>
        <c:axId val="777161048"/>
        <c:axId val="0"/>
      </c:bar3DChart>
      <c:catAx>
        <c:axId val="777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1048"/>
        <c:crosses val="autoZero"/>
        <c:auto val="1"/>
        <c:lblAlgn val="ctr"/>
        <c:lblOffset val="100"/>
        <c:noMultiLvlLbl val="0"/>
      </c:catAx>
      <c:valAx>
        <c:axId val="7771610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13937.195480244905</c:v>
                </c:pt>
                <c:pt idx="1">
                  <c:v>7129.3667560948943</c:v>
                </c:pt>
                <c:pt idx="2">
                  <c:v>22021.408464845175</c:v>
                </c:pt>
                <c:pt idx="3">
                  <c:v>11363.196319379846</c:v>
                </c:pt>
                <c:pt idx="4">
                  <c:v>9575.513263592713</c:v>
                </c:pt>
                <c:pt idx="5">
                  <c:v>14709.153666643397</c:v>
                </c:pt>
                <c:pt idx="6">
                  <c:v>16274.331384346637</c:v>
                </c:pt>
                <c:pt idx="7">
                  <c:v>24910.727005840658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7712"/>
        <c:axId val="777168104"/>
        <c:axId val="0"/>
      </c:bar3DChart>
      <c:catAx>
        <c:axId val="7771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8104"/>
        <c:crosses val="autoZero"/>
        <c:auto val="1"/>
        <c:lblAlgn val="ctr"/>
        <c:lblOffset val="100"/>
        <c:noMultiLvlLbl val="0"/>
      </c:catAx>
      <c:valAx>
        <c:axId val="77716810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0.48998379773270428</c:v>
                </c:pt>
                <c:pt idx="1">
                  <c:v>0.54565691776954928</c:v>
                </c:pt>
                <c:pt idx="2">
                  <c:v>0.41449803636637184</c:v>
                </c:pt>
                <c:pt idx="3">
                  <c:v>0.51447396047454119</c:v>
                </c:pt>
                <c:pt idx="4">
                  <c:v>0.52761555244985237</c:v>
                </c:pt>
                <c:pt idx="5">
                  <c:v>0.55199391084530181</c:v>
                </c:pt>
                <c:pt idx="6">
                  <c:v>0.43697130140670637</c:v>
                </c:pt>
                <c:pt idx="7">
                  <c:v>0.38308738973574064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8888"/>
        <c:axId val="777166536"/>
        <c:axId val="0"/>
      </c:bar3DChart>
      <c:catAx>
        <c:axId val="77716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6536"/>
        <c:crosses val="autoZero"/>
        <c:auto val="1"/>
        <c:lblAlgn val="ctr"/>
        <c:lblOffset val="100"/>
        <c:noMultiLvlLbl val="0"/>
      </c:catAx>
      <c:valAx>
        <c:axId val="7771665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0.10945507048761068</c:v>
                </c:pt>
                <c:pt idx="1">
                  <c:v>0.13195682812390294</c:v>
                </c:pt>
                <c:pt idx="2">
                  <c:v>6.2085203678819895E-2</c:v>
                </c:pt>
                <c:pt idx="3">
                  <c:v>0.11464794726725258</c:v>
                </c:pt>
                <c:pt idx="4">
                  <c:v>0.12232412245675492</c:v>
                </c:pt>
                <c:pt idx="5">
                  <c:v>0.10990794634709607</c:v>
                </c:pt>
                <c:pt idx="6">
                  <c:v>9.806142252252327E-2</c:v>
                </c:pt>
                <c:pt idx="7">
                  <c:v>8.9349889645120431E-2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6928"/>
        <c:axId val="786914424"/>
        <c:axId val="0"/>
      </c:bar3DChart>
      <c:catAx>
        <c:axId val="7771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4424"/>
        <c:crosses val="autoZero"/>
        <c:auto val="1"/>
        <c:lblAlgn val="ctr"/>
        <c:lblOffset val="100"/>
        <c:noMultiLvlLbl val="0"/>
      </c:catAx>
      <c:valAx>
        <c:axId val="7869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596.42796949303818</c:v>
                </c:pt>
                <c:pt idx="1">
                  <c:v>616.57308402073545</c:v>
                </c:pt>
                <c:pt idx="2">
                  <c:v>-36.599499772413836</c:v>
                </c:pt>
                <c:pt idx="3">
                  <c:v>728.60235314420152</c:v>
                </c:pt>
                <c:pt idx="4">
                  <c:v>526.61326359271288</c:v>
                </c:pt>
                <c:pt idx="5">
                  <c:v>806.21422457869585</c:v>
                </c:pt>
                <c:pt idx="6">
                  <c:v>351.05181670313652</c:v>
                </c:pt>
                <c:pt idx="7">
                  <c:v>-1531.8065859674805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86917952"/>
        <c:axId val="786918736"/>
        <c:axId val="0"/>
      </c:bar3DChart>
      <c:catAx>
        <c:axId val="7869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8736"/>
        <c:crossesAt val="-500"/>
        <c:auto val="1"/>
        <c:lblAlgn val="ctr"/>
        <c:lblOffset val="100"/>
        <c:noMultiLvlLbl val="0"/>
      </c:catAx>
      <c:valAx>
        <c:axId val="786918736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2573.42</c:v>
                </c:pt>
                <c:pt idx="1">
                  <c:v>268.83</c:v>
                </c:pt>
                <c:pt idx="2">
                  <c:v>787.47</c:v>
                </c:pt>
                <c:pt idx="3">
                  <c:v>1149.6599999999999</c:v>
                </c:pt>
                <c:pt idx="4">
                  <c:v>0</c:v>
                </c:pt>
                <c:pt idx="5">
                  <c:v>1684.63</c:v>
                </c:pt>
                <c:pt idx="6">
                  <c:v>729.31000000000006</c:v>
                </c:pt>
                <c:pt idx="7">
                  <c:v>5827.99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86921088"/>
        <c:axId val="786915992"/>
        <c:axId val="0"/>
      </c:bar3DChart>
      <c:catAx>
        <c:axId val="7869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5992"/>
        <c:crosses val="autoZero"/>
        <c:auto val="1"/>
        <c:lblAlgn val="ctr"/>
        <c:lblOffset val="100"/>
        <c:noMultiLvlLbl val="0"/>
      </c:catAx>
      <c:valAx>
        <c:axId val="786915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59.846976744186051</c:v>
                </c:pt>
                <c:pt idx="1">
                  <c:v>26.882999999999999</c:v>
                </c:pt>
                <c:pt idx="2">
                  <c:v>60.574615384615385</c:v>
                </c:pt>
                <c:pt idx="3">
                  <c:v>25.547999999999998</c:v>
                </c:pt>
                <c:pt idx="4">
                  <c:v>0</c:v>
                </c:pt>
                <c:pt idx="5">
                  <c:v>20.797901234567902</c:v>
                </c:pt>
                <c:pt idx="6">
                  <c:v>28.050384615384619</c:v>
                </c:pt>
                <c:pt idx="7">
                  <c:v>416.28499999999997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86914816"/>
        <c:axId val="786915208"/>
        <c:axId val="0"/>
      </c:bar3DChart>
      <c:catAx>
        <c:axId val="7869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5208"/>
        <c:crosses val="autoZero"/>
        <c:auto val="1"/>
        <c:lblAlgn val="ctr"/>
        <c:lblOffset val="100"/>
        <c:noMultiLvlLbl val="0"/>
      </c:catAx>
      <c:valAx>
        <c:axId val="786915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22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Clovis</c:v>
                </c:pt>
                <c:pt idx="6">
                  <c:v>Corrales</c:v>
                </c:pt>
                <c:pt idx="7">
                  <c:v>Edgewood</c:v>
                </c:pt>
                <c:pt idx="8">
                  <c:v>Ele Butte</c:v>
                </c:pt>
                <c:pt idx="9">
                  <c:v>Las Cruces</c:v>
                </c:pt>
                <c:pt idx="10">
                  <c:v>Lemitar</c:v>
                </c:pt>
                <c:pt idx="11">
                  <c:v>Los Alamos</c:v>
                </c:pt>
                <c:pt idx="12">
                  <c:v>Los Lunas</c:v>
                </c:pt>
                <c:pt idx="13">
                  <c:v>Pine hill</c:v>
                </c:pt>
                <c:pt idx="14">
                  <c:v>Placitas</c:v>
                </c:pt>
                <c:pt idx="15">
                  <c:v>Quemado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Taos</c:v>
                </c:pt>
                <c:pt idx="20">
                  <c:v>Tijeras</c:v>
                </c:pt>
                <c:pt idx="21">
                  <c:v>Torreon</c:v>
                </c:pt>
              </c:strCache>
            </c:strRef>
          </c:cat>
          <c:val>
            <c:numRef>
              <c:f>'Sales Location Analysis'!$C$4:$C$25</c:f>
              <c:numCache>
                <c:formatCode>"$"#,##0.00</c:formatCode>
                <c:ptCount val="22"/>
                <c:pt idx="0">
                  <c:v>1819392.9855982701</c:v>
                </c:pt>
                <c:pt idx="1">
                  <c:v>11681.938834391231</c:v>
                </c:pt>
                <c:pt idx="2">
                  <c:v>21205.840484530065</c:v>
                </c:pt>
                <c:pt idx="3">
                  <c:v>12438.325343731947</c:v>
                </c:pt>
                <c:pt idx="4">
                  <c:v>24332.358104154475</c:v>
                </c:pt>
                <c:pt idx="5">
                  <c:v>48875.332177931836</c:v>
                </c:pt>
                <c:pt idx="6">
                  <c:v>70846.567212829264</c:v>
                </c:pt>
                <c:pt idx="7">
                  <c:v>38628.843573792823</c:v>
                </c:pt>
                <c:pt idx="8">
                  <c:v>0</c:v>
                </c:pt>
                <c:pt idx="9">
                  <c:v>37638.122625815726</c:v>
                </c:pt>
                <c:pt idx="10">
                  <c:v>23493.38</c:v>
                </c:pt>
                <c:pt idx="11">
                  <c:v>99102.236458940009</c:v>
                </c:pt>
                <c:pt idx="12">
                  <c:v>214950.61592266391</c:v>
                </c:pt>
                <c:pt idx="13">
                  <c:v>5380</c:v>
                </c:pt>
                <c:pt idx="14">
                  <c:v>30118.088235294119</c:v>
                </c:pt>
                <c:pt idx="15">
                  <c:v>29521.797752808987</c:v>
                </c:pt>
                <c:pt idx="16">
                  <c:v>399904.23869400809</c:v>
                </c:pt>
                <c:pt idx="17">
                  <c:v>65465.648667058136</c:v>
                </c:pt>
                <c:pt idx="18">
                  <c:v>293969.68369141128</c:v>
                </c:pt>
                <c:pt idx="19">
                  <c:v>110574.25742574257</c:v>
                </c:pt>
                <c:pt idx="20">
                  <c:v>15322.942472863306</c:v>
                </c:pt>
                <c:pt idx="21">
                  <c:v>14269.789227166279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86915600"/>
        <c:axId val="786916384"/>
        <c:axId val="0"/>
      </c:bar3DChart>
      <c:catAx>
        <c:axId val="7869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6384"/>
        <c:crosses val="autoZero"/>
        <c:auto val="1"/>
        <c:lblAlgn val="ctr"/>
        <c:lblOffset val="100"/>
        <c:noMultiLvlLbl val="0"/>
      </c:catAx>
      <c:valAx>
        <c:axId val="786916384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22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Clovis</c:v>
                </c:pt>
                <c:pt idx="6">
                  <c:v>Corrales</c:v>
                </c:pt>
                <c:pt idx="7">
                  <c:v>Edgewood</c:v>
                </c:pt>
                <c:pt idx="8">
                  <c:v>Ele Butte</c:v>
                </c:pt>
                <c:pt idx="9">
                  <c:v>Las Cruces</c:v>
                </c:pt>
                <c:pt idx="10">
                  <c:v>Lemitar</c:v>
                </c:pt>
                <c:pt idx="11">
                  <c:v>Los Alamos</c:v>
                </c:pt>
                <c:pt idx="12">
                  <c:v>Los Lunas</c:v>
                </c:pt>
                <c:pt idx="13">
                  <c:v>Pine hill</c:v>
                </c:pt>
                <c:pt idx="14">
                  <c:v>Placitas</c:v>
                </c:pt>
                <c:pt idx="15">
                  <c:v>Quemado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Taos</c:v>
                </c:pt>
                <c:pt idx="20">
                  <c:v>Tijeras</c:v>
                </c:pt>
                <c:pt idx="21">
                  <c:v>Torreon</c:v>
                </c:pt>
              </c:strCache>
            </c:strRef>
          </c:cat>
          <c:val>
            <c:numRef>
              <c:f>'Sales Location Analysis'!$D$4:$D$25</c:f>
              <c:numCache>
                <c:formatCode>0</c:formatCode>
                <c:ptCount val="22"/>
                <c:pt idx="0">
                  <c:v>134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34</c:v>
                </c:pt>
                <c:pt idx="17">
                  <c:v>3</c:v>
                </c:pt>
                <c:pt idx="18">
                  <c:v>15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86926968"/>
        <c:axId val="786923832"/>
        <c:axId val="0"/>
      </c:bar3DChart>
      <c:catAx>
        <c:axId val="7869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23832"/>
        <c:crosses val="autoZero"/>
        <c:auto val="1"/>
        <c:lblAlgn val="ctr"/>
        <c:lblOffset val="100"/>
        <c:noMultiLvlLbl val="0"/>
      </c:catAx>
      <c:valAx>
        <c:axId val="786923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2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22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Clovis</c:v>
                </c:pt>
                <c:pt idx="6">
                  <c:v>Corrales</c:v>
                </c:pt>
                <c:pt idx="7">
                  <c:v>Edgewood</c:v>
                </c:pt>
                <c:pt idx="8">
                  <c:v>Ele Butte</c:v>
                </c:pt>
                <c:pt idx="9">
                  <c:v>Las Cruces</c:v>
                </c:pt>
                <c:pt idx="10">
                  <c:v>Lemitar</c:v>
                </c:pt>
                <c:pt idx="11">
                  <c:v>Los Alamos</c:v>
                </c:pt>
                <c:pt idx="12">
                  <c:v>Los Lunas</c:v>
                </c:pt>
                <c:pt idx="13">
                  <c:v>Pine hill</c:v>
                </c:pt>
                <c:pt idx="14">
                  <c:v>Placitas</c:v>
                </c:pt>
                <c:pt idx="15">
                  <c:v>Quemado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Taos</c:v>
                </c:pt>
                <c:pt idx="20">
                  <c:v>Tijeras</c:v>
                </c:pt>
                <c:pt idx="21">
                  <c:v>Torreon</c:v>
                </c:pt>
              </c:strCache>
            </c:strRef>
          </c:cat>
          <c:val>
            <c:numRef>
              <c:f>'Sales Location Analysis'!$E$4:$E$25</c:f>
              <c:numCache>
                <c:formatCode>"$"#,##0.00</c:formatCode>
                <c:ptCount val="22"/>
                <c:pt idx="0">
                  <c:v>13577.559594016941</c:v>
                </c:pt>
                <c:pt idx="1">
                  <c:v>11681.938834391231</c:v>
                </c:pt>
                <c:pt idx="2">
                  <c:v>7068.6134948433546</c:v>
                </c:pt>
                <c:pt idx="3">
                  <c:v>6219.1626718659736</c:v>
                </c:pt>
                <c:pt idx="4">
                  <c:v>24332.358104154475</c:v>
                </c:pt>
                <c:pt idx="5">
                  <c:v>16291.777392643946</c:v>
                </c:pt>
                <c:pt idx="6">
                  <c:v>17711.641803207316</c:v>
                </c:pt>
                <c:pt idx="7">
                  <c:v>12876.281191264274</c:v>
                </c:pt>
                <c:pt idx="8">
                  <c:v>0</c:v>
                </c:pt>
                <c:pt idx="9">
                  <c:v>18819.061312907863</c:v>
                </c:pt>
                <c:pt idx="10">
                  <c:v>23493.38</c:v>
                </c:pt>
                <c:pt idx="11">
                  <c:v>33034.078819646667</c:v>
                </c:pt>
                <c:pt idx="12">
                  <c:v>16534.662763281838</c:v>
                </c:pt>
                <c:pt idx="13">
                  <c:v>5380</c:v>
                </c:pt>
                <c:pt idx="14">
                  <c:v>10039.36274509804</c:v>
                </c:pt>
                <c:pt idx="15">
                  <c:v>29521.797752808987</c:v>
                </c:pt>
                <c:pt idx="16">
                  <c:v>11761.889373353179</c:v>
                </c:pt>
                <c:pt idx="17">
                  <c:v>21821.88288901938</c:v>
                </c:pt>
                <c:pt idx="18">
                  <c:v>19597.978912760751</c:v>
                </c:pt>
                <c:pt idx="19">
                  <c:v>55287.128712871287</c:v>
                </c:pt>
                <c:pt idx="20">
                  <c:v>7661.4712364316529</c:v>
                </c:pt>
                <c:pt idx="21">
                  <c:v>14269.789227166279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1768"/>
        <c:axId val="459472160"/>
        <c:axId val="0"/>
      </c:bar3DChart>
      <c:catAx>
        <c:axId val="4594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2160"/>
        <c:crosses val="autoZero"/>
        <c:auto val="1"/>
        <c:lblAlgn val="ctr"/>
        <c:lblOffset val="100"/>
        <c:noMultiLvlLbl val="0"/>
      </c:catAx>
      <c:valAx>
        <c:axId val="459472160"/>
        <c:scaling>
          <c:orientation val="minMax"/>
          <c:max val="3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22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Clovis</c:v>
                </c:pt>
                <c:pt idx="6">
                  <c:v>Corrales</c:v>
                </c:pt>
                <c:pt idx="7">
                  <c:v>Edgewood</c:v>
                </c:pt>
                <c:pt idx="8">
                  <c:v>Ele Butte</c:v>
                </c:pt>
                <c:pt idx="9">
                  <c:v>Las Cruces</c:v>
                </c:pt>
                <c:pt idx="10">
                  <c:v>Lemitar</c:v>
                </c:pt>
                <c:pt idx="11">
                  <c:v>Los Alamos</c:v>
                </c:pt>
                <c:pt idx="12">
                  <c:v>Los Lunas</c:v>
                </c:pt>
                <c:pt idx="13">
                  <c:v>Pine hill</c:v>
                </c:pt>
                <c:pt idx="14">
                  <c:v>Placitas</c:v>
                </c:pt>
                <c:pt idx="15">
                  <c:v>Quemado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Taos</c:v>
                </c:pt>
                <c:pt idx="20">
                  <c:v>Tijeras</c:v>
                </c:pt>
                <c:pt idx="21">
                  <c:v>Torreon</c:v>
                </c:pt>
              </c:strCache>
            </c:strRef>
          </c:cat>
          <c:val>
            <c:numRef>
              <c:f>'Sales Location Analysis'!$F$4:$F$25</c:f>
              <c:numCache>
                <c:formatCode>0.00%</c:formatCode>
                <c:ptCount val="22"/>
                <c:pt idx="0">
                  <c:v>0.50953526519121795</c:v>
                </c:pt>
                <c:pt idx="1">
                  <c:v>0.19201597150873323</c:v>
                </c:pt>
                <c:pt idx="2">
                  <c:v>0.50645457800873139</c:v>
                </c:pt>
                <c:pt idx="3">
                  <c:v>0.51231757889423524</c:v>
                </c:pt>
                <c:pt idx="4">
                  <c:v>0.60957503751442865</c:v>
                </c:pt>
                <c:pt idx="5">
                  <c:v>0.5226804296594505</c:v>
                </c:pt>
                <c:pt idx="6">
                  <c:v>0.48310496639052014</c:v>
                </c:pt>
                <c:pt idx="7">
                  <c:v>0.63080381140242936</c:v>
                </c:pt>
                <c:pt idx="8">
                  <c:v>0</c:v>
                </c:pt>
                <c:pt idx="9">
                  <c:v>0.59835551798297115</c:v>
                </c:pt>
                <c:pt idx="10">
                  <c:v>0.25351567122312763</c:v>
                </c:pt>
                <c:pt idx="11">
                  <c:v>0.53807130263962211</c:v>
                </c:pt>
                <c:pt idx="12">
                  <c:v>0.46822438595706772</c:v>
                </c:pt>
                <c:pt idx="13">
                  <c:v>0.10846468401486987</c:v>
                </c:pt>
                <c:pt idx="14">
                  <c:v>0.48289231801174576</c:v>
                </c:pt>
                <c:pt idx="15">
                  <c:v>0.43427835459610875</c:v>
                </c:pt>
                <c:pt idx="16">
                  <c:v>0.50795394009770711</c:v>
                </c:pt>
                <c:pt idx="17">
                  <c:v>0.41579079942301028</c:v>
                </c:pt>
                <c:pt idx="18">
                  <c:v>0.45584901706519271</c:v>
                </c:pt>
                <c:pt idx="19">
                  <c:v>0.54958434129622524</c:v>
                </c:pt>
                <c:pt idx="20">
                  <c:v>0.41058622403472811</c:v>
                </c:pt>
                <c:pt idx="21">
                  <c:v>0.45702701864373413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8040"/>
        <c:axId val="459476864"/>
        <c:axId val="0"/>
      </c:bar3DChart>
      <c:catAx>
        <c:axId val="45947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6864"/>
        <c:crosses val="autoZero"/>
        <c:auto val="1"/>
        <c:lblAlgn val="ctr"/>
        <c:lblOffset val="100"/>
        <c:noMultiLvlLbl val="0"/>
      </c:catAx>
      <c:valAx>
        <c:axId val="459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Analysis'!$B$24:$B$31</c:f>
              <c:strCache>
                <c:ptCount val="5"/>
                <c:pt idx="0">
                  <c:v>Kitchen</c:v>
                </c:pt>
                <c:pt idx="1">
                  <c:v>Patio Covers</c:v>
                </c:pt>
                <c:pt idx="2">
                  <c:v>Sunroom</c:v>
                </c:pt>
                <c:pt idx="3">
                  <c:v>Windows</c:v>
                </c:pt>
                <c:pt idx="4">
                  <c:v>Overall average</c:v>
                </c:pt>
              </c:strCache>
            </c:strRef>
          </c:cat>
          <c:val>
            <c:numRef>
              <c:f>'Product Margin Analysis'!$C$24:$C$31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Analysis'!$B$24:$B$31</c:f>
              <c:strCache>
                <c:ptCount val="5"/>
                <c:pt idx="0">
                  <c:v>Kitchen</c:v>
                </c:pt>
                <c:pt idx="1">
                  <c:v>Patio Covers</c:v>
                </c:pt>
                <c:pt idx="2">
                  <c:v>Sunroom</c:v>
                </c:pt>
                <c:pt idx="3">
                  <c:v>Windows</c:v>
                </c:pt>
                <c:pt idx="4">
                  <c:v>Overall average</c:v>
                </c:pt>
              </c:strCache>
            </c:strRef>
          </c:cat>
          <c:val>
            <c:numRef>
              <c:f>'Product Margin Analysis'!$D$24:$D$31</c:f>
              <c:numCache>
                <c:formatCode>0.0%</c:formatCode>
                <c:ptCount val="8"/>
                <c:pt idx="0">
                  <c:v>0.40171909757503554</c:v>
                </c:pt>
                <c:pt idx="1">
                  <c:v>0.48986067120336302</c:v>
                </c:pt>
                <c:pt idx="2">
                  <c:v>0.57569668028232324</c:v>
                </c:pt>
                <c:pt idx="3">
                  <c:v>0.51798451286250136</c:v>
                </c:pt>
                <c:pt idx="4">
                  <c:v>0.49001917975163811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0264"/>
        <c:axId val="777159872"/>
        <c:axId val="0"/>
      </c:bar3DChart>
      <c:catAx>
        <c:axId val="77716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9872"/>
        <c:crosses val="autoZero"/>
        <c:auto val="1"/>
        <c:lblAlgn val="ctr"/>
        <c:lblOffset val="100"/>
        <c:noMultiLvlLbl val="0"/>
      </c:catAx>
      <c:valAx>
        <c:axId val="77715987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Analysis'!$B$4:$B$25</c:f>
              <c:strCache>
                <c:ptCount val="22"/>
                <c:pt idx="0">
                  <c:v>Abq</c:v>
                </c:pt>
                <c:pt idx="1">
                  <c:v>Belen</c:v>
                </c:pt>
                <c:pt idx="2">
                  <c:v>Bernalillo</c:v>
                </c:pt>
                <c:pt idx="3">
                  <c:v>Bosque Farms</c:v>
                </c:pt>
                <c:pt idx="4">
                  <c:v>Capitan</c:v>
                </c:pt>
                <c:pt idx="5">
                  <c:v>Clovis</c:v>
                </c:pt>
                <c:pt idx="6">
                  <c:v>Corrales</c:v>
                </c:pt>
                <c:pt idx="7">
                  <c:v>Edgewood</c:v>
                </c:pt>
                <c:pt idx="8">
                  <c:v>Ele Butte</c:v>
                </c:pt>
                <c:pt idx="9">
                  <c:v>Las Cruces</c:v>
                </c:pt>
                <c:pt idx="10">
                  <c:v>Lemitar</c:v>
                </c:pt>
                <c:pt idx="11">
                  <c:v>Los Alamos</c:v>
                </c:pt>
                <c:pt idx="12">
                  <c:v>Los Lunas</c:v>
                </c:pt>
                <c:pt idx="13">
                  <c:v>Pine hill</c:v>
                </c:pt>
                <c:pt idx="14">
                  <c:v>Placitas</c:v>
                </c:pt>
                <c:pt idx="15">
                  <c:v>Quemado</c:v>
                </c:pt>
                <c:pt idx="16">
                  <c:v>Rio Rancho</c:v>
                </c:pt>
                <c:pt idx="17">
                  <c:v>Sandia Park</c:v>
                </c:pt>
                <c:pt idx="18">
                  <c:v>Santa Fe</c:v>
                </c:pt>
                <c:pt idx="19">
                  <c:v>Taos</c:v>
                </c:pt>
                <c:pt idx="20">
                  <c:v>Tijeras</c:v>
                </c:pt>
                <c:pt idx="21">
                  <c:v>Torreon</c:v>
                </c:pt>
              </c:strCache>
            </c:strRef>
          </c:cat>
          <c:val>
            <c:numRef>
              <c:f>'Sales Location Analysis'!$G$4:$G$25</c:f>
              <c:numCache>
                <c:formatCode>"$"#,##0.00</c:formatCode>
                <c:ptCount val="22"/>
                <c:pt idx="0">
                  <c:v>379.1596796834919</c:v>
                </c:pt>
                <c:pt idx="1">
                  <c:v>-3232.6</c:v>
                </c:pt>
                <c:pt idx="2">
                  <c:v>614.62516151002239</c:v>
                </c:pt>
                <c:pt idx="3">
                  <c:v>-115.48732813402557</c:v>
                </c:pt>
                <c:pt idx="4">
                  <c:v>1172.8581041544785</c:v>
                </c:pt>
                <c:pt idx="5">
                  <c:v>2323.8273926439456</c:v>
                </c:pt>
                <c:pt idx="6">
                  <c:v>250.53746310284487</c:v>
                </c:pt>
                <c:pt idx="7">
                  <c:v>898.46452459760951</c:v>
                </c:pt>
                <c:pt idx="8">
                  <c:v>0</c:v>
                </c:pt>
                <c:pt idx="9">
                  <c:v>1680.7163129078608</c:v>
                </c:pt>
                <c:pt idx="10">
                  <c:v>-3117.07</c:v>
                </c:pt>
                <c:pt idx="11">
                  <c:v>553.1338196466686</c:v>
                </c:pt>
                <c:pt idx="12">
                  <c:v>1369.7133181490062</c:v>
                </c:pt>
                <c:pt idx="13">
                  <c:v>0</c:v>
                </c:pt>
                <c:pt idx="14">
                  <c:v>213.81658823529415</c:v>
                </c:pt>
                <c:pt idx="15">
                  <c:v>2741.69</c:v>
                </c:pt>
                <c:pt idx="16">
                  <c:v>636.27508518974753</c:v>
                </c:pt>
                <c:pt idx="17">
                  <c:v>550.06421608925245</c:v>
                </c:pt>
                <c:pt idx="18">
                  <c:v>111.31289629431311</c:v>
                </c:pt>
                <c:pt idx="19">
                  <c:v>2530.8937128712823</c:v>
                </c:pt>
                <c:pt idx="20">
                  <c:v>-38.623763568346476</c:v>
                </c:pt>
                <c:pt idx="21">
                  <c:v>78.864227166279306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59472944"/>
        <c:axId val="459473336"/>
        <c:axId val="0"/>
      </c:bar3DChart>
      <c:catAx>
        <c:axId val="4594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3336"/>
        <c:crossesAt val="-500"/>
        <c:auto val="1"/>
        <c:lblAlgn val="ctr"/>
        <c:lblOffset val="100"/>
        <c:noMultiLvlLbl val="0"/>
      </c:catAx>
      <c:valAx>
        <c:axId val="459473336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148778.38472103846</c:v>
                </c:pt>
                <c:pt idx="1">
                  <c:v>268631.68367455679</c:v>
                </c:pt>
                <c:pt idx="2">
                  <c:v>546578.26578353031</c:v>
                </c:pt>
                <c:pt idx="3">
                  <c:v>362532.47796293622</c:v>
                </c:pt>
                <c:pt idx="4">
                  <c:v>436963.04072194907</c:v>
                </c:pt>
                <c:pt idx="5">
                  <c:v>346769.64752579248</c:v>
                </c:pt>
                <c:pt idx="6">
                  <c:v>365319.15972316125</c:v>
                </c:pt>
                <c:pt idx="7">
                  <c:v>198485.66130841125</c:v>
                </c:pt>
                <c:pt idx="8">
                  <c:v>150178.60019862271</c:v>
                </c:pt>
                <c:pt idx="9">
                  <c:v>280066.28172436176</c:v>
                </c:pt>
                <c:pt idx="10">
                  <c:v>148885.32317948065</c:v>
                </c:pt>
                <c:pt idx="11">
                  <c:v>111106.86870280156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9765928"/>
        <c:axId val="469762400"/>
        <c:axId val="0"/>
      </c:bar3DChart>
      <c:dateAx>
        <c:axId val="469765928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2400"/>
        <c:crosses val="autoZero"/>
        <c:auto val="1"/>
        <c:lblOffset val="100"/>
        <c:baseTimeUnit val="months"/>
      </c:dateAx>
      <c:valAx>
        <c:axId val="469762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11</c:v>
                </c:pt>
                <c:pt idx="1">
                  <c:v>18</c:v>
                </c:pt>
                <c:pt idx="2">
                  <c:v>29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14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9763184"/>
        <c:axId val="469767888"/>
        <c:axId val="0"/>
      </c:bar3DChart>
      <c:dateAx>
        <c:axId val="469763184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7888"/>
        <c:crosses val="autoZero"/>
        <c:auto val="1"/>
        <c:lblOffset val="100"/>
        <c:baseTimeUnit val="months"/>
      </c:dateAx>
      <c:valAx>
        <c:axId val="46976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13525.307701912587</c:v>
                </c:pt>
                <c:pt idx="1">
                  <c:v>14923.982426364266</c:v>
                </c:pt>
                <c:pt idx="2">
                  <c:v>18847.52640632863</c:v>
                </c:pt>
                <c:pt idx="3">
                  <c:v>12084.415932097874</c:v>
                </c:pt>
                <c:pt idx="4">
                  <c:v>17478.521628877963</c:v>
                </c:pt>
                <c:pt idx="5">
                  <c:v>13870.785901031699</c:v>
                </c:pt>
                <c:pt idx="6">
                  <c:v>15221.63165513172</c:v>
                </c:pt>
                <c:pt idx="7">
                  <c:v>11026.981183800624</c:v>
                </c:pt>
                <c:pt idx="8">
                  <c:v>8343.2555665901509</c:v>
                </c:pt>
                <c:pt idx="9">
                  <c:v>16474.487160256573</c:v>
                </c:pt>
                <c:pt idx="10">
                  <c:v>10634.665941391475</c:v>
                </c:pt>
                <c:pt idx="11">
                  <c:v>18517.811450466925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69763576"/>
        <c:axId val="469768280"/>
        <c:axId val="0"/>
      </c:bar3DChart>
      <c:dateAx>
        <c:axId val="469763576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8280"/>
        <c:crosses val="autoZero"/>
        <c:auto val="1"/>
        <c:lblOffset val="100"/>
        <c:baseTimeUnit val="months"/>
      </c:dateAx>
      <c:valAx>
        <c:axId val="46976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6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0.50495954540832622</c:v>
                </c:pt>
                <c:pt idx="1">
                  <c:v>0.48222064901706485</c:v>
                </c:pt>
                <c:pt idx="2">
                  <c:v>0.46064269154112708</c:v>
                </c:pt>
                <c:pt idx="3">
                  <c:v>0.50666190452552762</c:v>
                </c:pt>
                <c:pt idx="4">
                  <c:v>0.5510549434738482</c:v>
                </c:pt>
                <c:pt idx="5">
                  <c:v>0.51063854832859557</c:v>
                </c:pt>
                <c:pt idx="6">
                  <c:v>0.48237985503749731</c:v>
                </c:pt>
                <c:pt idx="7">
                  <c:v>0.51768200028664679</c:v>
                </c:pt>
                <c:pt idx="8">
                  <c:v>0.49819444486615549</c:v>
                </c:pt>
                <c:pt idx="9">
                  <c:v>0.50037730861523766</c:v>
                </c:pt>
                <c:pt idx="10">
                  <c:v>0.46858875677614575</c:v>
                </c:pt>
                <c:pt idx="11">
                  <c:v>0.57907588472440397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70583552"/>
        <c:axId val="470588256"/>
        <c:axId val="0"/>
      </c:bar3DChart>
      <c:dateAx>
        <c:axId val="470583552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88256"/>
        <c:crosses val="autoZero"/>
        <c:auto val="1"/>
        <c:lblOffset val="100"/>
        <c:baseTimeUnit val="months"/>
      </c:dateAx>
      <c:valAx>
        <c:axId val="4705882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319387.93296144222</c:v>
                </c:pt>
                <c:pt idx="1">
                  <c:v>466329.26899487642</c:v>
                </c:pt>
                <c:pt idx="2">
                  <c:v>57535.653508230549</c:v>
                </c:pt>
                <c:pt idx="3">
                  <c:v>473680.25201548164</c:v>
                </c:pt>
                <c:pt idx="4">
                  <c:v>181969.95847268982</c:v>
                </c:pt>
                <c:pt idx="5">
                  <c:v>115052.69754633721</c:v>
                </c:pt>
                <c:pt idx="6">
                  <c:v>7776.5951332560835</c:v>
                </c:pt>
                <c:pt idx="7">
                  <c:v>95779.645692642152</c:v>
                </c:pt>
                <c:pt idx="8">
                  <c:v>443459.99199284561</c:v>
                </c:pt>
                <c:pt idx="9">
                  <c:v>19534.883720930233</c:v>
                </c:pt>
                <c:pt idx="10">
                  <c:v>120603.91062308548</c:v>
                </c:pt>
                <c:pt idx="11">
                  <c:v>23914.546360839904</c:v>
                </c:pt>
                <c:pt idx="12">
                  <c:v>54245.484497047932</c:v>
                </c:pt>
                <c:pt idx="13">
                  <c:v>281495.50545433699</c:v>
                </c:pt>
                <c:pt idx="14">
                  <c:v>254404.36859218191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1440"/>
        <c:axId val="777156736"/>
        <c:axId val="0"/>
      </c:bar3DChart>
      <c:catAx>
        <c:axId val="7771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6736"/>
        <c:crosses val="autoZero"/>
        <c:auto val="1"/>
        <c:lblAlgn val="ctr"/>
        <c:lblOffset val="100"/>
        <c:noMultiLvlLbl val="0"/>
      </c:catAx>
      <c:valAx>
        <c:axId val="77715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9980.8729050450693</c:v>
                </c:pt>
                <c:pt idx="1">
                  <c:v>24543.645736572442</c:v>
                </c:pt>
                <c:pt idx="2">
                  <c:v>5753.5653508230553</c:v>
                </c:pt>
                <c:pt idx="3">
                  <c:v>12802.168973391395</c:v>
                </c:pt>
                <c:pt idx="4">
                  <c:v>6739.6280915811039</c:v>
                </c:pt>
                <c:pt idx="5">
                  <c:v>16436.099649476742</c:v>
                </c:pt>
                <c:pt idx="6">
                  <c:v>3888.2975666280417</c:v>
                </c:pt>
                <c:pt idx="7">
                  <c:v>19155.92913852843</c:v>
                </c:pt>
                <c:pt idx="8">
                  <c:v>31675.713713774687</c:v>
                </c:pt>
                <c:pt idx="9">
                  <c:v>19534.883720930233</c:v>
                </c:pt>
                <c:pt idx="10">
                  <c:v>20100.651770514247</c:v>
                </c:pt>
                <c:pt idx="11">
                  <c:v>7971.5154536133014</c:v>
                </c:pt>
                <c:pt idx="12">
                  <c:v>4520.457041420661</c:v>
                </c:pt>
                <c:pt idx="13">
                  <c:v>10053.410909083465</c:v>
                </c:pt>
                <c:pt idx="14">
                  <c:v>14133.576032898995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3008"/>
        <c:axId val="7771645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319387.93296144222</c:v>
                      </c:pt>
                      <c:pt idx="1">
                        <c:v>466329.26899487642</c:v>
                      </c:pt>
                      <c:pt idx="2">
                        <c:v>57535.653508230549</c:v>
                      </c:pt>
                      <c:pt idx="3">
                        <c:v>473680.25201548164</c:v>
                      </c:pt>
                      <c:pt idx="4">
                        <c:v>181969.95847268982</c:v>
                      </c:pt>
                      <c:pt idx="5">
                        <c:v>115052.69754633721</c:v>
                      </c:pt>
                      <c:pt idx="6">
                        <c:v>7776.5951332560835</c:v>
                      </c:pt>
                      <c:pt idx="7">
                        <c:v>95779.645692642152</c:v>
                      </c:pt>
                      <c:pt idx="8">
                        <c:v>443459.99199284561</c:v>
                      </c:pt>
                      <c:pt idx="9">
                        <c:v>19534.883720930233</c:v>
                      </c:pt>
                      <c:pt idx="10">
                        <c:v>120603.91062308548</c:v>
                      </c:pt>
                      <c:pt idx="11">
                        <c:v>23914.546360839904</c:v>
                      </c:pt>
                      <c:pt idx="12">
                        <c:v>54245.484497047932</c:v>
                      </c:pt>
                      <c:pt idx="13">
                        <c:v>281495.50545433699</c:v>
                      </c:pt>
                      <c:pt idx="14">
                        <c:v>254404.36859218191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7771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4576"/>
        <c:crosses val="autoZero"/>
        <c:auto val="1"/>
        <c:lblAlgn val="ctr"/>
        <c:lblOffset val="100"/>
        <c:noMultiLvlLbl val="0"/>
      </c:catAx>
      <c:valAx>
        <c:axId val="777164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Analysis'!$B$23:$B$30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Analysis'!$C$23:$C$30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Analysis'!$B$23:$B$30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Analysis'!$D$23:$D$30</c:f>
              <c:numCache>
                <c:formatCode>"$"#,##0.00</c:formatCode>
                <c:ptCount val="8"/>
                <c:pt idx="0">
                  <c:v>319387.93296144222</c:v>
                </c:pt>
                <c:pt idx="1">
                  <c:v>466329.26899487642</c:v>
                </c:pt>
                <c:pt idx="2">
                  <c:v>836015.15667599521</c:v>
                </c:pt>
                <c:pt idx="3">
                  <c:v>703292.97839034325</c:v>
                </c:pt>
                <c:pt idx="4">
                  <c:v>590145.35854356689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4968"/>
        <c:axId val="777155168"/>
        <c:axId val="0"/>
      </c:bar3DChart>
      <c:catAx>
        <c:axId val="7771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5168"/>
        <c:crosses val="autoZero"/>
        <c:auto val="1"/>
        <c:lblAlgn val="ctr"/>
        <c:lblOffset val="100"/>
        <c:noMultiLvlLbl val="0"/>
      </c:catAx>
      <c:valAx>
        <c:axId val="777155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Analysis'!$C$4:$C$18</c:f>
              <c:strCache>
                <c:ptCount val="15"/>
                <c:pt idx="0">
                  <c:v>Chris M</c:v>
                </c:pt>
                <c:pt idx="1">
                  <c:v>Isaac</c:v>
                </c:pt>
                <c:pt idx="2">
                  <c:v>Jeff</c:v>
                </c:pt>
                <c:pt idx="3">
                  <c:v>OTC</c:v>
                </c:pt>
                <c:pt idx="4">
                  <c:v>Prime Time</c:v>
                </c:pt>
                <c:pt idx="5">
                  <c:v>Rob</c:v>
                </c:pt>
                <c:pt idx="6">
                  <c:v>Rob S</c:v>
                </c:pt>
                <c:pt idx="7">
                  <c:v>Marco</c:v>
                </c:pt>
                <c:pt idx="8">
                  <c:v>Mike R</c:v>
                </c:pt>
                <c:pt idx="9">
                  <c:v>Robert T</c:v>
                </c:pt>
                <c:pt idx="10">
                  <c:v>Russ</c:v>
                </c:pt>
                <c:pt idx="11">
                  <c:v>DIY</c:v>
                </c:pt>
                <c:pt idx="12">
                  <c:v>Don</c:v>
                </c:pt>
                <c:pt idx="13">
                  <c:v>JDDM Const</c:v>
                </c:pt>
                <c:pt idx="14">
                  <c:v>Thomas S.</c:v>
                </c:pt>
              </c:strCache>
            </c:strRef>
          </c:cat>
          <c:val>
            <c:numRef>
              <c:f>'Installer Analysis'!$D$4:$D$18</c:f>
              <c:numCache>
                <c:formatCode>0.00%</c:formatCode>
                <c:ptCount val="15"/>
                <c:pt idx="0">
                  <c:v>0.44309514893894497</c:v>
                </c:pt>
                <c:pt idx="1">
                  <c:v>0.42083763864032037</c:v>
                </c:pt>
                <c:pt idx="2">
                  <c:v>0.46187287595735055</c:v>
                </c:pt>
                <c:pt idx="3">
                  <c:v>0.58644295281427328</c:v>
                </c:pt>
                <c:pt idx="4">
                  <c:v>0.33974029896910346</c:v>
                </c:pt>
                <c:pt idx="5">
                  <c:v>0</c:v>
                </c:pt>
                <c:pt idx="6">
                  <c:v>0.50805009286374114</c:v>
                </c:pt>
                <c:pt idx="7">
                  <c:v>0.51648560417377509</c:v>
                </c:pt>
                <c:pt idx="8">
                  <c:v>0.44274687910506322</c:v>
                </c:pt>
                <c:pt idx="9">
                  <c:v>0.56005360031908291</c:v>
                </c:pt>
                <c:pt idx="10">
                  <c:v>0</c:v>
                </c:pt>
                <c:pt idx="11">
                  <c:v>0.50226347384949876</c:v>
                </c:pt>
                <c:pt idx="12">
                  <c:v>0.51753032245683195</c:v>
                </c:pt>
                <c:pt idx="13">
                  <c:v>0.52931760968603092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56344"/>
        <c:axId val="777163792"/>
        <c:axId val="0"/>
      </c:bar3DChart>
      <c:catAx>
        <c:axId val="777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3792"/>
        <c:crosses val="autoZero"/>
        <c:auto val="1"/>
        <c:lblAlgn val="ctr"/>
        <c:lblOffset val="100"/>
        <c:noMultiLvlLbl val="0"/>
      </c:catAx>
      <c:valAx>
        <c:axId val="77716379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Jobs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Analysis'!$C$4:$C$18</c:f>
              <c:strCache>
                <c:ptCount val="15"/>
                <c:pt idx="0">
                  <c:v>Chris M</c:v>
                </c:pt>
                <c:pt idx="1">
                  <c:v>Isaac</c:v>
                </c:pt>
                <c:pt idx="2">
                  <c:v>Jeff</c:v>
                </c:pt>
                <c:pt idx="3">
                  <c:v>OTC</c:v>
                </c:pt>
                <c:pt idx="4">
                  <c:v>Prime Time</c:v>
                </c:pt>
                <c:pt idx="5">
                  <c:v>Rob</c:v>
                </c:pt>
                <c:pt idx="6">
                  <c:v>Rob S</c:v>
                </c:pt>
                <c:pt idx="7">
                  <c:v>Marco</c:v>
                </c:pt>
                <c:pt idx="8">
                  <c:v>Mike R</c:v>
                </c:pt>
                <c:pt idx="9">
                  <c:v>Robert T</c:v>
                </c:pt>
                <c:pt idx="10">
                  <c:v>Russ</c:v>
                </c:pt>
                <c:pt idx="11">
                  <c:v>DIY</c:v>
                </c:pt>
                <c:pt idx="12">
                  <c:v>Don</c:v>
                </c:pt>
                <c:pt idx="13">
                  <c:v>JDDM Const</c:v>
                </c:pt>
                <c:pt idx="14">
                  <c:v>Thomas S.</c:v>
                </c:pt>
              </c:strCache>
            </c:strRef>
          </c:cat>
          <c:val>
            <c:numRef>
              <c:f>'Installer Analysis'!$E$4:$E$18</c:f>
              <c:numCache>
                <c:formatCode>0</c:formatCode>
                <c:ptCount val="15"/>
                <c:pt idx="0">
                  <c:v>33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10</c:v>
                </c:pt>
                <c:pt idx="7">
                  <c:v>47</c:v>
                </c:pt>
                <c:pt idx="8">
                  <c:v>14</c:v>
                </c:pt>
                <c:pt idx="9">
                  <c:v>25</c:v>
                </c:pt>
                <c:pt idx="10">
                  <c:v>0</c:v>
                </c:pt>
                <c:pt idx="11">
                  <c:v>2</c:v>
                </c:pt>
                <c:pt idx="12">
                  <c:v>40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65360"/>
        <c:axId val="777153208"/>
        <c:axId val="0"/>
      </c:bar3DChart>
      <c:catAx>
        <c:axId val="77716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3208"/>
        <c:crosses val="autoZero"/>
        <c:auto val="1"/>
        <c:lblAlgn val="ctr"/>
        <c:lblOffset val="100"/>
        <c:noMultiLvlLbl val="0"/>
      </c:catAx>
      <c:valAx>
        <c:axId val="77715320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599299.40565053094</c:v>
                </c:pt>
                <c:pt idx="1">
                  <c:v>71293.667560948947</c:v>
                </c:pt>
                <c:pt idx="2">
                  <c:v>286278.31004298729</c:v>
                </c:pt>
                <c:pt idx="3">
                  <c:v>511343.83437209303</c:v>
                </c:pt>
                <c:pt idx="4">
                  <c:v>19151.026527185426</c:v>
                </c:pt>
                <c:pt idx="5">
                  <c:v>1191441.4469981152</c:v>
                </c:pt>
                <c:pt idx="6">
                  <c:v>423132.61599301256</c:v>
                </c:pt>
                <c:pt idx="7">
                  <c:v>348750.17808176921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53992"/>
        <c:axId val="777154776"/>
        <c:axId val="0"/>
      </c:bar3DChart>
      <c:catAx>
        <c:axId val="7771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4776"/>
        <c:crosses val="autoZero"/>
        <c:auto val="1"/>
        <c:lblAlgn val="ctr"/>
        <c:lblOffset val="100"/>
        <c:noMultiLvlLbl val="0"/>
      </c:catAx>
      <c:valAx>
        <c:axId val="777154776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GL</c:v>
                </c:pt>
                <c:pt idx="3">
                  <c:v>JG</c:v>
                </c:pt>
                <c:pt idx="4">
                  <c:v>MS</c:v>
                </c:pt>
                <c:pt idx="5">
                  <c:v>MW</c:v>
                </c:pt>
                <c:pt idx="6">
                  <c:v>NS</c:v>
                </c:pt>
                <c:pt idx="7">
                  <c:v>TR</c:v>
                </c:pt>
              </c:strCache>
            </c:str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43</c:v>
                </c:pt>
                <c:pt idx="1">
                  <c:v>10</c:v>
                </c:pt>
                <c:pt idx="2">
                  <c:v>13</c:v>
                </c:pt>
                <c:pt idx="3">
                  <c:v>45</c:v>
                </c:pt>
                <c:pt idx="4">
                  <c:v>2</c:v>
                </c:pt>
                <c:pt idx="5">
                  <c:v>81</c:v>
                </c:pt>
                <c:pt idx="6">
                  <c:v>26</c:v>
                </c:pt>
                <c:pt idx="7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777157520"/>
        <c:axId val="777167320"/>
        <c:axId val="0"/>
      </c:bar3DChart>
      <c:catAx>
        <c:axId val="7771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7320"/>
        <c:crosses val="autoZero"/>
        <c:auto val="1"/>
        <c:lblAlgn val="ctr"/>
        <c:lblOffset val="100"/>
        <c:noMultiLvlLbl val="0"/>
      </c:catAx>
      <c:valAx>
        <c:axId val="777167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28</xdr:col>
      <xdr:colOff>590550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28</xdr:col>
      <xdr:colOff>581026</xdr:colOff>
      <xdr:row>64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14</xdr:row>
      <xdr:rowOff>9525</xdr:rowOff>
    </xdr:from>
    <xdr:to>
      <xdr:col>23</xdr:col>
      <xdr:colOff>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45</xdr:row>
      <xdr:rowOff>195261</xdr:rowOff>
    </xdr:from>
    <xdr:to>
      <xdr:col>23</xdr:col>
      <xdr:colOff>9525</xdr:colOff>
      <xdr:row>76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78</xdr:row>
      <xdr:rowOff>14287</xdr:rowOff>
    </xdr:from>
    <xdr:to>
      <xdr:col>22</xdr:col>
      <xdr:colOff>609599</xdr:colOff>
      <xdr:row>109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110</xdr:row>
      <xdr:rowOff>14287</xdr:rowOff>
    </xdr:from>
    <xdr:to>
      <xdr:col>22</xdr:col>
      <xdr:colOff>600074</xdr:colOff>
      <xdr:row>140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142</xdr:row>
      <xdr:rowOff>4762</xdr:rowOff>
    </xdr:from>
    <xdr:to>
      <xdr:col>23</xdr:col>
      <xdr:colOff>9525</xdr:colOff>
      <xdr:row>172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174</xdr:row>
      <xdr:rowOff>14286</xdr:rowOff>
    </xdr:from>
    <xdr:to>
      <xdr:col>22</xdr:col>
      <xdr:colOff>600075</xdr:colOff>
      <xdr:row>204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206</xdr:row>
      <xdr:rowOff>14287</xdr:rowOff>
    </xdr:from>
    <xdr:to>
      <xdr:col>23</xdr:col>
      <xdr:colOff>0</xdr:colOff>
      <xdr:row>237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238</xdr:row>
      <xdr:rowOff>14286</xdr:rowOff>
    </xdr:from>
    <xdr:to>
      <xdr:col>22</xdr:col>
      <xdr:colOff>609599</xdr:colOff>
      <xdr:row>268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28</xdr:row>
      <xdr:rowOff>9525</xdr:rowOff>
    </xdr:from>
    <xdr:to>
      <xdr:col>23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59</xdr:row>
      <xdr:rowOff>195261</xdr:rowOff>
    </xdr:from>
    <xdr:to>
      <xdr:col>23</xdr:col>
      <xdr:colOff>9525</xdr:colOff>
      <xdr:row>90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92</xdr:row>
      <xdr:rowOff>14287</xdr:rowOff>
    </xdr:from>
    <xdr:to>
      <xdr:col>22</xdr:col>
      <xdr:colOff>609599</xdr:colOff>
      <xdr:row>123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124</xdr:row>
      <xdr:rowOff>14287</xdr:rowOff>
    </xdr:from>
    <xdr:to>
      <xdr:col>22</xdr:col>
      <xdr:colOff>600074</xdr:colOff>
      <xdr:row>154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156</xdr:row>
      <xdr:rowOff>4761</xdr:rowOff>
    </xdr:from>
    <xdr:to>
      <xdr:col>22</xdr:col>
      <xdr:colOff>600075</xdr:colOff>
      <xdr:row>186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V600"/>
  <sheetViews>
    <sheetView showGridLines="0" tabSelected="1" zoomScale="90" zoomScaleNormal="90" workbookViewId="0">
      <pane ySplit="4" topLeftCell="A5" activePane="bottomLeft" state="frozen"/>
      <selection activeCell="C1" sqref="C1"/>
      <selection pane="bottomLeft" activeCell="H286" sqref="H286"/>
    </sheetView>
  </sheetViews>
  <sheetFormatPr defaultRowHeight="15" x14ac:dyDescent="0.25"/>
  <cols>
    <col min="1" max="1" width="2" customWidth="1"/>
    <col min="2" max="2" width="5.85546875" customWidth="1"/>
    <col min="3" max="3" width="12" style="1" customWidth="1"/>
    <col min="4" max="4" width="11.28515625" style="1" customWidth="1"/>
    <col min="5" max="5" width="11.42578125" style="1" bestFit="1" customWidth="1"/>
    <col min="6" max="6" width="17.28515625" style="1" customWidth="1"/>
    <col min="7" max="7" width="17.85546875" style="15" customWidth="1"/>
    <col min="8" max="8" width="12.5703125" style="1" customWidth="1"/>
    <col min="9" max="9" width="15.7109375" style="20" bestFit="1" customWidth="1"/>
    <col min="10" max="10" width="16.85546875" style="20" bestFit="1" customWidth="1"/>
    <col min="11" max="11" width="10.42578125" style="14" customWidth="1"/>
    <col min="12" max="12" width="15" style="20" customWidth="1"/>
    <col min="13" max="13" width="10.42578125" style="14" customWidth="1"/>
    <col min="14" max="14" width="16" style="17" customWidth="1"/>
    <col min="15" max="16" width="15.5703125" style="17" customWidth="1"/>
    <col min="17" max="17" width="116.85546875" style="7" customWidth="1"/>
    <col min="18" max="18" width="12" bestFit="1" customWidth="1"/>
    <col min="21" max="21" width="11.85546875" bestFit="1" customWidth="1"/>
  </cols>
  <sheetData>
    <row r="1" spans="2:21" ht="32.25" customHeight="1" x14ac:dyDescent="0.35">
      <c r="F1" s="125" t="s">
        <v>401</v>
      </c>
      <c r="G1" s="125"/>
      <c r="H1" s="125"/>
      <c r="I1" s="125"/>
      <c r="J1" s="125"/>
      <c r="K1" s="125"/>
      <c r="L1" s="125"/>
      <c r="M1" s="125"/>
    </row>
    <row r="2" spans="2:21" s="2" customFormat="1" ht="9" customHeight="1" thickBot="1" x14ac:dyDescent="0.3">
      <c r="C2" s="3"/>
      <c r="D2" s="3"/>
      <c r="E2" s="3"/>
      <c r="F2" s="3"/>
      <c r="G2" s="21"/>
      <c r="H2" s="3"/>
      <c r="I2" s="18"/>
      <c r="J2" s="18"/>
      <c r="K2" s="16"/>
      <c r="L2" s="18"/>
      <c r="M2" s="16"/>
      <c r="N2" s="19"/>
      <c r="O2" s="19"/>
      <c r="P2" s="19"/>
      <c r="Q2" s="8"/>
    </row>
    <row r="3" spans="2:21" s="2" customFormat="1" ht="22.5" customHeight="1" thickBot="1" x14ac:dyDescent="0.3">
      <c r="C3" s="3"/>
      <c r="D3" s="3"/>
      <c r="E3" s="3"/>
      <c r="F3" s="4"/>
      <c r="G3" s="126" t="s">
        <v>49</v>
      </c>
      <c r="H3" s="127"/>
      <c r="I3" s="29">
        <f>SUM(I5:INDEX(I5:I1048576,MATCH(TRUE,INDEX(ISBLANK(I5:I1048576),0,0),0)-1,0))</f>
        <v>3459505.9852266419</v>
      </c>
      <c r="J3" s="26">
        <f>SUM(J5:INDEX(J5:J1048576,MATCH(TRUE,INDEX(ISBLANK(J5:J1048576),0,0),0)-1,0))</f>
        <v>1764281.7000000002</v>
      </c>
      <c r="K3" s="27">
        <f>(I3-J3)/I3</f>
        <v>0.49001917975163811</v>
      </c>
      <c r="L3" s="26">
        <f>SUM(L5:INDEX(L5:L1048576,MATCH(TRUE,INDEX(ISBLANK(L5:L1048576),0,0),0)-1,0))</f>
        <v>334116.4755701528</v>
      </c>
      <c r="M3" s="27">
        <f>L3/I3</f>
        <v>9.6579244839278378E-2</v>
      </c>
      <c r="N3" s="26">
        <f>SUM(N5:INDEX(N5:N1048576,MATCH(TRUE,INDEX(ISBLANK(N5:N1048576),0,0),0)-1,0))</f>
        <v>121739.42967165221</v>
      </c>
      <c r="O3" s="26">
        <f>SUM(O5:INDEX(O5:O1048576,MATCH(TRUE,INDEX(ISBLANK(O5:O1048576),0,0),0)-1,0))</f>
        <v>11953.59</v>
      </c>
      <c r="P3" s="28">
        <f>SUM(P5:INDEX(P5:P1048576,MATCH(TRUE,INDEX(ISBLANK(P5:P1048576),0,0),0)-1,0))</f>
        <v>-935.18232558139516</v>
      </c>
      <c r="Q3" s="8"/>
    </row>
    <row r="4" spans="2:21" s="24" customFormat="1" ht="18" customHeight="1" thickBot="1" x14ac:dyDescent="0.3">
      <c r="B4" s="24" t="s">
        <v>23</v>
      </c>
      <c r="C4" s="104" t="s">
        <v>9</v>
      </c>
      <c r="D4" s="104" t="s">
        <v>20</v>
      </c>
      <c r="E4" s="104" t="s">
        <v>8</v>
      </c>
      <c r="F4" s="104" t="s">
        <v>0</v>
      </c>
      <c r="G4" s="104" t="s">
        <v>7</v>
      </c>
      <c r="H4" s="104" t="s">
        <v>2</v>
      </c>
      <c r="I4" s="105" t="s">
        <v>3</v>
      </c>
      <c r="J4" s="105" t="s">
        <v>1</v>
      </c>
      <c r="K4" s="106" t="s">
        <v>4</v>
      </c>
      <c r="L4" s="105" t="s">
        <v>5</v>
      </c>
      <c r="M4" s="106" t="s">
        <v>6</v>
      </c>
      <c r="N4" s="107" t="s">
        <v>10</v>
      </c>
      <c r="O4" s="107" t="s">
        <v>11</v>
      </c>
      <c r="P4" s="107" t="s">
        <v>25</v>
      </c>
      <c r="Q4" s="25" t="s">
        <v>26</v>
      </c>
    </row>
    <row r="5" spans="2:21" s="2" customFormat="1" ht="15.75" hidden="1" x14ac:dyDescent="0.25">
      <c r="B5" s="22"/>
      <c r="C5" s="88" t="s">
        <v>56</v>
      </c>
      <c r="D5" s="88" t="s">
        <v>57</v>
      </c>
      <c r="E5" s="88" t="s">
        <v>58</v>
      </c>
      <c r="F5" s="10">
        <v>43110</v>
      </c>
      <c r="G5" s="88" t="s">
        <v>59</v>
      </c>
      <c r="H5" s="88" t="s">
        <v>19</v>
      </c>
      <c r="I5" s="89">
        <v>12521.86046511628</v>
      </c>
      <c r="J5" s="89">
        <v>5325.18</v>
      </c>
      <c r="K5" s="90">
        <f t="shared" ref="K5:K181" si="0">(I5-J5)/I5</f>
        <v>0.57472932917316699</v>
      </c>
      <c r="L5" s="89">
        <v>1589.8302325581403</v>
      </c>
      <c r="M5" s="90">
        <f t="shared" ref="M5:M181" si="1">L5/I5</f>
        <v>0.12696437857514306</v>
      </c>
      <c r="N5" s="11">
        <v>1080.3604651162805</v>
      </c>
      <c r="O5" s="11">
        <v>0</v>
      </c>
      <c r="P5" s="11"/>
      <c r="Q5" s="11"/>
      <c r="R5" s="13"/>
      <c r="S5" s="13"/>
      <c r="T5" s="13"/>
      <c r="U5" s="13"/>
    </row>
    <row r="6" spans="2:21" s="2" customFormat="1" ht="15.75" hidden="1" x14ac:dyDescent="0.25">
      <c r="B6" s="22"/>
      <c r="C6" s="88" t="s">
        <v>56</v>
      </c>
      <c r="D6" s="88" t="s">
        <v>60</v>
      </c>
      <c r="E6" s="88" t="s">
        <v>414</v>
      </c>
      <c r="F6" s="10">
        <v>43102</v>
      </c>
      <c r="G6" s="88" t="s">
        <v>62</v>
      </c>
      <c r="H6" s="88" t="s">
        <v>29</v>
      </c>
      <c r="I6" s="89">
        <v>11906.976744186048</v>
      </c>
      <c r="J6" s="89">
        <v>4548.79</v>
      </c>
      <c r="K6" s="90">
        <f t="shared" si="0"/>
        <v>0.61797271484375005</v>
      </c>
      <c r="L6" s="89">
        <v>1250.4683720930241</v>
      </c>
      <c r="M6" s="90">
        <f t="shared" si="1"/>
        <v>0.10501980468750007</v>
      </c>
      <c r="N6" s="11">
        <v>263.17674418604838</v>
      </c>
      <c r="O6" s="11">
        <v>0</v>
      </c>
      <c r="P6" s="11"/>
      <c r="Q6" s="12"/>
      <c r="R6" s="13"/>
      <c r="S6" s="13"/>
      <c r="T6" s="13"/>
      <c r="U6" s="13"/>
    </row>
    <row r="7" spans="2:21" s="2" customFormat="1" ht="15.75" hidden="1" x14ac:dyDescent="0.25">
      <c r="B7" s="22"/>
      <c r="C7" s="88" t="s">
        <v>56</v>
      </c>
      <c r="D7" s="88" t="s">
        <v>60</v>
      </c>
      <c r="E7" s="88" t="s">
        <v>414</v>
      </c>
      <c r="F7" s="10">
        <v>43105</v>
      </c>
      <c r="G7" s="88" t="s">
        <v>63</v>
      </c>
      <c r="H7" s="88" t="s">
        <v>27</v>
      </c>
      <c r="I7" s="89">
        <v>23961.279069767443</v>
      </c>
      <c r="J7" s="89">
        <v>10327.370000000001</v>
      </c>
      <c r="K7" s="90">
        <f t="shared" si="0"/>
        <v>0.56899754934074842</v>
      </c>
      <c r="L7" s="89">
        <v>2224.5995348837223</v>
      </c>
      <c r="M7" s="90">
        <f t="shared" si="1"/>
        <v>9.2841435067235467E-2</v>
      </c>
      <c r="N7" s="11">
        <v>372.67906976744416</v>
      </c>
      <c r="O7" s="11">
        <v>0</v>
      </c>
      <c r="P7" s="11"/>
      <c r="Q7" s="12"/>
      <c r="R7" s="13"/>
      <c r="S7" s="13"/>
      <c r="T7" s="13"/>
      <c r="U7" s="13"/>
    </row>
    <row r="8" spans="2:21" s="2" customFormat="1" ht="15.75" hidden="1" x14ac:dyDescent="0.25">
      <c r="B8" s="22"/>
      <c r="C8" s="88" t="s">
        <v>56</v>
      </c>
      <c r="D8" s="88" t="s">
        <v>60</v>
      </c>
      <c r="E8" s="88" t="s">
        <v>58</v>
      </c>
      <c r="F8" s="10">
        <v>43110</v>
      </c>
      <c r="G8" s="88" t="s">
        <v>64</v>
      </c>
      <c r="H8" s="88" t="s">
        <v>17</v>
      </c>
      <c r="I8" s="89">
        <v>4651.1627906976746</v>
      </c>
      <c r="J8" s="89">
        <v>2272.96</v>
      </c>
      <c r="K8" s="90">
        <f t="shared" si="0"/>
        <v>0.51131360000000003</v>
      </c>
      <c r="L8" s="89">
        <v>511.88139534883732</v>
      </c>
      <c r="M8" s="90">
        <f t="shared" si="1"/>
        <v>0.11005450000000001</v>
      </c>
      <c r="N8" s="11">
        <v>160.66279069767461</v>
      </c>
      <c r="O8" s="11">
        <v>0</v>
      </c>
      <c r="P8" s="11"/>
      <c r="Q8" s="12"/>
      <c r="R8" s="13"/>
      <c r="S8" s="13"/>
      <c r="T8" s="13"/>
      <c r="U8" s="13"/>
    </row>
    <row r="9" spans="2:21" s="2" customFormat="1" ht="15.75" hidden="1" x14ac:dyDescent="0.25">
      <c r="B9" s="22"/>
      <c r="C9" s="88" t="s">
        <v>56</v>
      </c>
      <c r="D9" s="88" t="s">
        <v>60</v>
      </c>
      <c r="E9" s="88" t="s">
        <v>414</v>
      </c>
      <c r="F9" s="10">
        <v>43112</v>
      </c>
      <c r="G9" s="88" t="s">
        <v>65</v>
      </c>
      <c r="H9" s="88" t="s">
        <v>17</v>
      </c>
      <c r="I9" s="89">
        <v>4886.0140697674415</v>
      </c>
      <c r="J9" s="89">
        <v>2346.81</v>
      </c>
      <c r="K9" s="90">
        <f t="shared" si="0"/>
        <v>0.51968824352736653</v>
      </c>
      <c r="L9" s="89">
        <v>734.419034883721</v>
      </c>
      <c r="M9" s="90">
        <f t="shared" si="1"/>
        <v>0.1503104625563792</v>
      </c>
      <c r="N9" s="11">
        <v>770.29406976744212</v>
      </c>
      <c r="O9" s="11">
        <v>0</v>
      </c>
      <c r="P9" s="88" t="s">
        <v>66</v>
      </c>
      <c r="Q9" s="12"/>
      <c r="R9" s="13"/>
      <c r="S9" s="13"/>
      <c r="T9" s="13"/>
      <c r="U9" s="13"/>
    </row>
    <row r="10" spans="2:21" s="2" customFormat="1" ht="15.75" hidden="1" x14ac:dyDescent="0.25">
      <c r="B10" s="22"/>
      <c r="C10" s="88" t="s">
        <v>56</v>
      </c>
      <c r="D10" s="88" t="s">
        <v>57</v>
      </c>
      <c r="E10" s="88" t="s">
        <v>58</v>
      </c>
      <c r="F10" s="10">
        <v>43136</v>
      </c>
      <c r="G10" s="88" t="s">
        <v>67</v>
      </c>
      <c r="H10" s="88" t="s">
        <v>17</v>
      </c>
      <c r="I10" s="89">
        <v>6459.18</v>
      </c>
      <c r="J10" s="89">
        <v>3108.6</v>
      </c>
      <c r="K10" s="90">
        <f t="shared" si="0"/>
        <v>0.51873147984728718</v>
      </c>
      <c r="L10" s="89">
        <v>778.33000000000027</v>
      </c>
      <c r="M10" s="90">
        <f t="shared" si="1"/>
        <v>0.12049981576608799</v>
      </c>
      <c r="N10" s="11">
        <v>374.78000000000065</v>
      </c>
      <c r="O10" s="11">
        <v>0</v>
      </c>
      <c r="P10" s="11"/>
      <c r="Q10" s="12"/>
      <c r="R10" s="13"/>
      <c r="S10" s="13"/>
      <c r="T10" s="13"/>
      <c r="U10" s="13"/>
    </row>
    <row r="11" spans="2:21" s="2" customFormat="1" ht="15.75" hidden="1" x14ac:dyDescent="0.25">
      <c r="B11" s="22"/>
      <c r="C11" s="88" t="s">
        <v>56</v>
      </c>
      <c r="D11" s="88" t="s">
        <v>68</v>
      </c>
      <c r="E11" s="88" t="s">
        <v>84</v>
      </c>
      <c r="F11" s="10">
        <v>43123</v>
      </c>
      <c r="G11" s="88" t="s">
        <v>70</v>
      </c>
      <c r="H11" s="88" t="s">
        <v>15</v>
      </c>
      <c r="I11" s="89">
        <v>6604.6511627906975</v>
      </c>
      <c r="J11" s="89">
        <v>3467.8</v>
      </c>
      <c r="K11" s="90">
        <f t="shared" si="0"/>
        <v>0.47494577464788729</v>
      </c>
      <c r="L11" s="89">
        <v>614.47</v>
      </c>
      <c r="M11" s="90">
        <f t="shared" si="1"/>
        <v>9.3035950704225365E-2</v>
      </c>
      <c r="N11" s="11">
        <v>-35.619999999999997</v>
      </c>
      <c r="O11" s="11">
        <v>0</v>
      </c>
      <c r="P11" s="11" t="s">
        <v>71</v>
      </c>
      <c r="Q11" s="12"/>
      <c r="R11" s="13"/>
      <c r="S11" s="13"/>
      <c r="T11" s="13"/>
      <c r="U11" s="13"/>
    </row>
    <row r="12" spans="2:21" s="2" customFormat="1" ht="15.75" hidden="1" x14ac:dyDescent="0.25">
      <c r="B12" s="22"/>
      <c r="C12" s="88" t="s">
        <v>56</v>
      </c>
      <c r="D12" s="88" t="s">
        <v>57</v>
      </c>
      <c r="E12" s="88" t="s">
        <v>72</v>
      </c>
      <c r="F12" s="10">
        <v>43131</v>
      </c>
      <c r="G12" s="88" t="s">
        <v>73</v>
      </c>
      <c r="H12" s="88" t="s">
        <v>15</v>
      </c>
      <c r="I12" s="89">
        <v>13720.930232558139</v>
      </c>
      <c r="J12" s="89">
        <v>4147.54</v>
      </c>
      <c r="K12" s="90">
        <f t="shared" si="0"/>
        <v>0.69772166101694921</v>
      </c>
      <c r="L12" s="89">
        <v>2305.7947162790706</v>
      </c>
      <c r="M12" s="90">
        <f t="shared" si="1"/>
        <v>0.16804944542372888</v>
      </c>
      <c r="N12" s="11">
        <v>2404.2542325581417</v>
      </c>
      <c r="O12" s="11">
        <v>0</v>
      </c>
      <c r="P12" s="11"/>
      <c r="Q12" s="12"/>
      <c r="R12" s="13"/>
      <c r="S12" s="13"/>
      <c r="T12" s="13"/>
      <c r="U12" s="13"/>
    </row>
    <row r="13" spans="2:21" s="2" customFormat="1" ht="15.75" hidden="1" x14ac:dyDescent="0.25">
      <c r="B13" s="22"/>
      <c r="C13" s="88" t="s">
        <v>56</v>
      </c>
      <c r="D13" s="88" t="s">
        <v>68</v>
      </c>
      <c r="E13" s="88" t="s">
        <v>72</v>
      </c>
      <c r="F13" s="10">
        <v>43165</v>
      </c>
      <c r="G13" s="88" t="s">
        <v>74</v>
      </c>
      <c r="H13" s="88" t="s">
        <v>15</v>
      </c>
      <c r="I13" s="89">
        <v>9669.2744186046511</v>
      </c>
      <c r="J13" s="89">
        <v>4095.12</v>
      </c>
      <c r="K13" s="90">
        <f t="shared" si="0"/>
        <v>0.57648114814896767</v>
      </c>
      <c r="L13" s="89">
        <v>1665.3172093023254</v>
      </c>
      <c r="M13" s="90">
        <f t="shared" si="1"/>
        <v>0.17222773263090854</v>
      </c>
      <c r="N13" s="11">
        <v>1815.974418604651</v>
      </c>
      <c r="O13" s="11">
        <v>0</v>
      </c>
      <c r="P13" s="11"/>
      <c r="Q13" s="12"/>
      <c r="R13" s="13"/>
      <c r="S13" s="13"/>
      <c r="T13" s="13"/>
      <c r="U13" s="13"/>
    </row>
    <row r="14" spans="2:21" s="2" customFormat="1" ht="15.75" hidden="1" x14ac:dyDescent="0.25">
      <c r="B14" s="22"/>
      <c r="C14" s="88" t="s">
        <v>56</v>
      </c>
      <c r="D14" s="88" t="s">
        <v>75</v>
      </c>
      <c r="E14" s="88" t="s">
        <v>76</v>
      </c>
      <c r="F14" s="10">
        <v>43136</v>
      </c>
      <c r="G14" s="88" t="s">
        <v>77</v>
      </c>
      <c r="H14" s="88" t="s">
        <v>54</v>
      </c>
      <c r="I14" s="89">
        <v>4176.7441860465115</v>
      </c>
      <c r="J14" s="89">
        <v>1952.08</v>
      </c>
      <c r="K14" s="90">
        <f t="shared" si="0"/>
        <v>0.53263118040089086</v>
      </c>
      <c r="L14" s="89">
        <v>653.51209302325583</v>
      </c>
      <c r="M14" s="90">
        <f t="shared" si="1"/>
        <v>0.15646447661469934</v>
      </c>
      <c r="N14" s="11">
        <v>633.34418604651182</v>
      </c>
      <c r="O14" s="11">
        <v>0</v>
      </c>
      <c r="P14" s="11"/>
      <c r="Q14" s="12"/>
      <c r="R14" s="13"/>
      <c r="S14" s="13"/>
      <c r="T14" s="13"/>
      <c r="U14" s="13"/>
    </row>
    <row r="15" spans="2:21" s="2" customFormat="1" ht="15.75" hidden="1" x14ac:dyDescent="0.25">
      <c r="B15" s="22"/>
      <c r="C15" s="88" t="s">
        <v>56</v>
      </c>
      <c r="D15" s="88" t="s">
        <v>60</v>
      </c>
      <c r="E15" s="88" t="s">
        <v>58</v>
      </c>
      <c r="F15" s="10">
        <v>43138</v>
      </c>
      <c r="G15" s="88" t="s">
        <v>78</v>
      </c>
      <c r="H15" s="88" t="s">
        <v>24</v>
      </c>
      <c r="I15" s="89">
        <v>7873.1650029359944</v>
      </c>
      <c r="J15" s="89">
        <v>3339.52</v>
      </c>
      <c r="K15" s="90">
        <f t="shared" si="0"/>
        <v>0.57583513126491648</v>
      </c>
      <c r="L15" s="89">
        <v>979.50250146799726</v>
      </c>
      <c r="M15" s="90">
        <f t="shared" si="1"/>
        <v>0.12441025954653935</v>
      </c>
      <c r="N15" s="11">
        <v>686.96500293599456</v>
      </c>
      <c r="O15" s="11">
        <v>0</v>
      </c>
      <c r="P15" s="11"/>
      <c r="Q15" s="12"/>
      <c r="R15" s="13"/>
      <c r="S15" s="13"/>
      <c r="T15" s="13"/>
      <c r="U15" s="13"/>
    </row>
    <row r="16" spans="2:21" s="2" customFormat="1" ht="15.75" hidden="1" x14ac:dyDescent="0.25">
      <c r="B16" s="22"/>
      <c r="C16" s="88" t="s">
        <v>56</v>
      </c>
      <c r="D16" s="88" t="s">
        <v>57</v>
      </c>
      <c r="E16" s="88" t="s">
        <v>414</v>
      </c>
      <c r="F16" s="10">
        <v>43144</v>
      </c>
      <c r="G16" s="88" t="s">
        <v>79</v>
      </c>
      <c r="H16" s="88" t="s">
        <v>24</v>
      </c>
      <c r="I16" s="89">
        <v>7161.4199418604658</v>
      </c>
      <c r="J16" s="89">
        <v>3216.19</v>
      </c>
      <c r="K16" s="90">
        <f t="shared" si="0"/>
        <v>0.55090051608334178</v>
      </c>
      <c r="L16" s="89">
        <f>336.87+300</f>
        <v>636.87</v>
      </c>
      <c r="M16" s="90">
        <f t="shared" si="1"/>
        <v>8.8930687652782378E-2</v>
      </c>
      <c r="N16" s="11">
        <v>-775.68005813953368</v>
      </c>
      <c r="O16" s="11">
        <v>300</v>
      </c>
      <c r="P16" s="11" t="s">
        <v>80</v>
      </c>
      <c r="Q16" s="12"/>
      <c r="R16" s="13"/>
      <c r="S16" s="13"/>
      <c r="T16" s="13"/>
      <c r="U16" s="13"/>
    </row>
    <row r="17" spans="1:21" s="2" customFormat="1" ht="15.75" hidden="1" x14ac:dyDescent="0.25">
      <c r="B17" s="22"/>
      <c r="C17" s="88" t="s">
        <v>409</v>
      </c>
      <c r="D17" s="88" t="s">
        <v>57</v>
      </c>
      <c r="E17" s="88" t="s">
        <v>76</v>
      </c>
      <c r="F17" s="10">
        <v>43136</v>
      </c>
      <c r="G17" s="88" t="s">
        <v>81</v>
      </c>
      <c r="H17" s="88" t="s">
        <v>54</v>
      </c>
      <c r="I17" s="89">
        <v>11768.826619964975</v>
      </c>
      <c r="J17" s="89">
        <v>5758.68</v>
      </c>
      <c r="K17" s="90">
        <f t="shared" si="0"/>
        <v>0.51068358928571433</v>
      </c>
      <c r="L17" s="89">
        <v>1346.23</v>
      </c>
      <c r="M17" s="90">
        <f t="shared" si="1"/>
        <v>0.11438948363095237</v>
      </c>
      <c r="N17" s="11">
        <v>970.62661996497627</v>
      </c>
      <c r="O17" s="11">
        <v>0</v>
      </c>
      <c r="P17" s="11"/>
      <c r="Q17" s="12"/>
      <c r="R17" s="13"/>
      <c r="S17" s="13"/>
      <c r="T17" s="13"/>
      <c r="U17" s="13"/>
    </row>
    <row r="18" spans="1:21" s="2" customFormat="1" ht="15.75" hidden="1" x14ac:dyDescent="0.25">
      <c r="B18" s="22"/>
      <c r="C18" s="88" t="s">
        <v>100</v>
      </c>
      <c r="D18" s="88" t="s">
        <v>60</v>
      </c>
      <c r="E18" s="88" t="s">
        <v>76</v>
      </c>
      <c r="F18" s="10">
        <v>43164</v>
      </c>
      <c r="G18" s="88" t="s">
        <v>82</v>
      </c>
      <c r="H18" s="88" t="s">
        <v>13</v>
      </c>
      <c r="I18" s="89">
        <v>11930.341569428238</v>
      </c>
      <c r="J18" s="89">
        <v>5258.04</v>
      </c>
      <c r="K18" s="90">
        <f t="shared" si="0"/>
        <v>0.55927162944991926</v>
      </c>
      <c r="L18" s="89">
        <v>986.04978471411835</v>
      </c>
      <c r="M18" s="90">
        <f t="shared" si="1"/>
        <v>8.2650591265625836E-2</v>
      </c>
      <c r="N18" s="11">
        <v>470.64</v>
      </c>
      <c r="O18" s="11">
        <v>0</v>
      </c>
      <c r="P18" s="11"/>
      <c r="Q18" s="12"/>
      <c r="R18" s="13"/>
      <c r="S18" s="13"/>
      <c r="T18" s="13"/>
      <c r="U18" s="13"/>
    </row>
    <row r="19" spans="1:21" s="2" customFormat="1" ht="15.75" hidden="1" x14ac:dyDescent="0.25">
      <c r="B19" s="22"/>
      <c r="C19" s="88" t="s">
        <v>100</v>
      </c>
      <c r="D19" s="88" t="s">
        <v>83</v>
      </c>
      <c r="E19" s="88" t="s">
        <v>84</v>
      </c>
      <c r="F19" s="10">
        <v>43132</v>
      </c>
      <c r="G19" s="88" t="s">
        <v>85</v>
      </c>
      <c r="H19" s="88" t="s">
        <v>412</v>
      </c>
      <c r="I19" s="89">
        <v>22339.965417867435</v>
      </c>
      <c r="J19" s="89">
        <v>9751.2999999999993</v>
      </c>
      <c r="K19" s="90">
        <f t="shared" si="0"/>
        <v>0.56350424821155098</v>
      </c>
      <c r="L19" s="89">
        <v>2214.1659089337181</v>
      </c>
      <c r="M19" s="90">
        <f t="shared" si="1"/>
        <v>9.9112324818678321E-2</v>
      </c>
      <c r="N19" s="11">
        <v>1293.2558178674371</v>
      </c>
      <c r="O19" s="11">
        <v>0</v>
      </c>
      <c r="P19" s="11"/>
      <c r="Q19" s="12"/>
      <c r="R19" s="13"/>
      <c r="S19" s="13"/>
      <c r="T19" s="13"/>
      <c r="U19" s="13"/>
    </row>
    <row r="20" spans="1:21" s="2" customFormat="1" ht="15.75" hidden="1" x14ac:dyDescent="0.25">
      <c r="B20" s="22"/>
      <c r="C20" s="88" t="s">
        <v>56</v>
      </c>
      <c r="D20" s="88" t="s">
        <v>60</v>
      </c>
      <c r="E20" s="88" t="s">
        <v>58</v>
      </c>
      <c r="F20" s="10">
        <v>43139</v>
      </c>
      <c r="G20" s="88" t="s">
        <v>86</v>
      </c>
      <c r="H20" s="88" t="s">
        <v>14</v>
      </c>
      <c r="I20" s="89">
        <v>7381.3953488372099</v>
      </c>
      <c r="J20" s="89">
        <v>3910.48</v>
      </c>
      <c r="K20" s="90">
        <f t="shared" si="0"/>
        <v>0.47022482671707627</v>
      </c>
      <c r="L20" s="89">
        <v>795.63767441860512</v>
      </c>
      <c r="M20" s="90">
        <f t="shared" si="1"/>
        <v>0.10778960302457473</v>
      </c>
      <c r="N20" s="11">
        <v>379.99534883721026</v>
      </c>
      <c r="O20" s="11">
        <v>0</v>
      </c>
      <c r="P20" s="11" t="s">
        <v>87</v>
      </c>
      <c r="Q20" s="12"/>
      <c r="R20" s="13"/>
      <c r="S20" s="13"/>
      <c r="T20" s="13"/>
      <c r="U20" s="13"/>
    </row>
    <row r="21" spans="1:21" s="2" customFormat="1" ht="15.75" hidden="1" x14ac:dyDescent="0.25">
      <c r="B21" s="22"/>
      <c r="C21" s="88" t="s">
        <v>56</v>
      </c>
      <c r="D21" s="88" t="s">
        <v>75</v>
      </c>
      <c r="E21" s="88" t="s">
        <v>76</v>
      </c>
      <c r="F21" s="10">
        <v>43148</v>
      </c>
      <c r="G21" s="88" t="s">
        <v>88</v>
      </c>
      <c r="H21" s="88" t="s">
        <v>54</v>
      </c>
      <c r="I21" s="89">
        <v>4771.1627906976746</v>
      </c>
      <c r="J21" s="89">
        <v>4398.09</v>
      </c>
      <c r="K21" s="90">
        <f t="shared" si="0"/>
        <v>7.8193263794111914E-2</v>
      </c>
      <c r="L21" s="89">
        <v>225.9973953488377</v>
      </c>
      <c r="M21" s="90">
        <f t="shared" si="1"/>
        <v>4.7367362058880973E-2</v>
      </c>
      <c r="N21" s="11">
        <v>-222.63720930232466</v>
      </c>
      <c r="O21" s="11">
        <v>0</v>
      </c>
      <c r="P21" s="11" t="s">
        <v>89</v>
      </c>
      <c r="Q21" s="12"/>
      <c r="R21" s="13"/>
      <c r="S21" s="13"/>
      <c r="T21" s="13"/>
      <c r="U21" s="13"/>
    </row>
    <row r="22" spans="1:21" s="2" customFormat="1" ht="15.75" hidden="1" x14ac:dyDescent="0.25">
      <c r="B22" s="22"/>
      <c r="C22" s="88" t="s">
        <v>100</v>
      </c>
      <c r="D22" s="88" t="s">
        <v>57</v>
      </c>
      <c r="E22" s="88" t="s">
        <v>76</v>
      </c>
      <c r="F22" s="10">
        <v>43180</v>
      </c>
      <c r="G22" s="88" t="s">
        <v>90</v>
      </c>
      <c r="H22" s="88" t="s">
        <v>54</v>
      </c>
      <c r="I22" s="89">
        <v>2668.8448074679113</v>
      </c>
      <c r="J22" s="89">
        <v>1614.43</v>
      </c>
      <c r="K22" s="90">
        <f t="shared" si="0"/>
        <v>0.39508284802378452</v>
      </c>
      <c r="L22" s="89">
        <v>223.07</v>
      </c>
      <c r="M22" s="90">
        <f t="shared" si="1"/>
        <v>8.3582979188527459E-2</v>
      </c>
      <c r="N22" s="11">
        <v>152.34</v>
      </c>
      <c r="O22" s="11">
        <v>0</v>
      </c>
      <c r="P22" s="11" t="s">
        <v>91</v>
      </c>
      <c r="Q22" s="12"/>
      <c r="R22" s="13"/>
      <c r="S22" s="13"/>
      <c r="T22" s="13"/>
      <c r="U22" s="13"/>
    </row>
    <row r="23" spans="1:21" s="2" customFormat="1" ht="15.75" hidden="1" x14ac:dyDescent="0.25">
      <c r="B23" s="22"/>
      <c r="C23" s="88" t="s">
        <v>92</v>
      </c>
      <c r="D23" s="88" t="s">
        <v>57</v>
      </c>
      <c r="E23" s="88" t="s">
        <v>93</v>
      </c>
      <c r="F23" s="10">
        <v>43115</v>
      </c>
      <c r="G23" s="88" t="s">
        <v>94</v>
      </c>
      <c r="H23" s="88" t="s">
        <v>416</v>
      </c>
      <c r="I23" s="89">
        <v>7503.9705410122151</v>
      </c>
      <c r="J23" s="89">
        <v>5323.82</v>
      </c>
      <c r="K23" s="90">
        <f t="shared" si="0"/>
        <v>0.29053292908025374</v>
      </c>
      <c r="L23" s="89">
        <v>470</v>
      </c>
      <c r="M23" s="90">
        <f t="shared" si="1"/>
        <v>6.2633508144956204E-2</v>
      </c>
      <c r="N23" s="11">
        <v>-408.82945898778507</v>
      </c>
      <c r="O23" s="11">
        <v>262.32</v>
      </c>
      <c r="P23" s="11" t="s">
        <v>95</v>
      </c>
      <c r="Q23" s="12"/>
      <c r="R23" s="13"/>
      <c r="S23" s="13"/>
      <c r="T23" s="13"/>
      <c r="U23" s="13"/>
    </row>
    <row r="24" spans="1:21" s="2" customFormat="1" ht="15.75" hidden="1" x14ac:dyDescent="0.25">
      <c r="B24" s="22"/>
      <c r="C24" s="88" t="s">
        <v>92</v>
      </c>
      <c r="D24" s="88" t="s">
        <v>57</v>
      </c>
      <c r="E24" s="88" t="s">
        <v>414</v>
      </c>
      <c r="F24" s="10">
        <v>43115</v>
      </c>
      <c r="G24" s="88" t="s">
        <v>96</v>
      </c>
      <c r="H24" s="88" t="s">
        <v>17</v>
      </c>
      <c r="I24" s="89">
        <v>7026.1896451425246</v>
      </c>
      <c r="J24" s="89">
        <v>4115.12</v>
      </c>
      <c r="K24" s="90">
        <f t="shared" si="0"/>
        <v>0.41431697579570159</v>
      </c>
      <c r="L24" s="89">
        <v>422.57</v>
      </c>
      <c r="M24" s="90">
        <f t="shared" si="1"/>
        <v>6.0142128428335107E-2</v>
      </c>
      <c r="N24" s="11">
        <v>-227.63</v>
      </c>
      <c r="O24" s="11">
        <v>0</v>
      </c>
      <c r="P24" s="11"/>
      <c r="Q24" s="12"/>
      <c r="R24" s="13"/>
      <c r="S24" s="13"/>
      <c r="T24" s="13"/>
      <c r="U24" s="13"/>
    </row>
    <row r="25" spans="1:21" s="2" customFormat="1" ht="15.75" hidden="1" x14ac:dyDescent="0.25">
      <c r="B25" s="22"/>
      <c r="C25" s="88" t="s">
        <v>56</v>
      </c>
      <c r="D25" s="88" t="s">
        <v>60</v>
      </c>
      <c r="E25" s="88" t="s">
        <v>58</v>
      </c>
      <c r="F25" s="10">
        <v>43159</v>
      </c>
      <c r="G25" s="88" t="s">
        <v>97</v>
      </c>
      <c r="H25" s="88" t="s">
        <v>27</v>
      </c>
      <c r="I25" s="89">
        <v>22361.918604651164</v>
      </c>
      <c r="J25" s="89">
        <v>8517.35</v>
      </c>
      <c r="K25" s="90">
        <f t="shared" si="0"/>
        <v>0.61911363015924603</v>
      </c>
      <c r="L25" s="89">
        <v>2226.7693023255829</v>
      </c>
      <c r="M25" s="90">
        <f t="shared" si="1"/>
        <v>9.9578633734156707E-2</v>
      </c>
      <c r="N25" s="11">
        <v>732.44360465116551</v>
      </c>
      <c r="O25" s="11">
        <v>0</v>
      </c>
      <c r="P25" s="11"/>
      <c r="Q25" s="12"/>
      <c r="R25" s="13"/>
      <c r="S25" s="13"/>
      <c r="T25" s="13"/>
      <c r="U25" s="13"/>
    </row>
    <row r="26" spans="1:21" s="2" customFormat="1" ht="15.75" hidden="1" x14ac:dyDescent="0.25">
      <c r="B26" s="22"/>
      <c r="C26" s="88" t="s">
        <v>92</v>
      </c>
      <c r="D26" s="88" t="s">
        <v>57</v>
      </c>
      <c r="E26" s="88" t="s">
        <v>76</v>
      </c>
      <c r="F26" s="10">
        <v>43179</v>
      </c>
      <c r="G26" s="88" t="s">
        <v>98</v>
      </c>
      <c r="H26" s="88" t="s">
        <v>18</v>
      </c>
      <c r="I26" s="89">
        <v>6155.2065154159391</v>
      </c>
      <c r="J26" s="89">
        <v>3057.38</v>
      </c>
      <c r="K26" s="90">
        <f t="shared" si="0"/>
        <v>0.50328555307727196</v>
      </c>
      <c r="L26" s="89">
        <v>755.14325770796972</v>
      </c>
      <c r="M26" s="90">
        <f t="shared" si="1"/>
        <v>0.12268365908059882</v>
      </c>
      <c r="N26" s="11">
        <v>410.30651541593943</v>
      </c>
      <c r="O26" s="11">
        <v>0</v>
      </c>
      <c r="P26" s="11" t="s">
        <v>99</v>
      </c>
      <c r="Q26" s="12"/>
      <c r="R26" s="13"/>
      <c r="S26" s="13"/>
      <c r="T26" s="13"/>
      <c r="U26" s="13"/>
    </row>
    <row r="27" spans="1:21" s="2" customFormat="1" ht="15.75" hidden="1" x14ac:dyDescent="0.25">
      <c r="B27" s="22"/>
      <c r="C27" s="88" t="s">
        <v>100</v>
      </c>
      <c r="D27" s="88" t="s">
        <v>101</v>
      </c>
      <c r="E27" s="88" t="s">
        <v>102</v>
      </c>
      <c r="F27" s="10">
        <v>43182</v>
      </c>
      <c r="G27" s="88" t="s">
        <v>103</v>
      </c>
      <c r="H27" s="88" t="s">
        <v>16</v>
      </c>
      <c r="I27" s="89">
        <v>1948</v>
      </c>
      <c r="J27" s="89">
        <v>891.02</v>
      </c>
      <c r="K27" s="90">
        <f t="shared" si="0"/>
        <v>0.54259753593429161</v>
      </c>
      <c r="L27" s="89">
        <v>0</v>
      </c>
      <c r="M27" s="90">
        <f t="shared" si="1"/>
        <v>0</v>
      </c>
      <c r="N27" s="11">
        <v>0</v>
      </c>
      <c r="O27" s="11">
        <v>0</v>
      </c>
      <c r="P27" s="11" t="s">
        <v>104</v>
      </c>
      <c r="Q27" s="12"/>
      <c r="R27" s="13"/>
      <c r="S27" s="13"/>
      <c r="T27" s="13"/>
      <c r="U27" s="13"/>
    </row>
    <row r="28" spans="1:21" s="2" customFormat="1" ht="15.75" hidden="1" x14ac:dyDescent="0.25">
      <c r="B28" s="22"/>
      <c r="C28" s="88" t="s">
        <v>105</v>
      </c>
      <c r="D28" s="88" t="s">
        <v>101</v>
      </c>
      <c r="E28" s="88" t="s">
        <v>102</v>
      </c>
      <c r="F28" s="10">
        <v>43199</v>
      </c>
      <c r="G28" s="88" t="s">
        <v>106</v>
      </c>
      <c r="H28" s="88" t="s">
        <v>13</v>
      </c>
      <c r="I28" s="89">
        <v>1487.5</v>
      </c>
      <c r="J28" s="89">
        <v>800.38</v>
      </c>
      <c r="K28" s="90">
        <f t="shared" si="0"/>
        <v>0.46192941176470587</v>
      </c>
      <c r="L28" s="89">
        <v>0</v>
      </c>
      <c r="M28" s="90">
        <v>0</v>
      </c>
      <c r="N28" s="11">
        <v>0</v>
      </c>
      <c r="O28" s="11">
        <v>0</v>
      </c>
      <c r="P28" s="11" t="s">
        <v>104</v>
      </c>
      <c r="Q28" s="12"/>
      <c r="R28" s="13"/>
      <c r="S28" s="13"/>
      <c r="T28" s="13"/>
      <c r="U28" s="13"/>
    </row>
    <row r="29" spans="1:21" s="2" customFormat="1" ht="15.75" hidden="1" x14ac:dyDescent="0.25">
      <c r="B29" s="22"/>
      <c r="C29" s="88" t="s">
        <v>56</v>
      </c>
      <c r="D29" s="88" t="s">
        <v>60</v>
      </c>
      <c r="E29" s="88" t="s">
        <v>76</v>
      </c>
      <c r="F29" s="10">
        <v>43206</v>
      </c>
      <c r="G29" s="88" t="s">
        <v>107</v>
      </c>
      <c r="H29" s="88" t="s">
        <v>13</v>
      </c>
      <c r="I29" s="89">
        <v>1976.7441860465117</v>
      </c>
      <c r="J29" s="89">
        <v>768.38</v>
      </c>
      <c r="K29" s="90">
        <f t="shared" si="0"/>
        <v>0.61129011764705887</v>
      </c>
      <c r="L29" s="89">
        <v>189.6</v>
      </c>
      <c r="M29" s="90">
        <f t="shared" si="1"/>
        <v>9.5915294117647057E-2</v>
      </c>
      <c r="N29" s="11">
        <v>79.184186046511741</v>
      </c>
      <c r="O29" s="11">
        <v>60</v>
      </c>
      <c r="P29" s="11" t="s">
        <v>80</v>
      </c>
      <c r="Q29" s="12"/>
      <c r="R29" s="13"/>
      <c r="S29" s="13"/>
      <c r="T29" s="13"/>
      <c r="U29" s="13"/>
    </row>
    <row r="30" spans="1:21" s="2" customFormat="1" ht="15.75" hidden="1" x14ac:dyDescent="0.25">
      <c r="B30" s="22"/>
      <c r="C30" s="88" t="s">
        <v>92</v>
      </c>
      <c r="D30" s="88" t="s">
        <v>83</v>
      </c>
      <c r="E30" s="88" t="s">
        <v>108</v>
      </c>
      <c r="F30" s="10">
        <v>43167</v>
      </c>
      <c r="G30" s="88" t="s">
        <v>109</v>
      </c>
      <c r="H30" s="88" t="s">
        <v>15</v>
      </c>
      <c r="I30" s="89">
        <v>8238.2780686445603</v>
      </c>
      <c r="J30" s="89">
        <v>5980.87</v>
      </c>
      <c r="K30" s="90">
        <f t="shared" si="0"/>
        <v>0.27401455132188451</v>
      </c>
      <c r="L30" s="89">
        <v>589.17903432228036</v>
      </c>
      <c r="M30" s="90">
        <f t="shared" si="1"/>
        <v>7.1517255112416675E-2</v>
      </c>
      <c r="N30" s="11">
        <v>651.67806864456088</v>
      </c>
      <c r="O30" s="11">
        <v>0</v>
      </c>
      <c r="P30" s="11"/>
      <c r="Q30" s="12"/>
      <c r="R30" s="13"/>
      <c r="S30" s="13"/>
      <c r="T30" s="13"/>
      <c r="U30" s="13"/>
    </row>
    <row r="31" spans="1:21" s="2" customFormat="1" ht="15.75" hidden="1" x14ac:dyDescent="0.25">
      <c r="B31" s="22"/>
      <c r="C31" s="88" t="s">
        <v>110</v>
      </c>
      <c r="D31" s="88" t="s">
        <v>60</v>
      </c>
      <c r="E31" s="88" t="s">
        <v>58</v>
      </c>
      <c r="F31" s="10">
        <v>43157</v>
      </c>
      <c r="G31" s="88" t="s">
        <v>111</v>
      </c>
      <c r="H31" s="88" t="s">
        <v>29</v>
      </c>
      <c r="I31" s="89">
        <v>18003.462204270054</v>
      </c>
      <c r="J31" s="89">
        <v>7106.1</v>
      </c>
      <c r="K31" s="90">
        <f t="shared" si="0"/>
        <v>0.60529258653846152</v>
      </c>
      <c r="L31" s="89">
        <v>2178.537102135027</v>
      </c>
      <c r="M31" s="90">
        <f t="shared" si="1"/>
        <v>0.12100656403846158</v>
      </c>
      <c r="N31" s="11">
        <v>1893.4522042700537</v>
      </c>
      <c r="O31" s="11">
        <v>0</v>
      </c>
      <c r="P31" s="11"/>
      <c r="Q31" s="12"/>
      <c r="R31" s="13"/>
      <c r="S31" s="13"/>
      <c r="T31" s="13"/>
      <c r="U31" s="13"/>
    </row>
    <row r="32" spans="1:21" s="2" customFormat="1" ht="15.75" hidden="1" x14ac:dyDescent="0.25">
      <c r="A32" s="23"/>
      <c r="B32" s="22"/>
      <c r="C32" s="88" t="s">
        <v>100</v>
      </c>
      <c r="D32" s="88" t="s">
        <v>60</v>
      </c>
      <c r="E32" s="88" t="s">
        <v>414</v>
      </c>
      <c r="F32" s="10">
        <v>43144</v>
      </c>
      <c r="G32" s="88" t="s">
        <v>112</v>
      </c>
      <c r="H32" s="88" t="s">
        <v>28</v>
      </c>
      <c r="I32" s="89">
        <v>20500.288184438039</v>
      </c>
      <c r="J32" s="89">
        <f>11240.34-525</f>
        <v>10715.34</v>
      </c>
      <c r="K32" s="90">
        <f t="shared" si="0"/>
        <v>0.47730783569500673</v>
      </c>
      <c r="L32" s="89">
        <v>2101.79</v>
      </c>
      <c r="M32" s="90">
        <f t="shared" si="1"/>
        <v>0.10252490019118309</v>
      </c>
      <c r="N32" s="11">
        <v>414.62</v>
      </c>
      <c r="O32" s="11">
        <v>0</v>
      </c>
      <c r="P32" s="11" t="s">
        <v>113</v>
      </c>
      <c r="Q32" s="12"/>
      <c r="R32" s="13"/>
      <c r="S32" s="13"/>
      <c r="T32" s="13"/>
      <c r="U32" s="13"/>
    </row>
    <row r="33" spans="1:21" s="2" customFormat="1" ht="15.75" hidden="1" x14ac:dyDescent="0.25">
      <c r="A33" s="23"/>
      <c r="B33" s="22"/>
      <c r="C33" s="88" t="s">
        <v>56</v>
      </c>
      <c r="D33" s="88" t="s">
        <v>75</v>
      </c>
      <c r="E33" s="88" t="s">
        <v>76</v>
      </c>
      <c r="F33" s="10">
        <v>43173</v>
      </c>
      <c r="G33" s="88" t="s">
        <v>77</v>
      </c>
      <c r="H33" s="88" t="s">
        <v>54</v>
      </c>
      <c r="I33" s="89">
        <v>4770.2325581395353</v>
      </c>
      <c r="J33" s="89">
        <v>2425.21</v>
      </c>
      <c r="K33" s="90">
        <f t="shared" si="0"/>
        <v>0.49159501755070206</v>
      </c>
      <c r="L33" s="89">
        <v>448.05387906976767</v>
      </c>
      <c r="M33" s="90">
        <f t="shared" si="1"/>
        <v>9.3927051482059321E-2</v>
      </c>
      <c r="N33" s="11">
        <v>-28.673441860464663</v>
      </c>
      <c r="O33" s="11">
        <v>0</v>
      </c>
      <c r="P33" s="11"/>
      <c r="Q33" s="12"/>
      <c r="R33" s="13"/>
      <c r="S33" s="13"/>
      <c r="T33" s="13"/>
      <c r="U33" s="13"/>
    </row>
    <row r="34" spans="1:21" s="2" customFormat="1" ht="15.75" hidden="1" x14ac:dyDescent="0.25">
      <c r="A34" s="23"/>
      <c r="B34" s="22"/>
      <c r="C34" s="88" t="s">
        <v>56</v>
      </c>
      <c r="D34" s="88" t="s">
        <v>60</v>
      </c>
      <c r="E34" s="88" t="s">
        <v>58</v>
      </c>
      <c r="F34" s="10">
        <v>43181</v>
      </c>
      <c r="G34" s="88" t="s">
        <v>114</v>
      </c>
      <c r="H34" s="88" t="s">
        <v>14</v>
      </c>
      <c r="I34" s="89">
        <v>11627.906976744187</v>
      </c>
      <c r="J34" s="89">
        <v>5251.23</v>
      </c>
      <c r="K34" s="90">
        <f t="shared" si="0"/>
        <v>0.54839422000000004</v>
      </c>
      <c r="L34" s="89">
        <v>1076.5494883720935</v>
      </c>
      <c r="M34" s="90">
        <f t="shared" si="1"/>
        <v>9.258325600000003E-2</v>
      </c>
      <c r="N34" s="11">
        <v>171.14697674418676</v>
      </c>
      <c r="O34" s="11">
        <v>0</v>
      </c>
      <c r="P34" s="11"/>
      <c r="Q34" s="12"/>
      <c r="R34" s="13"/>
      <c r="S34" s="13"/>
      <c r="T34" s="13"/>
      <c r="U34" s="13"/>
    </row>
    <row r="35" spans="1:21" s="2" customFormat="1" ht="15.75" hidden="1" x14ac:dyDescent="0.25">
      <c r="A35" s="23"/>
      <c r="B35" s="22"/>
      <c r="C35" s="88" t="s">
        <v>56</v>
      </c>
      <c r="D35" s="88" t="s">
        <v>60</v>
      </c>
      <c r="E35" s="88" t="s">
        <v>414</v>
      </c>
      <c r="F35" s="10">
        <v>43203</v>
      </c>
      <c r="G35" s="88" t="s">
        <v>115</v>
      </c>
      <c r="H35" s="88" t="s">
        <v>19</v>
      </c>
      <c r="I35" s="89">
        <v>8186.0465116279074</v>
      </c>
      <c r="J35" s="89">
        <v>3021.98</v>
      </c>
      <c r="K35" s="90">
        <f t="shared" si="0"/>
        <v>0.63083767045454542</v>
      </c>
      <c r="L35" s="89">
        <v>897.24325581395385</v>
      </c>
      <c r="M35" s="90">
        <f t="shared" si="1"/>
        <v>0.10960642045454549</v>
      </c>
      <c r="N35" s="11">
        <v>600.8465116279076</v>
      </c>
      <c r="O35" s="11">
        <v>0</v>
      </c>
      <c r="P35" s="11"/>
      <c r="Q35" s="12"/>
      <c r="R35" s="13"/>
      <c r="S35" s="13"/>
      <c r="T35" s="13"/>
      <c r="U35" s="13"/>
    </row>
    <row r="36" spans="1:21" s="2" customFormat="1" ht="15.75" hidden="1" x14ac:dyDescent="0.25">
      <c r="A36" s="23"/>
      <c r="B36" s="22"/>
      <c r="C36" s="88" t="s">
        <v>56</v>
      </c>
      <c r="D36" s="88" t="s">
        <v>60</v>
      </c>
      <c r="E36" s="88" t="s">
        <v>414</v>
      </c>
      <c r="F36" s="10">
        <v>43142</v>
      </c>
      <c r="G36" s="88" t="s">
        <v>116</v>
      </c>
      <c r="H36" s="88" t="s">
        <v>14</v>
      </c>
      <c r="I36" s="89">
        <v>17441.860465116279</v>
      </c>
      <c r="J36" s="89">
        <v>8683.42</v>
      </c>
      <c r="K36" s="90">
        <f t="shared" si="0"/>
        <v>0.50215058666666668</v>
      </c>
      <c r="L36" s="89">
        <f>1462.57+250</f>
        <v>1712.57</v>
      </c>
      <c r="M36" s="90">
        <f t="shared" si="1"/>
        <v>9.8187346666666661E-2</v>
      </c>
      <c r="N36" s="11">
        <v>-341.77953488372077</v>
      </c>
      <c r="O36" s="11">
        <v>250</v>
      </c>
      <c r="P36" s="11" t="s">
        <v>80</v>
      </c>
      <c r="Q36" s="12"/>
      <c r="R36" s="13"/>
      <c r="S36" s="13"/>
      <c r="T36" s="13"/>
      <c r="U36" s="13"/>
    </row>
    <row r="37" spans="1:21" s="2" customFormat="1" ht="15.75" hidden="1" x14ac:dyDescent="0.25">
      <c r="A37" s="23"/>
      <c r="B37" s="22"/>
      <c r="C37" s="88" t="s">
        <v>110</v>
      </c>
      <c r="D37" s="88" t="s">
        <v>60</v>
      </c>
      <c r="E37" s="88" t="s">
        <v>58</v>
      </c>
      <c r="F37" s="10">
        <v>43174</v>
      </c>
      <c r="G37" s="88" t="s">
        <v>117</v>
      </c>
      <c r="H37" s="88" t="s">
        <v>19</v>
      </c>
      <c r="I37" s="89">
        <v>19634.660421545668</v>
      </c>
      <c r="J37" s="89">
        <v>8022.36</v>
      </c>
      <c r="K37" s="90">
        <f t="shared" si="0"/>
        <v>0.5914184494274809</v>
      </c>
      <c r="L37" s="89">
        <v>2340.798210772834</v>
      </c>
      <c r="M37" s="90">
        <f t="shared" si="1"/>
        <v>0.11921765696564886</v>
      </c>
      <c r="N37" s="11">
        <v>1467.9804215456679</v>
      </c>
      <c r="O37" s="11">
        <v>0</v>
      </c>
      <c r="P37" s="11"/>
      <c r="Q37" s="12"/>
      <c r="R37" s="13"/>
      <c r="S37" s="13"/>
      <c r="T37" s="13"/>
      <c r="U37" s="13"/>
    </row>
    <row r="38" spans="1:21" s="2" customFormat="1" ht="15.75" hidden="1" x14ac:dyDescent="0.25">
      <c r="A38" s="23"/>
      <c r="B38" s="22"/>
      <c r="C38" s="88" t="s">
        <v>56</v>
      </c>
      <c r="D38" s="88" t="s">
        <v>60</v>
      </c>
      <c r="E38" s="88" t="s">
        <v>414</v>
      </c>
      <c r="F38" s="10">
        <v>43204</v>
      </c>
      <c r="G38" s="88" t="s">
        <v>118</v>
      </c>
      <c r="H38" s="88" t="s">
        <v>14</v>
      </c>
      <c r="I38" s="89">
        <v>17627.906976744187</v>
      </c>
      <c r="J38" s="89">
        <v>7645.02</v>
      </c>
      <c r="K38" s="90">
        <f t="shared" si="0"/>
        <v>0.56631153034300796</v>
      </c>
      <c r="L38" s="89">
        <v>2277.6754883720937</v>
      </c>
      <c r="M38" s="90">
        <f t="shared" si="1"/>
        <v>0.12920850395778366</v>
      </c>
      <c r="N38" s="11">
        <v>1348.4619767441873</v>
      </c>
      <c r="O38" s="11">
        <v>0</v>
      </c>
      <c r="P38" s="11"/>
      <c r="Q38" s="12"/>
      <c r="R38" s="13"/>
      <c r="S38" s="13"/>
      <c r="T38" s="13"/>
      <c r="U38" s="13"/>
    </row>
    <row r="39" spans="1:21" s="2" customFormat="1" ht="15.75" hidden="1" x14ac:dyDescent="0.25">
      <c r="A39" s="23"/>
      <c r="B39" s="22"/>
      <c r="C39" s="88" t="s">
        <v>56</v>
      </c>
      <c r="D39" s="88" t="s">
        <v>60</v>
      </c>
      <c r="E39" s="88" t="s">
        <v>414</v>
      </c>
      <c r="F39" s="10">
        <v>43182</v>
      </c>
      <c r="G39" s="88" t="s">
        <v>119</v>
      </c>
      <c r="H39" s="88" t="s">
        <v>29</v>
      </c>
      <c r="I39" s="89">
        <v>20441.860465116279</v>
      </c>
      <c r="J39" s="89">
        <v>9479.58</v>
      </c>
      <c r="K39" s="90">
        <f t="shared" si="0"/>
        <v>0.53626627986348119</v>
      </c>
      <c r="L39" s="89">
        <v>1922.3602325581396</v>
      </c>
      <c r="M39" s="90">
        <f t="shared" si="1"/>
        <v>9.4040375426621164E-2</v>
      </c>
      <c r="N39" s="11">
        <v>312.31046511627937</v>
      </c>
      <c r="O39" s="11">
        <v>0</v>
      </c>
      <c r="P39" s="11"/>
      <c r="Q39" s="12"/>
      <c r="R39" s="13"/>
      <c r="S39" s="13"/>
      <c r="T39" s="13"/>
      <c r="U39" s="13"/>
    </row>
    <row r="40" spans="1:21" s="2" customFormat="1" ht="15.75" hidden="1" x14ac:dyDescent="0.25">
      <c r="A40" s="23"/>
      <c r="B40" s="22"/>
      <c r="C40" s="88" t="s">
        <v>92</v>
      </c>
      <c r="D40" s="88" t="s">
        <v>57</v>
      </c>
      <c r="E40" s="88" t="s">
        <v>76</v>
      </c>
      <c r="F40" s="10">
        <v>43193</v>
      </c>
      <c r="G40" s="88" t="s">
        <v>120</v>
      </c>
      <c r="H40" s="88" t="s">
        <v>54</v>
      </c>
      <c r="I40" s="89">
        <v>2620.1279813845258</v>
      </c>
      <c r="J40" s="89">
        <v>713.97</v>
      </c>
      <c r="K40" s="90">
        <f t="shared" si="0"/>
        <v>0.72750567717584369</v>
      </c>
      <c r="L40" s="89">
        <v>696.29839069226296</v>
      </c>
      <c r="M40" s="90">
        <f t="shared" si="1"/>
        <v>0.26574976323268207</v>
      </c>
      <c r="N40" s="11">
        <v>1129.4639813845258</v>
      </c>
      <c r="O40" s="11">
        <v>0</v>
      </c>
      <c r="P40" s="11"/>
      <c r="Q40" s="12"/>
      <c r="R40" s="13"/>
      <c r="S40" s="13"/>
      <c r="T40" s="13"/>
      <c r="U40" s="13"/>
    </row>
    <row r="41" spans="1:21" s="2" customFormat="1" ht="15.75" hidden="1" x14ac:dyDescent="0.25">
      <c r="A41" s="23"/>
      <c r="B41" s="22"/>
      <c r="C41" s="88" t="s">
        <v>56</v>
      </c>
      <c r="D41" s="88" t="s">
        <v>57</v>
      </c>
      <c r="E41" s="88" t="s">
        <v>76</v>
      </c>
      <c r="F41" s="10">
        <v>43168</v>
      </c>
      <c r="G41" s="88" t="s">
        <v>121</v>
      </c>
      <c r="H41" s="88" t="s">
        <v>18</v>
      </c>
      <c r="I41" s="89">
        <v>15000</v>
      </c>
      <c r="J41" s="89">
        <v>6805.77</v>
      </c>
      <c r="K41" s="90">
        <f t="shared" si="0"/>
        <v>0.54628199999999993</v>
      </c>
      <c r="L41" s="89">
        <v>1740.5400000000009</v>
      </c>
      <c r="M41" s="90">
        <f t="shared" si="1"/>
        <v>0.11603600000000006</v>
      </c>
      <c r="N41" s="11">
        <v>662.60000000000218</v>
      </c>
      <c r="O41" s="11">
        <v>0</v>
      </c>
      <c r="P41" s="11" t="s">
        <v>122</v>
      </c>
      <c r="Q41" s="12"/>
      <c r="R41" s="13"/>
      <c r="S41" s="13"/>
      <c r="T41" s="13"/>
      <c r="U41" s="13"/>
    </row>
    <row r="42" spans="1:21" s="2" customFormat="1" ht="15.75" hidden="1" x14ac:dyDescent="0.25">
      <c r="A42" s="23"/>
      <c r="B42" s="22"/>
      <c r="C42" s="88" t="s">
        <v>92</v>
      </c>
      <c r="D42" s="88" t="s">
        <v>123</v>
      </c>
      <c r="E42" s="88" t="s">
        <v>76</v>
      </c>
      <c r="F42" s="10">
        <v>43220</v>
      </c>
      <c r="G42" s="88" t="s">
        <v>124</v>
      </c>
      <c r="H42" s="88" t="s">
        <v>13</v>
      </c>
      <c r="I42" s="89">
        <v>8426.1002036067475</v>
      </c>
      <c r="J42" s="89">
        <v>3114.33</v>
      </c>
      <c r="K42" s="90">
        <f t="shared" si="0"/>
        <v>0.63039485352109537</v>
      </c>
      <c r="L42" s="89">
        <f>1235.42+100</f>
        <v>1335.42</v>
      </c>
      <c r="M42" s="90">
        <f t="shared" si="1"/>
        <v>0.15848612854477812</v>
      </c>
      <c r="N42" s="11">
        <v>1043.2702036067476</v>
      </c>
      <c r="O42" s="11">
        <v>100</v>
      </c>
      <c r="P42" s="11"/>
      <c r="Q42" s="12"/>
      <c r="R42" s="13"/>
      <c r="S42" s="13"/>
      <c r="T42" s="13"/>
      <c r="U42" s="13"/>
    </row>
    <row r="43" spans="1:21" s="2" customFormat="1" ht="15.75" hidden="1" x14ac:dyDescent="0.25">
      <c r="A43" s="23"/>
      <c r="B43" s="22"/>
      <c r="C43" s="88" t="s">
        <v>125</v>
      </c>
      <c r="D43" s="88" t="s">
        <v>123</v>
      </c>
      <c r="E43" s="88" t="s">
        <v>76</v>
      </c>
      <c r="F43" s="10">
        <v>43223</v>
      </c>
      <c r="G43" s="88" t="s">
        <v>126</v>
      </c>
      <c r="H43" s="88" t="s">
        <v>18</v>
      </c>
      <c r="I43" s="89">
        <v>10098.32</v>
      </c>
      <c r="J43" s="89">
        <v>4928.34</v>
      </c>
      <c r="K43" s="90">
        <f t="shared" si="0"/>
        <v>0.51196436635004627</v>
      </c>
      <c r="L43" s="89">
        <v>733.94000000000028</v>
      </c>
      <c r="M43" s="90">
        <f t="shared" si="1"/>
        <v>7.2679415982064371E-2</v>
      </c>
      <c r="N43" s="11">
        <v>-628.47999999999956</v>
      </c>
      <c r="O43" s="11">
        <v>0</v>
      </c>
      <c r="P43" s="11"/>
      <c r="Q43" s="12"/>
      <c r="R43" s="13"/>
      <c r="S43" s="13"/>
      <c r="T43" s="13"/>
      <c r="U43" s="13"/>
    </row>
    <row r="44" spans="1:21" s="2" customFormat="1" ht="15.75" hidden="1" x14ac:dyDescent="0.25">
      <c r="A44" s="23"/>
      <c r="B44" s="22"/>
      <c r="C44" s="88" t="s">
        <v>56</v>
      </c>
      <c r="D44" s="88" t="s">
        <v>83</v>
      </c>
      <c r="E44" s="88" t="s">
        <v>72</v>
      </c>
      <c r="F44" s="10">
        <v>43146</v>
      </c>
      <c r="G44" s="88" t="s">
        <v>127</v>
      </c>
      <c r="H44" s="88" t="s">
        <v>15</v>
      </c>
      <c r="I44" s="89">
        <v>7166.51</v>
      </c>
      <c r="J44" s="89">
        <f>4809.74</f>
        <v>4809.74</v>
      </c>
      <c r="K44" s="90">
        <f t="shared" si="0"/>
        <v>0.32885881691367214</v>
      </c>
      <c r="L44" s="89">
        <v>772.32</v>
      </c>
      <c r="M44" s="90">
        <f t="shared" si="1"/>
        <v>0.10776793725258181</v>
      </c>
      <c r="N44" s="11">
        <v>370.42</v>
      </c>
      <c r="O44" s="11">
        <v>0</v>
      </c>
      <c r="P44" s="11" t="s">
        <v>128</v>
      </c>
      <c r="Q44" s="12"/>
      <c r="R44" s="13"/>
      <c r="S44" s="13"/>
      <c r="T44" s="13"/>
      <c r="U44" s="13"/>
    </row>
    <row r="45" spans="1:21" s="2" customFormat="1" ht="15.75" hidden="1" x14ac:dyDescent="0.25">
      <c r="A45" s="23"/>
      <c r="B45" s="22"/>
      <c r="C45" s="88" t="s">
        <v>129</v>
      </c>
      <c r="D45" s="88" t="s">
        <v>68</v>
      </c>
      <c r="E45" s="88" t="s">
        <v>108</v>
      </c>
      <c r="F45" s="10">
        <v>43145</v>
      </c>
      <c r="G45" s="88" t="s">
        <v>130</v>
      </c>
      <c r="H45" s="88" t="s">
        <v>16</v>
      </c>
      <c r="I45" s="89">
        <v>24670.82</v>
      </c>
      <c r="J45" s="89">
        <f>12503.22</f>
        <v>12503.22</v>
      </c>
      <c r="K45" s="90">
        <f t="shared" si="0"/>
        <v>0.49319803719535876</v>
      </c>
      <c r="L45" s="89">
        <v>2643.21</v>
      </c>
      <c r="M45" s="90">
        <f t="shared" si="1"/>
        <v>0.10713912225049674</v>
      </c>
      <c r="N45" s="11">
        <v>1779.42</v>
      </c>
      <c r="O45" s="11">
        <v>0</v>
      </c>
      <c r="P45" s="11" t="s">
        <v>131</v>
      </c>
      <c r="Q45" s="12"/>
      <c r="R45" s="13"/>
      <c r="S45" s="13"/>
      <c r="T45" s="13"/>
      <c r="U45" s="13"/>
    </row>
    <row r="46" spans="1:21" s="2" customFormat="1" ht="15.75" hidden="1" x14ac:dyDescent="0.25">
      <c r="A46" s="23"/>
      <c r="B46" s="22"/>
      <c r="C46" s="88" t="s">
        <v>132</v>
      </c>
      <c r="D46" s="88" t="s">
        <v>101</v>
      </c>
      <c r="E46" s="88" t="s">
        <v>58</v>
      </c>
      <c r="F46" s="10">
        <v>43206</v>
      </c>
      <c r="G46" s="88" t="s">
        <v>133</v>
      </c>
      <c r="H46" s="88" t="s">
        <v>14</v>
      </c>
      <c r="I46" s="89">
        <v>5380</v>
      </c>
      <c r="J46" s="89">
        <v>4796.46</v>
      </c>
      <c r="K46" s="90">
        <f t="shared" si="0"/>
        <v>0.10846468401486987</v>
      </c>
      <c r="L46" s="89">
        <v>0</v>
      </c>
      <c r="M46" s="90">
        <f t="shared" si="1"/>
        <v>0</v>
      </c>
      <c r="N46" s="11">
        <v>0</v>
      </c>
      <c r="O46" s="11">
        <v>0</v>
      </c>
      <c r="P46" s="11"/>
      <c r="Q46" s="12"/>
      <c r="R46" s="13"/>
      <c r="S46" s="13"/>
      <c r="T46" s="13"/>
      <c r="U46" s="13"/>
    </row>
    <row r="47" spans="1:21" s="2" customFormat="1" ht="15.75" hidden="1" x14ac:dyDescent="0.25">
      <c r="A47" s="23"/>
      <c r="B47" s="22"/>
      <c r="C47" s="88" t="s">
        <v>56</v>
      </c>
      <c r="D47" s="88" t="s">
        <v>75</v>
      </c>
      <c r="E47" s="88" t="s">
        <v>76</v>
      </c>
      <c r="F47" s="10">
        <v>43203</v>
      </c>
      <c r="G47" s="88" t="s">
        <v>134</v>
      </c>
      <c r="H47" s="88" t="s">
        <v>13</v>
      </c>
      <c r="I47" s="89">
        <v>13609.88</v>
      </c>
      <c r="J47" s="89">
        <v>6698.73</v>
      </c>
      <c r="K47" s="90">
        <f t="shared" si="0"/>
        <v>0.50780388952731403</v>
      </c>
      <c r="L47" s="89">
        <v>1092.1300000000001</v>
      </c>
      <c r="M47" s="90">
        <f t="shared" si="1"/>
        <v>8.0245380561768373E-2</v>
      </c>
      <c r="N47" s="11">
        <v>-636.32651162790535</v>
      </c>
      <c r="O47" s="11">
        <v>0</v>
      </c>
      <c r="P47" s="11"/>
      <c r="Q47" s="12"/>
      <c r="R47" s="13"/>
      <c r="S47" s="13"/>
      <c r="T47" s="13"/>
      <c r="U47" s="13"/>
    </row>
    <row r="48" spans="1:21" s="2" customFormat="1" ht="15.75" hidden="1" x14ac:dyDescent="0.25">
      <c r="A48" s="23"/>
      <c r="B48" s="22"/>
      <c r="C48" s="88" t="s">
        <v>56</v>
      </c>
      <c r="D48" s="88" t="s">
        <v>60</v>
      </c>
      <c r="E48" s="88" t="s">
        <v>58</v>
      </c>
      <c r="F48" s="10">
        <v>43200</v>
      </c>
      <c r="G48" s="88" t="s">
        <v>135</v>
      </c>
      <c r="H48" s="88" t="s">
        <v>24</v>
      </c>
      <c r="I48" s="89">
        <v>5906.9767441860467</v>
      </c>
      <c r="J48" s="89">
        <v>2810.18</v>
      </c>
      <c r="K48" s="90">
        <f t="shared" si="0"/>
        <v>0.52426086614173228</v>
      </c>
      <c r="L48" s="89">
        <v>506.98837209302343</v>
      </c>
      <c r="M48" s="90">
        <f t="shared" si="1"/>
        <v>8.5828740157480335E-2</v>
      </c>
      <c r="N48" s="11">
        <v>0.72674418604674429</v>
      </c>
      <c r="O48" s="11">
        <v>0</v>
      </c>
      <c r="P48" s="11"/>
      <c r="Q48" s="12"/>
      <c r="R48" s="13"/>
      <c r="S48" s="13"/>
      <c r="T48" s="13"/>
      <c r="U48" s="13"/>
    </row>
    <row r="49" spans="1:21" s="2" customFormat="1" ht="15.75" hidden="1" x14ac:dyDescent="0.25">
      <c r="A49" s="23"/>
      <c r="B49" s="22"/>
      <c r="C49" s="88" t="s">
        <v>56</v>
      </c>
      <c r="D49" s="88" t="s">
        <v>57</v>
      </c>
      <c r="E49" s="88" t="s">
        <v>58</v>
      </c>
      <c r="F49" s="10">
        <v>43220</v>
      </c>
      <c r="G49" s="88" t="s">
        <v>136</v>
      </c>
      <c r="H49" s="88" t="s">
        <v>17</v>
      </c>
      <c r="I49" s="89">
        <v>3681.8604651162791</v>
      </c>
      <c r="J49" s="89">
        <v>1740.88</v>
      </c>
      <c r="K49" s="90">
        <f t="shared" si="0"/>
        <v>0.52717382516422429</v>
      </c>
      <c r="L49" s="89">
        <v>527.03023255813957</v>
      </c>
      <c r="M49" s="90">
        <f t="shared" si="1"/>
        <v>0.14314236988377971</v>
      </c>
      <c r="N49" s="11">
        <v>440.8604651162791</v>
      </c>
      <c r="O49" s="11">
        <v>0</v>
      </c>
      <c r="P49" s="11"/>
      <c r="Q49" s="12"/>
      <c r="R49" s="13"/>
      <c r="S49" s="13"/>
      <c r="T49" s="13"/>
      <c r="U49" s="13"/>
    </row>
    <row r="50" spans="1:21" s="2" customFormat="1" ht="15.75" hidden="1" x14ac:dyDescent="0.25">
      <c r="A50" s="23"/>
      <c r="B50" s="22"/>
      <c r="C50" s="88" t="s">
        <v>92</v>
      </c>
      <c r="D50" s="88" t="s">
        <v>57</v>
      </c>
      <c r="E50" s="88" t="s">
        <v>137</v>
      </c>
      <c r="F50" s="10">
        <v>43220</v>
      </c>
      <c r="G50" s="88" t="s">
        <v>138</v>
      </c>
      <c r="H50" s="88" t="s">
        <v>139</v>
      </c>
      <c r="I50" s="89">
        <v>30518.208260616637</v>
      </c>
      <c r="J50" s="89">
        <v>15709</v>
      </c>
      <c r="K50" s="90">
        <f t="shared" si="0"/>
        <v>0.48525811653653772</v>
      </c>
      <c r="L50" s="89">
        <v>4557.1541303083177</v>
      </c>
      <c r="M50" s="90">
        <f t="shared" si="1"/>
        <v>0.14932574322160544</v>
      </c>
      <c r="N50" s="11">
        <v>4536.3082606166354</v>
      </c>
      <c r="O50" s="11">
        <v>0</v>
      </c>
      <c r="P50" s="11" t="s">
        <v>140</v>
      </c>
      <c r="Q50" s="12"/>
      <c r="R50" s="13"/>
      <c r="S50" s="13"/>
      <c r="T50" s="13"/>
      <c r="U50" s="13"/>
    </row>
    <row r="51" spans="1:21" s="2" customFormat="1" ht="15.75" hidden="1" x14ac:dyDescent="0.25">
      <c r="A51" s="23"/>
      <c r="B51" s="22"/>
      <c r="C51" s="88" t="s">
        <v>56</v>
      </c>
      <c r="D51" s="88" t="s">
        <v>57</v>
      </c>
      <c r="E51" s="88" t="s">
        <v>58</v>
      </c>
      <c r="F51" s="10">
        <v>43188</v>
      </c>
      <c r="G51" s="88" t="s">
        <v>141</v>
      </c>
      <c r="H51" s="88" t="s">
        <v>14</v>
      </c>
      <c r="I51" s="89">
        <v>7289.4104651162788</v>
      </c>
      <c r="J51" s="89">
        <v>3874.44</v>
      </c>
      <c r="K51" s="90">
        <f t="shared" si="0"/>
        <v>0.46848376579405643</v>
      </c>
      <c r="L51" s="89">
        <v>498.90523255813946</v>
      </c>
      <c r="M51" s="90">
        <f t="shared" si="1"/>
        <v>6.8442466636453994E-2</v>
      </c>
      <c r="N51" s="11">
        <v>-403.58953488372117</v>
      </c>
      <c r="O51" s="11">
        <v>0</v>
      </c>
      <c r="P51" s="11"/>
      <c r="Q51" s="12"/>
      <c r="R51" s="13"/>
      <c r="S51" s="13"/>
      <c r="T51" s="13"/>
      <c r="U51" s="13"/>
    </row>
    <row r="52" spans="1:21" s="2" customFormat="1" ht="15.75" hidden="1" x14ac:dyDescent="0.25">
      <c r="A52" s="23"/>
      <c r="B52" s="22"/>
      <c r="C52" s="88" t="s">
        <v>92</v>
      </c>
      <c r="D52" s="88" t="s">
        <v>57</v>
      </c>
      <c r="E52" s="88" t="s">
        <v>58</v>
      </c>
      <c r="F52" s="10">
        <v>43210</v>
      </c>
      <c r="G52" s="88" t="s">
        <v>142</v>
      </c>
      <c r="H52" s="88" t="s">
        <v>17</v>
      </c>
      <c r="I52" s="89">
        <v>7308.4351367073878</v>
      </c>
      <c r="J52" s="89">
        <v>4369.28</v>
      </c>
      <c r="K52" s="90">
        <f t="shared" si="0"/>
        <v>0.40215929699439634</v>
      </c>
      <c r="L52" s="89">
        <v>640.01756835369395</v>
      </c>
      <c r="M52" s="90">
        <f t="shared" si="1"/>
        <v>8.7572449694345383E-2</v>
      </c>
      <c r="N52" s="11">
        <v>-41.564863292612245</v>
      </c>
      <c r="O52" s="11">
        <v>0</v>
      </c>
      <c r="P52" s="11" t="s">
        <v>143</v>
      </c>
      <c r="Q52" s="12"/>
      <c r="R52" s="13"/>
      <c r="S52" s="13"/>
      <c r="T52" s="13"/>
      <c r="U52" s="13"/>
    </row>
    <row r="53" spans="1:21" s="2" customFormat="1" ht="15.75" hidden="1" x14ac:dyDescent="0.25">
      <c r="A53" s="23"/>
      <c r="B53" s="22"/>
      <c r="C53" s="88" t="s">
        <v>56</v>
      </c>
      <c r="D53" s="88" t="s">
        <v>75</v>
      </c>
      <c r="E53" s="88" t="s">
        <v>84</v>
      </c>
      <c r="F53" s="10">
        <v>43145</v>
      </c>
      <c r="G53" s="88" t="s">
        <v>144</v>
      </c>
      <c r="H53" s="88" t="s">
        <v>15</v>
      </c>
      <c r="I53" s="89">
        <v>9721.8604651162786</v>
      </c>
      <c r="J53" s="89">
        <v>4167.49</v>
      </c>
      <c r="K53" s="90">
        <f t="shared" si="0"/>
        <v>0.57132793512582525</v>
      </c>
      <c r="L53" s="89">
        <v>1455.5502325581399</v>
      </c>
      <c r="M53" s="90">
        <f t="shared" si="1"/>
        <v>0.1497193091570185</v>
      </c>
      <c r="N53" s="11">
        <v>1336.6604651162797</v>
      </c>
      <c r="O53" s="11">
        <v>0</v>
      </c>
      <c r="P53" s="11"/>
      <c r="Q53" s="12"/>
      <c r="R53" s="13"/>
      <c r="S53" s="13"/>
      <c r="T53" s="13"/>
      <c r="U53" s="13"/>
    </row>
    <row r="54" spans="1:21" s="2" customFormat="1" ht="15.75" hidden="1" x14ac:dyDescent="0.25">
      <c r="A54" s="23"/>
      <c r="B54" s="22"/>
      <c r="C54" s="88" t="s">
        <v>409</v>
      </c>
      <c r="D54" s="88" t="s">
        <v>60</v>
      </c>
      <c r="E54" s="88" t="s">
        <v>414</v>
      </c>
      <c r="F54" s="10">
        <v>43168</v>
      </c>
      <c r="G54" s="88" t="s">
        <v>145</v>
      </c>
      <c r="H54" s="88" t="s">
        <v>31</v>
      </c>
      <c r="I54" s="89">
        <v>4417.5159077641565</v>
      </c>
      <c r="J54" s="89">
        <v>2239.85</v>
      </c>
      <c r="K54" s="90">
        <f t="shared" si="0"/>
        <v>0.49296164478700016</v>
      </c>
      <c r="L54" s="89">
        <v>570.21195388207843</v>
      </c>
      <c r="M54" s="90">
        <f t="shared" si="1"/>
        <v>0.12907977374340246</v>
      </c>
      <c r="N54" s="11">
        <v>426.15090776415673</v>
      </c>
      <c r="O54" s="11">
        <v>0</v>
      </c>
      <c r="P54" s="11" t="s">
        <v>146</v>
      </c>
      <c r="Q54" s="12"/>
      <c r="R54" s="13"/>
      <c r="S54" s="13"/>
      <c r="T54" s="13"/>
      <c r="U54" s="13"/>
    </row>
    <row r="55" spans="1:21" s="2" customFormat="1" ht="15.75" hidden="1" x14ac:dyDescent="0.25">
      <c r="A55" s="23"/>
      <c r="B55" s="22"/>
      <c r="C55" s="88" t="s">
        <v>92</v>
      </c>
      <c r="D55" s="88" t="s">
        <v>60</v>
      </c>
      <c r="E55" s="88" t="s">
        <v>58</v>
      </c>
      <c r="F55" s="10">
        <v>43181</v>
      </c>
      <c r="G55" s="88" t="s">
        <v>147</v>
      </c>
      <c r="H55" s="88" t="s">
        <v>14</v>
      </c>
      <c r="I55" s="89">
        <v>10773.71</v>
      </c>
      <c r="J55" s="89">
        <v>6004.1</v>
      </c>
      <c r="K55" s="90">
        <f t="shared" si="0"/>
        <v>0.44270822214446082</v>
      </c>
      <c r="L55" s="89">
        <v>1055.3399999999999</v>
      </c>
      <c r="M55" s="90">
        <f t="shared" si="1"/>
        <v>9.7955114811889316E-2</v>
      </c>
      <c r="N55" s="11">
        <v>-854.34</v>
      </c>
      <c r="O55" s="11">
        <v>407.21</v>
      </c>
      <c r="P55" s="11" t="s">
        <v>148</v>
      </c>
      <c r="Q55" s="12"/>
      <c r="R55" s="13"/>
      <c r="S55" s="13"/>
      <c r="T55" s="13"/>
      <c r="U55" s="13"/>
    </row>
    <row r="56" spans="1:21" s="2" customFormat="1" ht="15.75" hidden="1" x14ac:dyDescent="0.25">
      <c r="A56" s="23"/>
      <c r="B56" s="22"/>
      <c r="C56" s="88" t="s">
        <v>92</v>
      </c>
      <c r="D56" s="88" t="s">
        <v>60</v>
      </c>
      <c r="E56" s="88" t="s">
        <v>414</v>
      </c>
      <c r="F56" s="10">
        <v>43143</v>
      </c>
      <c r="G56" s="88" t="s">
        <v>149</v>
      </c>
      <c r="H56" s="88" t="s">
        <v>31</v>
      </c>
      <c r="I56" s="89">
        <v>14892.379290285049</v>
      </c>
      <c r="J56" s="89">
        <v>5621.39</v>
      </c>
      <c r="K56" s="90">
        <f t="shared" si="0"/>
        <v>0.62253244492187487</v>
      </c>
      <c r="L56" s="89">
        <v>1501.27</v>
      </c>
      <c r="M56" s="90">
        <f t="shared" si="1"/>
        <v>0.100807934765625</v>
      </c>
      <c r="N56" s="11">
        <v>742.57929028504986</v>
      </c>
      <c r="O56" s="11">
        <v>100</v>
      </c>
      <c r="P56" s="11"/>
      <c r="Q56" s="12"/>
      <c r="R56" s="13"/>
      <c r="S56" s="13"/>
      <c r="T56" s="13"/>
      <c r="U56" s="13"/>
    </row>
    <row r="57" spans="1:21" s="2" customFormat="1" ht="15.75" hidden="1" x14ac:dyDescent="0.25">
      <c r="A57" s="23"/>
      <c r="B57" s="22"/>
      <c r="C57" s="88" t="s">
        <v>56</v>
      </c>
      <c r="D57" s="88" t="s">
        <v>60</v>
      </c>
      <c r="E57" s="88" t="s">
        <v>58</v>
      </c>
      <c r="F57" s="10">
        <v>43207</v>
      </c>
      <c r="G57" s="88" t="s">
        <v>150</v>
      </c>
      <c r="H57" s="88" t="s">
        <v>17</v>
      </c>
      <c r="I57" s="89">
        <v>4837.209302325582</v>
      </c>
      <c r="J57" s="89">
        <v>2574.67</v>
      </c>
      <c r="K57" s="90">
        <f t="shared" si="0"/>
        <v>0.46773649038461546</v>
      </c>
      <c r="L57" s="89">
        <v>513.20000000000005</v>
      </c>
      <c r="M57" s="90">
        <f t="shared" si="1"/>
        <v>0.10609423076923076</v>
      </c>
      <c r="N57" s="11">
        <v>413.21</v>
      </c>
      <c r="O57" s="11">
        <v>0</v>
      </c>
      <c r="P57" s="11" t="s">
        <v>151</v>
      </c>
      <c r="Q57" s="12"/>
      <c r="R57" s="13"/>
      <c r="S57" s="13"/>
      <c r="T57" s="13"/>
      <c r="U57" s="13"/>
    </row>
    <row r="58" spans="1:21" s="2" customFormat="1" ht="15.75" hidden="1" x14ac:dyDescent="0.25">
      <c r="A58" s="23"/>
      <c r="B58" s="22"/>
      <c r="C58" s="88" t="s">
        <v>129</v>
      </c>
      <c r="D58" s="88" t="s">
        <v>60</v>
      </c>
      <c r="E58" s="88" t="s">
        <v>414</v>
      </c>
      <c r="F58" s="10">
        <v>43181</v>
      </c>
      <c r="G58" s="88" t="s">
        <v>152</v>
      </c>
      <c r="H58" s="88" t="s">
        <v>14</v>
      </c>
      <c r="I58" s="89">
        <v>9583.0886670581313</v>
      </c>
      <c r="J58" s="89">
        <v>4323.18</v>
      </c>
      <c r="K58" s="90">
        <f t="shared" si="0"/>
        <v>0.54887404779411753</v>
      </c>
      <c r="L58" s="89">
        <v>1275.0803335290657</v>
      </c>
      <c r="M58" s="90">
        <f t="shared" si="1"/>
        <v>0.13305525784313721</v>
      </c>
      <c r="N58" s="11">
        <v>1512.9286670581314</v>
      </c>
      <c r="O58" s="11">
        <v>0</v>
      </c>
      <c r="P58" s="11"/>
      <c r="Q58" s="12"/>
      <c r="R58" s="13"/>
      <c r="S58" s="13"/>
      <c r="T58" s="13"/>
      <c r="U58" s="13"/>
    </row>
    <row r="59" spans="1:21" s="2" customFormat="1" ht="15.75" hidden="1" x14ac:dyDescent="0.25">
      <c r="A59" s="23"/>
      <c r="B59" s="22"/>
      <c r="C59" s="88" t="s">
        <v>105</v>
      </c>
      <c r="D59" s="88" t="s">
        <v>60</v>
      </c>
      <c r="E59" s="88" t="s">
        <v>76</v>
      </c>
      <c r="F59" s="10">
        <v>43180</v>
      </c>
      <c r="G59" s="88" t="s">
        <v>153</v>
      </c>
      <c r="H59" s="88" t="s">
        <v>18</v>
      </c>
      <c r="I59" s="89">
        <v>16941.176470588234</v>
      </c>
      <c r="J59" s="89">
        <v>9590.08</v>
      </c>
      <c r="K59" s="90">
        <f t="shared" si="0"/>
        <v>0.43391888888888885</v>
      </c>
      <c r="L59" s="89">
        <v>1431.35</v>
      </c>
      <c r="M59" s="90">
        <f t="shared" si="1"/>
        <v>8.4489409722222228E-2</v>
      </c>
      <c r="N59" s="11">
        <v>-173.21</v>
      </c>
      <c r="O59" s="11">
        <v>0</v>
      </c>
      <c r="P59" s="11" t="s">
        <v>154</v>
      </c>
      <c r="Q59" s="12"/>
      <c r="R59" s="13"/>
      <c r="S59" s="13"/>
      <c r="T59" s="13"/>
      <c r="U59" s="13"/>
    </row>
    <row r="60" spans="1:21" s="2" customFormat="1" ht="15.75" hidden="1" x14ac:dyDescent="0.25">
      <c r="A60" s="23"/>
      <c r="B60" s="22"/>
      <c r="C60" s="88" t="s">
        <v>56</v>
      </c>
      <c r="D60" s="88" t="s">
        <v>60</v>
      </c>
      <c r="E60" s="88" t="s">
        <v>76</v>
      </c>
      <c r="F60" s="10">
        <v>43221</v>
      </c>
      <c r="G60" s="88" t="s">
        <v>155</v>
      </c>
      <c r="H60" s="88" t="s">
        <v>13</v>
      </c>
      <c r="I60" s="89">
        <v>5395.3488372093025</v>
      </c>
      <c r="J60" s="89">
        <v>2278.4499999999998</v>
      </c>
      <c r="K60" s="90">
        <f t="shared" si="0"/>
        <v>0.57770107758620692</v>
      </c>
      <c r="L60" s="89">
        <v>638.41441860465147</v>
      </c>
      <c r="M60" s="90">
        <f t="shared" si="1"/>
        <v>0.11832681034482764</v>
      </c>
      <c r="N60" s="11">
        <v>308.44883720930284</v>
      </c>
      <c r="O60" s="11">
        <v>0</v>
      </c>
      <c r="P60" s="11"/>
      <c r="Q60" s="12"/>
      <c r="R60" s="13"/>
      <c r="S60" s="13"/>
      <c r="T60" s="13"/>
      <c r="U60" s="13"/>
    </row>
    <row r="61" spans="1:21" s="2" customFormat="1" ht="15.75" hidden="1" x14ac:dyDescent="0.25">
      <c r="A61" s="23"/>
      <c r="B61" s="22"/>
      <c r="C61" s="88" t="s">
        <v>100</v>
      </c>
      <c r="D61" s="88" t="s">
        <v>83</v>
      </c>
      <c r="E61" s="88" t="s">
        <v>72</v>
      </c>
      <c r="F61" s="10">
        <v>43147</v>
      </c>
      <c r="G61" s="88" t="s">
        <v>156</v>
      </c>
      <c r="H61" s="88" t="s">
        <v>16</v>
      </c>
      <c r="I61" s="89">
        <v>26103.515850144089</v>
      </c>
      <c r="J61" s="89">
        <v>18502.21</v>
      </c>
      <c r="K61" s="90">
        <f t="shared" si="0"/>
        <v>0.29119854558220865</v>
      </c>
      <c r="L61" s="89">
        <v>1330.07</v>
      </c>
      <c r="M61" s="90">
        <f t="shared" si="1"/>
        <v>5.0953672587084012E-2</v>
      </c>
      <c r="N61" s="11">
        <v>-471.54</v>
      </c>
      <c r="O61" s="11">
        <v>100.44</v>
      </c>
      <c r="P61" s="11" t="s">
        <v>157</v>
      </c>
      <c r="Q61" s="12"/>
      <c r="R61" s="13"/>
      <c r="S61" s="13"/>
      <c r="T61" s="13"/>
      <c r="U61" s="13"/>
    </row>
    <row r="62" spans="1:21" s="2" customFormat="1" ht="15.75" hidden="1" x14ac:dyDescent="0.25">
      <c r="A62" s="23"/>
      <c r="B62" s="22"/>
      <c r="C62" s="88" t="s">
        <v>92</v>
      </c>
      <c r="D62" s="88" t="s">
        <v>75</v>
      </c>
      <c r="E62" s="88" t="s">
        <v>76</v>
      </c>
      <c r="F62" s="10">
        <v>43250</v>
      </c>
      <c r="G62" s="88" t="s">
        <v>158</v>
      </c>
      <c r="H62" s="88" t="s">
        <v>13</v>
      </c>
      <c r="I62" s="89">
        <v>5996.875258871436</v>
      </c>
      <c r="J62" s="89">
        <v>2855.06</v>
      </c>
      <c r="K62" s="90">
        <f t="shared" si="0"/>
        <v>0.52390872300096847</v>
      </c>
      <c r="L62" s="89">
        <v>544.65762943571849</v>
      </c>
      <c r="M62" s="90">
        <f t="shared" si="1"/>
        <v>9.0823571597555414E-2</v>
      </c>
      <c r="N62" s="11">
        <v>-76.324741128562891</v>
      </c>
      <c r="O62" s="11">
        <v>0</v>
      </c>
      <c r="P62" s="11"/>
      <c r="Q62" s="12"/>
      <c r="R62" s="13"/>
      <c r="S62" s="13"/>
      <c r="T62" s="13"/>
      <c r="U62" s="13"/>
    </row>
    <row r="63" spans="1:21" s="2" customFormat="1" ht="15.75" hidden="1" x14ac:dyDescent="0.25">
      <c r="A63" s="23"/>
      <c r="B63" s="22"/>
      <c r="C63" s="88" t="s">
        <v>100</v>
      </c>
      <c r="D63" s="88" t="s">
        <v>83</v>
      </c>
      <c r="E63" s="88" t="s">
        <v>72</v>
      </c>
      <c r="F63" s="10">
        <v>43182</v>
      </c>
      <c r="G63" s="88" t="s">
        <v>159</v>
      </c>
      <c r="H63" s="88" t="s">
        <v>16</v>
      </c>
      <c r="I63" s="89">
        <v>22237.114601512505</v>
      </c>
      <c r="J63" s="89">
        <v>14008.39</v>
      </c>
      <c r="K63" s="90">
        <f t="shared" si="0"/>
        <v>0.37004461905110708</v>
      </c>
      <c r="L63" s="89">
        <v>1394.42</v>
      </c>
      <c r="M63" s="90">
        <f t="shared" si="1"/>
        <v>6.2706876543468265E-2</v>
      </c>
      <c r="N63" s="11">
        <v>-351.92</v>
      </c>
      <c r="O63" s="11">
        <v>0</v>
      </c>
      <c r="P63" s="11"/>
      <c r="Q63" s="12"/>
      <c r="R63" s="13"/>
      <c r="S63" s="13"/>
      <c r="T63" s="13"/>
      <c r="U63" s="13"/>
    </row>
    <row r="64" spans="1:21" s="2" customFormat="1" ht="15.75" hidden="1" x14ac:dyDescent="0.25">
      <c r="A64" s="23"/>
      <c r="B64" s="22"/>
      <c r="C64" s="88" t="s">
        <v>56</v>
      </c>
      <c r="D64" s="88" t="s">
        <v>123</v>
      </c>
      <c r="E64" s="88" t="s">
        <v>76</v>
      </c>
      <c r="F64" s="10">
        <v>43238</v>
      </c>
      <c r="G64" s="88" t="s">
        <v>160</v>
      </c>
      <c r="H64" s="88" t="s">
        <v>18</v>
      </c>
      <c r="I64" s="89">
        <v>17674.418604651164</v>
      </c>
      <c r="J64" s="89">
        <v>8659.64</v>
      </c>
      <c r="K64" s="90">
        <f t="shared" si="0"/>
        <v>0.51004668421052635</v>
      </c>
      <c r="L64" s="89">
        <v>2187.6293023255835</v>
      </c>
      <c r="M64" s="90">
        <f t="shared" si="1"/>
        <v>0.12377376315789484</v>
      </c>
      <c r="N64" s="11">
        <v>1111.718604651167</v>
      </c>
      <c r="O64" s="11">
        <v>0</v>
      </c>
      <c r="P64" s="11" t="s">
        <v>161</v>
      </c>
      <c r="Q64" s="12"/>
      <c r="R64" s="13"/>
      <c r="S64" s="13"/>
      <c r="T64" s="13"/>
      <c r="U64" s="13"/>
    </row>
    <row r="65" spans="1:21" s="2" customFormat="1" ht="15.75" hidden="1" x14ac:dyDescent="0.25">
      <c r="A65" s="23"/>
      <c r="B65" s="22"/>
      <c r="C65" s="88" t="s">
        <v>162</v>
      </c>
      <c r="D65" s="88" t="s">
        <v>57</v>
      </c>
      <c r="E65" s="88" t="s">
        <v>58</v>
      </c>
      <c r="F65" s="10">
        <v>43190</v>
      </c>
      <c r="G65" s="88" t="s">
        <v>163</v>
      </c>
      <c r="H65" s="88" t="s">
        <v>17</v>
      </c>
      <c r="I65" s="89">
        <v>10473.44</v>
      </c>
      <c r="J65" s="89">
        <v>5352.02</v>
      </c>
      <c r="K65" s="90">
        <f t="shared" si="0"/>
        <v>0.4889912005988481</v>
      </c>
      <c r="L65" s="89">
        <v>1002.4200000000003</v>
      </c>
      <c r="M65" s="90">
        <f t="shared" si="1"/>
        <v>9.5710673856918088E-2</v>
      </c>
      <c r="N65" s="11">
        <v>1056.6900000000005</v>
      </c>
      <c r="O65" s="11">
        <v>0</v>
      </c>
      <c r="P65" s="11" t="s">
        <v>164</v>
      </c>
      <c r="Q65" s="12"/>
      <c r="R65" s="13"/>
      <c r="S65" s="13"/>
      <c r="T65" s="13"/>
      <c r="U65" s="13"/>
    </row>
    <row r="66" spans="1:21" s="2" customFormat="1" ht="15.75" hidden="1" x14ac:dyDescent="0.25">
      <c r="A66" s="23"/>
      <c r="B66" s="22"/>
      <c r="C66" s="88" t="s">
        <v>56</v>
      </c>
      <c r="D66" s="88" t="s">
        <v>57</v>
      </c>
      <c r="E66" s="88" t="s">
        <v>58</v>
      </c>
      <c r="F66" s="10">
        <v>43210</v>
      </c>
      <c r="G66" s="88" t="s">
        <v>165</v>
      </c>
      <c r="H66" s="88" t="s">
        <v>17</v>
      </c>
      <c r="I66" s="89">
        <v>8780.4651162790706</v>
      </c>
      <c r="J66" s="89">
        <v>3777.44</v>
      </c>
      <c r="K66" s="90">
        <f t="shared" si="0"/>
        <v>0.56979044390295586</v>
      </c>
      <c r="L66" s="89">
        <v>1620.75</v>
      </c>
      <c r="M66" s="90">
        <f t="shared" si="1"/>
        <v>0.18458589363280006</v>
      </c>
      <c r="N66" s="11">
        <v>1961.77</v>
      </c>
      <c r="O66" s="11">
        <v>0</v>
      </c>
      <c r="P66" s="11" t="s">
        <v>166</v>
      </c>
      <c r="Q66" s="12"/>
      <c r="R66" s="13"/>
      <c r="S66" s="13"/>
      <c r="T66" s="13"/>
      <c r="U66" s="13"/>
    </row>
    <row r="67" spans="1:21" s="2" customFormat="1" ht="15.75" hidden="1" x14ac:dyDescent="0.25">
      <c r="A67" s="23"/>
      <c r="B67" s="22"/>
      <c r="C67" s="88" t="s">
        <v>92</v>
      </c>
      <c r="D67" s="88" t="s">
        <v>60</v>
      </c>
      <c r="E67" s="88" t="s">
        <v>414</v>
      </c>
      <c r="F67" s="10">
        <v>43217</v>
      </c>
      <c r="G67" s="88" t="s">
        <v>167</v>
      </c>
      <c r="H67" s="88" t="s">
        <v>14</v>
      </c>
      <c r="I67" s="89">
        <v>7260.04</v>
      </c>
      <c r="J67" s="89">
        <v>3270.94</v>
      </c>
      <c r="K67" s="90">
        <f t="shared" si="0"/>
        <v>0.54945978259072947</v>
      </c>
      <c r="L67" s="89">
        <v>869.7800000000002</v>
      </c>
      <c r="M67" s="90">
        <f t="shared" si="1"/>
        <v>0.11980374763775409</v>
      </c>
      <c r="N67" s="11">
        <v>464.44000000000051</v>
      </c>
      <c r="O67" s="11">
        <v>0</v>
      </c>
      <c r="P67" s="11"/>
      <c r="Q67" s="12"/>
      <c r="R67" s="13"/>
      <c r="S67" s="13"/>
      <c r="T67" s="13"/>
      <c r="U67" s="13"/>
    </row>
    <row r="68" spans="1:21" s="2" customFormat="1" ht="15.75" hidden="1" x14ac:dyDescent="0.25">
      <c r="A68" s="23"/>
      <c r="B68" s="22"/>
      <c r="C68" s="88" t="s">
        <v>56</v>
      </c>
      <c r="D68" s="88" t="s">
        <v>60</v>
      </c>
      <c r="E68" s="88" t="s">
        <v>76</v>
      </c>
      <c r="F68" s="10">
        <v>43244</v>
      </c>
      <c r="G68" s="88" t="s">
        <v>168</v>
      </c>
      <c r="H68" s="88" t="s">
        <v>13</v>
      </c>
      <c r="I68" s="89">
        <v>2595.3488372093025</v>
      </c>
      <c r="J68" s="89">
        <v>942.06</v>
      </c>
      <c r="K68" s="90">
        <f t="shared" si="0"/>
        <v>0.6370198924731183</v>
      </c>
      <c r="L68" s="89">
        <v>267.13441860465127</v>
      </c>
      <c r="M68" s="90">
        <f t="shared" si="1"/>
        <v>0.10292813620071688</v>
      </c>
      <c r="N68" s="11">
        <v>167.74883720930256</v>
      </c>
      <c r="O68" s="11">
        <v>0</v>
      </c>
      <c r="P68" s="11"/>
      <c r="Q68" s="12"/>
      <c r="R68" s="13"/>
      <c r="S68" s="13"/>
      <c r="T68" s="13"/>
      <c r="U68" s="13"/>
    </row>
    <row r="69" spans="1:21" s="2" customFormat="1" ht="15.75" hidden="1" x14ac:dyDescent="0.25">
      <c r="A69" s="23"/>
      <c r="B69" s="22"/>
      <c r="C69" s="88" t="s">
        <v>92</v>
      </c>
      <c r="D69" s="88" t="s">
        <v>75</v>
      </c>
      <c r="E69" s="88" t="s">
        <v>76</v>
      </c>
      <c r="F69" s="10">
        <v>43275</v>
      </c>
      <c r="G69" s="88" t="s">
        <v>169</v>
      </c>
      <c r="H69" s="88" t="s">
        <v>13</v>
      </c>
      <c r="I69" s="89">
        <v>7381.0354857475268</v>
      </c>
      <c r="J69" s="89">
        <v>3648.16</v>
      </c>
      <c r="K69" s="90">
        <f t="shared" si="0"/>
        <v>0.50573872635561157</v>
      </c>
      <c r="L69" s="89">
        <v>692.69774287376379</v>
      </c>
      <c r="M69" s="90">
        <f t="shared" si="1"/>
        <v>9.3848314943253477E-2</v>
      </c>
      <c r="N69" s="11">
        <v>-52.26</v>
      </c>
      <c r="O69" s="11">
        <v>0</v>
      </c>
      <c r="P69" s="11"/>
      <c r="Q69" s="12"/>
      <c r="R69" s="13"/>
      <c r="S69" s="13"/>
      <c r="T69" s="13"/>
      <c r="U69" s="13"/>
    </row>
    <row r="70" spans="1:21" s="2" customFormat="1" ht="15.75" hidden="1" x14ac:dyDescent="0.25">
      <c r="A70" s="23"/>
      <c r="B70" s="22"/>
      <c r="C70" s="88" t="s">
        <v>56</v>
      </c>
      <c r="D70" s="88" t="s">
        <v>68</v>
      </c>
      <c r="E70" s="88" t="s">
        <v>72</v>
      </c>
      <c r="F70" s="10">
        <v>43256</v>
      </c>
      <c r="G70" s="88" t="s">
        <v>170</v>
      </c>
      <c r="H70" s="88" t="s">
        <v>15</v>
      </c>
      <c r="I70" s="89">
        <v>8372.0930232558148</v>
      </c>
      <c r="J70" s="89">
        <v>5575.38</v>
      </c>
      <c r="K70" s="90">
        <f t="shared" si="0"/>
        <v>0.33405183333333338</v>
      </c>
      <c r="L70" s="89">
        <v>300</v>
      </c>
      <c r="M70" s="90">
        <f t="shared" si="1"/>
        <v>3.5833333333333328E-2</v>
      </c>
      <c r="N70" s="11">
        <v>-5697.906976744187</v>
      </c>
      <c r="O70" s="11">
        <v>1029.73</v>
      </c>
      <c r="P70" s="11"/>
      <c r="Q70" s="12"/>
      <c r="R70" s="13"/>
      <c r="S70" s="13"/>
      <c r="T70" s="13"/>
      <c r="U70" s="13"/>
    </row>
    <row r="71" spans="1:21" s="2" customFormat="1" ht="15.75" hidden="1" x14ac:dyDescent="0.25">
      <c r="A71" s="23"/>
      <c r="B71" s="22"/>
      <c r="C71" s="88" t="s">
        <v>56</v>
      </c>
      <c r="D71" s="88" t="s">
        <v>60</v>
      </c>
      <c r="E71" s="88" t="s">
        <v>414</v>
      </c>
      <c r="F71" s="10">
        <v>43236</v>
      </c>
      <c r="G71" s="88" t="s">
        <v>171</v>
      </c>
      <c r="H71" s="88" t="s">
        <v>28</v>
      </c>
      <c r="I71" s="89">
        <v>30046.511627906977</v>
      </c>
      <c r="J71" s="89">
        <v>12129.55</v>
      </c>
      <c r="K71" s="90">
        <f t="shared" si="0"/>
        <v>0.59630754643962847</v>
      </c>
      <c r="L71" s="89">
        <v>5386.9933953488371</v>
      </c>
      <c r="M71" s="90">
        <f t="shared" si="1"/>
        <v>0.17928847987616098</v>
      </c>
      <c r="N71" s="11">
        <v>6988.4427906976744</v>
      </c>
      <c r="O71" s="11">
        <v>0</v>
      </c>
      <c r="P71" s="11"/>
      <c r="Q71" s="12"/>
      <c r="R71" s="13"/>
      <c r="S71" s="13"/>
      <c r="T71" s="13"/>
      <c r="U71" s="13"/>
    </row>
    <row r="72" spans="1:21" s="2" customFormat="1" ht="15.75" hidden="1" x14ac:dyDescent="0.25">
      <c r="A72" s="23"/>
      <c r="B72" s="22"/>
      <c r="C72" s="88" t="s">
        <v>56</v>
      </c>
      <c r="D72" s="88" t="s">
        <v>60</v>
      </c>
      <c r="E72" s="88" t="s">
        <v>172</v>
      </c>
      <c r="F72" s="10">
        <v>43243</v>
      </c>
      <c r="G72" s="88" t="s">
        <v>173</v>
      </c>
      <c r="H72" s="88" t="s">
        <v>17</v>
      </c>
      <c r="I72" s="89">
        <v>5255.8139534883721</v>
      </c>
      <c r="J72" s="89">
        <v>2129.2399999999998</v>
      </c>
      <c r="K72" s="90">
        <f t="shared" si="0"/>
        <v>0.59487911504424784</v>
      </c>
      <c r="L72" s="89">
        <v>554.99697674418621</v>
      </c>
      <c r="M72" s="90">
        <f t="shared" si="1"/>
        <v>0.10559676991150446</v>
      </c>
      <c r="N72" s="11">
        <v>336.04</v>
      </c>
      <c r="O72" s="11">
        <v>0</v>
      </c>
      <c r="P72" s="11"/>
      <c r="Q72" s="12"/>
      <c r="R72" s="13"/>
      <c r="S72" s="13"/>
      <c r="T72" s="13"/>
      <c r="U72" s="13"/>
    </row>
    <row r="73" spans="1:21" s="2" customFormat="1" ht="15.75" hidden="1" x14ac:dyDescent="0.25">
      <c r="A73" s="23"/>
      <c r="B73" s="22"/>
      <c r="C73" s="88" t="s">
        <v>56</v>
      </c>
      <c r="D73" s="88" t="s">
        <v>68</v>
      </c>
      <c r="E73" s="88" t="s">
        <v>108</v>
      </c>
      <c r="F73" s="10">
        <v>43185</v>
      </c>
      <c r="G73" s="88" t="s">
        <v>174</v>
      </c>
      <c r="H73" s="88" t="s">
        <v>412</v>
      </c>
      <c r="I73" s="89">
        <v>45851.906976744191</v>
      </c>
      <c r="J73" s="89">
        <v>22335.89</v>
      </c>
      <c r="K73" s="90">
        <f t="shared" si="0"/>
        <v>0.51286889744130759</v>
      </c>
      <c r="L73" s="89">
        <v>4328.9974883720915</v>
      </c>
      <c r="M73" s="90">
        <f t="shared" si="1"/>
        <v>9.4412594236652644E-2</v>
      </c>
      <c r="N73" s="11">
        <v>-360.48302325581608</v>
      </c>
      <c r="O73" s="11">
        <v>0</v>
      </c>
      <c r="P73" s="11"/>
      <c r="Q73" s="12"/>
      <c r="R73" s="13"/>
      <c r="S73" s="13"/>
      <c r="T73" s="13"/>
      <c r="U73" s="13"/>
    </row>
    <row r="74" spans="1:21" s="2" customFormat="1" ht="15.75" hidden="1" x14ac:dyDescent="0.25">
      <c r="A74" s="23"/>
      <c r="B74" s="22"/>
      <c r="C74" s="88" t="s">
        <v>56</v>
      </c>
      <c r="D74" s="88" t="s">
        <v>83</v>
      </c>
      <c r="E74" s="88" t="s">
        <v>108</v>
      </c>
      <c r="F74" s="10">
        <v>43171</v>
      </c>
      <c r="G74" s="88" t="s">
        <v>175</v>
      </c>
      <c r="H74" s="88" t="s">
        <v>16</v>
      </c>
      <c r="I74" s="89">
        <v>20235.349999999999</v>
      </c>
      <c r="J74" s="89">
        <v>14227.54</v>
      </c>
      <c r="K74" s="90">
        <f t="shared" si="0"/>
        <v>0.2968967672909042</v>
      </c>
      <c r="L74" s="89">
        <v>1183.0032558139546</v>
      </c>
      <c r="M74" s="90">
        <f t="shared" si="1"/>
        <v>5.8462208749241039E-2</v>
      </c>
      <c r="N74" s="11">
        <v>-736.25348837209094</v>
      </c>
      <c r="O74" s="11">
        <v>0</v>
      </c>
      <c r="P74" s="11"/>
      <c r="Q74" s="12"/>
      <c r="R74" s="13"/>
      <c r="S74" s="13"/>
      <c r="T74" s="13"/>
      <c r="U74" s="13"/>
    </row>
    <row r="75" spans="1:21" s="2" customFormat="1" ht="15.75" hidden="1" x14ac:dyDescent="0.25">
      <c r="A75" s="23"/>
      <c r="B75" s="22"/>
      <c r="C75" s="88" t="s">
        <v>92</v>
      </c>
      <c r="D75" s="88" t="s">
        <v>60</v>
      </c>
      <c r="E75" s="88" t="s">
        <v>58</v>
      </c>
      <c r="F75" s="10">
        <v>43195</v>
      </c>
      <c r="G75" s="88" t="s">
        <v>176</v>
      </c>
      <c r="H75" s="88" t="s">
        <v>19</v>
      </c>
      <c r="I75" s="89">
        <v>26163.773691099475</v>
      </c>
      <c r="J75" s="89">
        <v>14448.44</v>
      </c>
      <c r="K75" s="90">
        <f t="shared" si="0"/>
        <v>0.44776926407542106</v>
      </c>
      <c r="L75" s="89">
        <v>3089.3448455497378</v>
      </c>
      <c r="M75" s="90">
        <f t="shared" si="1"/>
        <v>0.1180771887887368</v>
      </c>
      <c r="N75" s="11">
        <v>1451.9186910994758</v>
      </c>
      <c r="O75" s="11">
        <v>0</v>
      </c>
      <c r="P75" s="11" t="s">
        <v>177</v>
      </c>
      <c r="Q75" s="12"/>
      <c r="R75" s="13"/>
      <c r="S75" s="13"/>
      <c r="T75" s="13"/>
      <c r="U75" s="13"/>
    </row>
    <row r="76" spans="1:21" s="2" customFormat="1" ht="15.75" hidden="1" x14ac:dyDescent="0.25">
      <c r="A76" s="23"/>
      <c r="B76" s="22"/>
      <c r="C76" s="88" t="s">
        <v>92</v>
      </c>
      <c r="D76" s="88" t="s">
        <v>60</v>
      </c>
      <c r="E76" s="88" t="s">
        <v>58</v>
      </c>
      <c r="F76" s="10">
        <v>43202</v>
      </c>
      <c r="G76" s="88" t="s">
        <v>178</v>
      </c>
      <c r="H76" s="88" t="s">
        <v>14</v>
      </c>
      <c r="I76" s="89">
        <v>6399.9999999999991</v>
      </c>
      <c r="J76" s="89">
        <v>2714.04</v>
      </c>
      <c r="K76" s="90">
        <f t="shared" si="0"/>
        <v>0.57593124999999989</v>
      </c>
      <c r="L76" s="89">
        <v>761.18599999999935</v>
      </c>
      <c r="M76" s="90">
        <f t="shared" si="1"/>
        <v>0.11893531249999992</v>
      </c>
      <c r="N76" s="11">
        <v>485.13999999999851</v>
      </c>
      <c r="O76" s="11">
        <v>0</v>
      </c>
      <c r="P76" s="11"/>
      <c r="Q76" s="12"/>
      <c r="R76" s="13"/>
      <c r="S76" s="13"/>
      <c r="T76" s="13"/>
      <c r="U76" s="13"/>
    </row>
    <row r="77" spans="1:21" s="2" customFormat="1" ht="15.75" hidden="1" x14ac:dyDescent="0.25">
      <c r="A77" s="23"/>
      <c r="B77" s="22"/>
      <c r="C77" s="88" t="s">
        <v>56</v>
      </c>
      <c r="D77" s="88" t="s">
        <v>123</v>
      </c>
      <c r="E77" s="88" t="s">
        <v>84</v>
      </c>
      <c r="F77" s="10">
        <v>43235</v>
      </c>
      <c r="G77" s="88" t="s">
        <v>179</v>
      </c>
      <c r="H77" s="88" t="s">
        <v>15</v>
      </c>
      <c r="I77" s="89">
        <v>9694.75</v>
      </c>
      <c r="J77" s="89">
        <v>4385.12</v>
      </c>
      <c r="K77" s="90">
        <f t="shared" si="0"/>
        <v>0.54768096134505795</v>
      </c>
      <c r="L77" s="89">
        <v>1219.5550000000003</v>
      </c>
      <c r="M77" s="90">
        <f t="shared" si="1"/>
        <v>0.12579540472936387</v>
      </c>
      <c r="N77" s="11">
        <v>686.45000000000073</v>
      </c>
      <c r="O77" s="11">
        <v>0</v>
      </c>
      <c r="P77" s="11"/>
      <c r="Q77" s="12"/>
      <c r="R77" s="13"/>
      <c r="S77" s="13"/>
      <c r="T77" s="13"/>
      <c r="U77" s="13"/>
    </row>
    <row r="78" spans="1:21" s="2" customFormat="1" ht="15.75" hidden="1" x14ac:dyDescent="0.25">
      <c r="A78" s="23"/>
      <c r="B78" s="22"/>
      <c r="C78" s="88" t="s">
        <v>92</v>
      </c>
      <c r="D78" s="88" t="s">
        <v>75</v>
      </c>
      <c r="E78" s="88" t="s">
        <v>58</v>
      </c>
      <c r="F78" s="10">
        <v>43241</v>
      </c>
      <c r="G78" s="88" t="s">
        <v>180</v>
      </c>
      <c r="H78" s="88" t="s">
        <v>14</v>
      </c>
      <c r="I78" s="89">
        <v>21751.279999999999</v>
      </c>
      <c r="J78" s="89">
        <v>10740.69</v>
      </c>
      <c r="K78" s="90">
        <f t="shared" si="0"/>
        <v>0.50620423257849645</v>
      </c>
      <c r="L78" s="89">
        <v>2125.29</v>
      </c>
      <c r="M78" s="90">
        <f t="shared" si="1"/>
        <v>9.7708732543556068E-2</v>
      </c>
      <c r="N78" s="11">
        <v>441.18000000000029</v>
      </c>
      <c r="O78" s="11">
        <v>0</v>
      </c>
      <c r="P78" s="11"/>
      <c r="Q78" s="12"/>
      <c r="R78" s="13"/>
      <c r="S78" s="13"/>
      <c r="T78" s="13"/>
      <c r="U78" s="13"/>
    </row>
    <row r="79" spans="1:21" s="2" customFormat="1" ht="15.75" hidden="1" x14ac:dyDescent="0.25">
      <c r="A79" s="23"/>
      <c r="B79" s="22"/>
      <c r="C79" s="88" t="s">
        <v>56</v>
      </c>
      <c r="D79" s="88" t="s">
        <v>60</v>
      </c>
      <c r="E79" s="88" t="s">
        <v>58</v>
      </c>
      <c r="F79" s="10">
        <v>43213</v>
      </c>
      <c r="G79" s="88" t="s">
        <v>181</v>
      </c>
      <c r="H79" s="88" t="s">
        <v>29</v>
      </c>
      <c r="I79" s="89">
        <v>20465.116279069767</v>
      </c>
      <c r="J79" s="89">
        <v>9138.9699999999993</v>
      </c>
      <c r="K79" s="90">
        <f t="shared" si="0"/>
        <v>0.55343669318181821</v>
      </c>
      <c r="L79" s="89">
        <v>1747.9281395348851</v>
      </c>
      <c r="M79" s="90">
        <f t="shared" si="1"/>
        <v>8.5410125000000073E-2</v>
      </c>
      <c r="N79" s="11">
        <v>314.0412790697701</v>
      </c>
      <c r="O79" s="11">
        <v>0</v>
      </c>
      <c r="P79" s="11"/>
      <c r="Q79" s="12"/>
      <c r="R79" s="13"/>
      <c r="S79" s="13"/>
      <c r="T79" s="13"/>
      <c r="U79" s="13"/>
    </row>
    <row r="80" spans="1:21" s="2" customFormat="1" ht="15.75" hidden="1" x14ac:dyDescent="0.25">
      <c r="A80" s="23"/>
      <c r="B80" s="22"/>
      <c r="C80" s="88" t="s">
        <v>56</v>
      </c>
      <c r="D80" s="88" t="s">
        <v>60</v>
      </c>
      <c r="E80" s="88" t="s">
        <v>182</v>
      </c>
      <c r="F80" s="10">
        <v>43277</v>
      </c>
      <c r="G80" s="88" t="s">
        <v>183</v>
      </c>
      <c r="H80" s="88" t="s">
        <v>17</v>
      </c>
      <c r="I80" s="89">
        <v>5488.3720930232557</v>
      </c>
      <c r="J80" s="89">
        <v>2109.91</v>
      </c>
      <c r="K80" s="90">
        <f t="shared" si="0"/>
        <v>0.61556724576271193</v>
      </c>
      <c r="L80" s="89">
        <v>616.60604651162839</v>
      </c>
      <c r="M80" s="90">
        <f t="shared" si="1"/>
        <v>0.11234771186440687</v>
      </c>
      <c r="N80" s="11">
        <v>325.17209302325682</v>
      </c>
      <c r="O80" s="11">
        <v>0</v>
      </c>
      <c r="P80" s="11"/>
      <c r="Q80" s="12"/>
      <c r="R80" s="13"/>
      <c r="S80" s="13"/>
      <c r="T80" s="13"/>
      <c r="U80" s="13"/>
    </row>
    <row r="81" spans="1:21" s="2" customFormat="1" ht="15.75" hidden="1" x14ac:dyDescent="0.25">
      <c r="A81" s="23"/>
      <c r="B81" s="22"/>
      <c r="C81" s="88" t="s">
        <v>184</v>
      </c>
      <c r="D81" s="88" t="s">
        <v>60</v>
      </c>
      <c r="E81" s="88" t="s">
        <v>76</v>
      </c>
      <c r="F81" s="10">
        <v>43283</v>
      </c>
      <c r="G81" s="88" t="s">
        <v>185</v>
      </c>
      <c r="H81" s="88" t="s">
        <v>18</v>
      </c>
      <c r="I81" s="89">
        <v>24332.358104154475</v>
      </c>
      <c r="J81" s="89">
        <v>9499.9599999999991</v>
      </c>
      <c r="K81" s="90">
        <f t="shared" si="0"/>
        <v>0.60957503751442865</v>
      </c>
      <c r="L81" s="89">
        <v>2752.5790520772389</v>
      </c>
      <c r="M81" s="90">
        <f t="shared" si="1"/>
        <v>0.11312422085417471</v>
      </c>
      <c r="N81" s="11">
        <v>1172.8581041544785</v>
      </c>
      <c r="O81" s="11">
        <v>0</v>
      </c>
      <c r="P81" s="11" t="s">
        <v>186</v>
      </c>
      <c r="Q81" s="12"/>
      <c r="R81" s="13"/>
      <c r="S81" s="13"/>
      <c r="T81" s="13"/>
      <c r="U81" s="13"/>
    </row>
    <row r="82" spans="1:21" s="2" customFormat="1" ht="15.75" hidden="1" x14ac:dyDescent="0.25">
      <c r="A82" s="23"/>
      <c r="B82" s="22"/>
      <c r="C82" s="88" t="s">
        <v>56</v>
      </c>
      <c r="D82" s="88" t="s">
        <v>60</v>
      </c>
      <c r="E82" s="88" t="s">
        <v>187</v>
      </c>
      <c r="F82" s="10">
        <v>43266</v>
      </c>
      <c r="G82" s="88" t="s">
        <v>188</v>
      </c>
      <c r="H82" s="88" t="s">
        <v>13</v>
      </c>
      <c r="I82" s="89">
        <v>4281.8158720930242</v>
      </c>
      <c r="J82" s="89">
        <v>1652.47</v>
      </c>
      <c r="K82" s="90">
        <f t="shared" si="0"/>
        <v>0.61407261559982851</v>
      </c>
      <c r="L82" s="89">
        <v>569.70473604651215</v>
      </c>
      <c r="M82" s="90">
        <f t="shared" si="1"/>
        <v>0.1330521332688766</v>
      </c>
      <c r="N82" s="11">
        <v>423.80787209302434</v>
      </c>
      <c r="O82" s="11">
        <v>0</v>
      </c>
      <c r="P82" s="11"/>
      <c r="Q82" s="12"/>
      <c r="R82" s="13"/>
      <c r="S82" s="13"/>
      <c r="T82" s="13"/>
      <c r="U82" s="13"/>
    </row>
    <row r="83" spans="1:21" s="2" customFormat="1" ht="15.75" hidden="1" x14ac:dyDescent="0.25">
      <c r="A83" s="23"/>
      <c r="B83" s="22"/>
      <c r="C83" s="88" t="s">
        <v>56</v>
      </c>
      <c r="D83" s="88" t="s">
        <v>60</v>
      </c>
      <c r="E83" s="88" t="s">
        <v>182</v>
      </c>
      <c r="F83" s="10">
        <v>43250</v>
      </c>
      <c r="G83" s="88" t="s">
        <v>189</v>
      </c>
      <c r="H83" s="88" t="s">
        <v>17</v>
      </c>
      <c r="I83" s="89">
        <v>3860.4651162790701</v>
      </c>
      <c r="J83" s="89">
        <v>1683.19</v>
      </c>
      <c r="K83" s="90">
        <f t="shared" si="0"/>
        <v>0.56399295180722897</v>
      </c>
      <c r="L83" s="89">
        <v>432.68055813953521</v>
      </c>
      <c r="M83" s="90">
        <f t="shared" si="1"/>
        <v>0.11207990361445791</v>
      </c>
      <c r="N83" s="11">
        <v>221.58511627907046</v>
      </c>
      <c r="O83" s="11">
        <v>0</v>
      </c>
      <c r="P83" s="11"/>
      <c r="Q83" s="12"/>
      <c r="R83" s="13"/>
      <c r="S83" s="13"/>
      <c r="T83" s="13"/>
      <c r="U83" s="13"/>
    </row>
    <row r="84" spans="1:21" s="2" customFormat="1" ht="15.75" hidden="1" x14ac:dyDescent="0.25">
      <c r="A84" s="23"/>
      <c r="B84" s="22"/>
      <c r="C84" s="88" t="s">
        <v>56</v>
      </c>
      <c r="D84" s="88" t="s">
        <v>75</v>
      </c>
      <c r="E84" s="88" t="s">
        <v>72</v>
      </c>
      <c r="F84" s="10">
        <v>43267</v>
      </c>
      <c r="G84" s="88" t="s">
        <v>116</v>
      </c>
      <c r="H84" s="88" t="s">
        <v>15</v>
      </c>
      <c r="I84" s="89">
        <v>7766.841162790698</v>
      </c>
      <c r="J84" s="89">
        <v>3694.3</v>
      </c>
      <c r="K84" s="90">
        <f t="shared" si="0"/>
        <v>0.52434974237678322</v>
      </c>
      <c r="L84" s="89">
        <v>768.28058139534983</v>
      </c>
      <c r="M84" s="90">
        <f t="shared" si="1"/>
        <v>9.8918024109469427E-2</v>
      </c>
      <c r="N84" s="11">
        <v>22.741162790699491</v>
      </c>
      <c r="O84" s="11">
        <v>0</v>
      </c>
      <c r="P84" s="11"/>
      <c r="Q84" s="12"/>
      <c r="R84" s="13"/>
      <c r="S84" s="13"/>
      <c r="T84" s="13"/>
      <c r="U84" s="13"/>
    </row>
    <row r="85" spans="1:21" s="2" customFormat="1" ht="15.75" hidden="1" x14ac:dyDescent="0.25">
      <c r="A85" s="23"/>
      <c r="B85" s="22"/>
      <c r="C85" s="108" t="s">
        <v>56</v>
      </c>
      <c r="D85" s="108" t="s">
        <v>75</v>
      </c>
      <c r="E85" s="108" t="s">
        <v>108</v>
      </c>
      <c r="F85" s="109">
        <v>43163</v>
      </c>
      <c r="G85" s="108" t="s">
        <v>190</v>
      </c>
      <c r="H85" s="108" t="s">
        <v>15</v>
      </c>
      <c r="I85" s="93">
        <v>14261.39534883721</v>
      </c>
      <c r="J85" s="93">
        <v>8245.43</v>
      </c>
      <c r="K85" s="110">
        <f t="shared" si="0"/>
        <v>0.42183567608114281</v>
      </c>
      <c r="L85" s="93">
        <v>1960.71</v>
      </c>
      <c r="M85" s="110">
        <f t="shared" si="1"/>
        <v>0.1374837420911878</v>
      </c>
      <c r="N85" s="111">
        <v>1971.33</v>
      </c>
      <c r="O85" s="111">
        <v>0</v>
      </c>
      <c r="P85" s="11">
        <v>-935.18232558139516</v>
      </c>
      <c r="Q85" s="12"/>
      <c r="R85" s="13"/>
      <c r="S85" s="13"/>
      <c r="T85" s="13"/>
      <c r="U85" s="13"/>
    </row>
    <row r="86" spans="1:21" s="2" customFormat="1" ht="15.75" hidden="1" x14ac:dyDescent="0.25">
      <c r="A86" s="23"/>
      <c r="B86" s="22"/>
      <c r="C86" s="108" t="s">
        <v>56</v>
      </c>
      <c r="D86" s="108" t="s">
        <v>68</v>
      </c>
      <c r="E86" s="108" t="s">
        <v>84</v>
      </c>
      <c r="F86" s="109">
        <v>43221</v>
      </c>
      <c r="G86" s="108" t="s">
        <v>191</v>
      </c>
      <c r="H86" s="108" t="s">
        <v>15</v>
      </c>
      <c r="I86" s="93">
        <v>5926.11</v>
      </c>
      <c r="J86" s="93">
        <f>2536.86-296.25-204.3</f>
        <v>2036.3100000000002</v>
      </c>
      <c r="K86" s="110">
        <f t="shared" si="0"/>
        <v>0.65638336109184603</v>
      </c>
      <c r="L86" s="93">
        <v>1069.68</v>
      </c>
      <c r="M86" s="110">
        <f t="shared" si="1"/>
        <v>0.18050289312888221</v>
      </c>
      <c r="N86" s="111">
        <v>1263.4100000000001</v>
      </c>
      <c r="O86" s="111">
        <v>0</v>
      </c>
      <c r="P86" s="11"/>
      <c r="Q86" s="12"/>
      <c r="R86" s="13"/>
      <c r="S86" s="13"/>
      <c r="T86" s="13"/>
      <c r="U86" s="13"/>
    </row>
    <row r="87" spans="1:21" s="2" customFormat="1" ht="15.75" hidden="1" x14ac:dyDescent="0.25">
      <c r="A87" s="23"/>
      <c r="B87" s="22"/>
      <c r="C87" s="88" t="s">
        <v>192</v>
      </c>
      <c r="D87" s="88" t="s">
        <v>57</v>
      </c>
      <c r="E87" s="88" t="s">
        <v>72</v>
      </c>
      <c r="F87" s="10">
        <v>43222</v>
      </c>
      <c r="G87" s="88" t="s">
        <v>193</v>
      </c>
      <c r="H87" s="88" t="s">
        <v>412</v>
      </c>
      <c r="I87" s="89">
        <v>22051.530906990181</v>
      </c>
      <c r="J87" s="89">
        <v>8546.2800000000007</v>
      </c>
      <c r="K87" s="90">
        <f t="shared" si="0"/>
        <v>0.61244051326654647</v>
      </c>
      <c r="L87" s="89">
        <v>3589.6154534950902</v>
      </c>
      <c r="M87" s="110">
        <f t="shared" si="1"/>
        <v>0.16278304978622626</v>
      </c>
      <c r="N87" s="11">
        <v>4538.8309069901807</v>
      </c>
      <c r="O87" s="11">
        <v>0</v>
      </c>
      <c r="P87" s="11" t="s">
        <v>194</v>
      </c>
      <c r="Q87" s="12"/>
      <c r="R87" s="13"/>
      <c r="S87" s="13"/>
      <c r="T87" s="13"/>
      <c r="U87" s="13"/>
    </row>
    <row r="88" spans="1:21" s="2" customFormat="1" ht="15.75" hidden="1" x14ac:dyDescent="0.25">
      <c r="A88" s="23"/>
      <c r="B88" s="22"/>
      <c r="C88" s="88" t="s">
        <v>56</v>
      </c>
      <c r="D88" s="88" t="s">
        <v>75</v>
      </c>
      <c r="E88" s="88" t="s">
        <v>72</v>
      </c>
      <c r="F88" s="10">
        <v>43225</v>
      </c>
      <c r="G88" s="88" t="s">
        <v>195</v>
      </c>
      <c r="H88" s="88" t="s">
        <v>15</v>
      </c>
      <c r="I88" s="89">
        <v>7779.77</v>
      </c>
      <c r="J88" s="89">
        <v>3553.7</v>
      </c>
      <c r="K88" s="90">
        <f t="shared" si="0"/>
        <v>0.54321271708546659</v>
      </c>
      <c r="L88" s="89">
        <v>1093.1890000000008</v>
      </c>
      <c r="M88" s="110">
        <f t="shared" si="1"/>
        <v>0.14051687903369903</v>
      </c>
      <c r="N88" s="11">
        <v>1068.0300000000016</v>
      </c>
      <c r="O88" s="11">
        <v>0</v>
      </c>
      <c r="P88" s="11" t="s">
        <v>196</v>
      </c>
      <c r="Q88" s="12"/>
      <c r="R88" s="13"/>
      <c r="S88" s="13"/>
      <c r="T88" s="13"/>
      <c r="U88" s="13"/>
    </row>
    <row r="89" spans="1:21" s="2" customFormat="1" ht="15.75" hidden="1" x14ac:dyDescent="0.25">
      <c r="A89" s="23"/>
      <c r="B89" s="22"/>
      <c r="C89" s="88" t="s">
        <v>56</v>
      </c>
      <c r="D89" s="88" t="s">
        <v>75</v>
      </c>
      <c r="E89" s="88" t="s">
        <v>84</v>
      </c>
      <c r="F89" s="10">
        <v>43224</v>
      </c>
      <c r="G89" s="88" t="s">
        <v>197</v>
      </c>
      <c r="H89" s="88" t="s">
        <v>15</v>
      </c>
      <c r="I89" s="89">
        <v>8578.6046511627919</v>
      </c>
      <c r="J89" s="89">
        <v>3930.74</v>
      </c>
      <c r="K89" s="90">
        <f t="shared" si="0"/>
        <v>0.54179727824766866</v>
      </c>
      <c r="L89" s="89">
        <v>812.15032558139626</v>
      </c>
      <c r="M89" s="110">
        <f t="shared" si="1"/>
        <v>9.4671611364129354E-2</v>
      </c>
      <c r="N89" s="11">
        <v>-44.275348837207275</v>
      </c>
      <c r="O89" s="11">
        <v>0</v>
      </c>
      <c r="P89" s="11"/>
      <c r="Q89" s="12"/>
      <c r="R89" s="13"/>
      <c r="S89" s="13"/>
      <c r="T89" s="13"/>
      <c r="U89" s="13"/>
    </row>
    <row r="90" spans="1:21" s="2" customFormat="1" ht="15.75" hidden="1" x14ac:dyDescent="0.25">
      <c r="A90" s="23"/>
      <c r="B90" s="22"/>
      <c r="C90" s="88" t="s">
        <v>198</v>
      </c>
      <c r="D90" s="88" t="s">
        <v>75</v>
      </c>
      <c r="E90" s="88" t="s">
        <v>76</v>
      </c>
      <c r="F90" s="10">
        <v>43269</v>
      </c>
      <c r="G90" s="88" t="s">
        <v>199</v>
      </c>
      <c r="H90" s="88" t="s">
        <v>13</v>
      </c>
      <c r="I90" s="89">
        <v>27084.44962143273</v>
      </c>
      <c r="J90" s="89">
        <v>13758.01</v>
      </c>
      <c r="K90" s="90">
        <f t="shared" si="0"/>
        <v>0.49203287523653877</v>
      </c>
      <c r="L90" s="89">
        <v>3007.5608107163648</v>
      </c>
      <c r="M90" s="110">
        <f t="shared" si="1"/>
        <v>0.11104382229485633</v>
      </c>
      <c r="N90" s="11">
        <v>847.88962143272875</v>
      </c>
      <c r="O90" s="11">
        <v>0</v>
      </c>
      <c r="P90" s="11" t="s">
        <v>200</v>
      </c>
      <c r="Q90" s="12"/>
      <c r="R90" s="13"/>
      <c r="S90" s="13"/>
      <c r="T90" s="13"/>
      <c r="U90" s="13"/>
    </row>
    <row r="91" spans="1:21" s="2" customFormat="1" ht="15.75" hidden="1" x14ac:dyDescent="0.25">
      <c r="A91" s="23"/>
      <c r="B91" s="22"/>
      <c r="C91" s="88" t="s">
        <v>201</v>
      </c>
      <c r="D91" s="88" t="s">
        <v>75</v>
      </c>
      <c r="E91" s="88" t="s">
        <v>76</v>
      </c>
      <c r="F91" s="10">
        <v>43260</v>
      </c>
      <c r="G91" s="88" t="s">
        <v>202</v>
      </c>
      <c r="H91" s="88" t="s">
        <v>13</v>
      </c>
      <c r="I91" s="89">
        <v>9620.07</v>
      </c>
      <c r="J91" s="89">
        <v>4991.46</v>
      </c>
      <c r="K91" s="90">
        <f t="shared" si="0"/>
        <v>0.48114098961857865</v>
      </c>
      <c r="L91" s="89">
        <v>669.53500000000065</v>
      </c>
      <c r="M91" s="110">
        <f t="shared" si="1"/>
        <v>6.9597726419870193E-2</v>
      </c>
      <c r="N91" s="11">
        <v>-669.92999999999847</v>
      </c>
      <c r="O91" s="11">
        <v>0</v>
      </c>
      <c r="P91" s="11"/>
      <c r="Q91" s="12"/>
      <c r="R91" s="13"/>
      <c r="S91" s="13"/>
      <c r="T91" s="13"/>
      <c r="U91" s="13"/>
    </row>
    <row r="92" spans="1:21" s="2" customFormat="1" ht="15.75" hidden="1" x14ac:dyDescent="0.25">
      <c r="A92" s="23"/>
      <c r="B92" s="22"/>
      <c r="C92" s="88" t="s">
        <v>56</v>
      </c>
      <c r="D92" s="88" t="s">
        <v>75</v>
      </c>
      <c r="E92" s="88" t="s">
        <v>76</v>
      </c>
      <c r="F92" s="10">
        <v>43270</v>
      </c>
      <c r="G92" s="88" t="s">
        <v>203</v>
      </c>
      <c r="H92" s="88" t="s">
        <v>54</v>
      </c>
      <c r="I92" s="89">
        <v>4849.302325581396</v>
      </c>
      <c r="J92" s="89">
        <v>2008.64</v>
      </c>
      <c r="K92" s="90">
        <f t="shared" si="0"/>
        <v>0.58578783809706503</v>
      </c>
      <c r="L92" s="89">
        <v>847.83116279069804</v>
      </c>
      <c r="M92" s="110">
        <f t="shared" si="1"/>
        <v>0.17483569921350475</v>
      </c>
      <c r="N92" s="11">
        <v>968.50232558139624</v>
      </c>
      <c r="O92" s="11">
        <v>0</v>
      </c>
      <c r="P92" s="11"/>
      <c r="Q92" s="12"/>
      <c r="R92" s="13"/>
      <c r="S92" s="13"/>
      <c r="T92" s="13"/>
      <c r="U92" s="13"/>
    </row>
    <row r="93" spans="1:21" s="2" customFormat="1" ht="15.75" hidden="1" x14ac:dyDescent="0.25">
      <c r="A93" s="23"/>
      <c r="B93" s="22"/>
      <c r="C93" s="88" t="s">
        <v>56</v>
      </c>
      <c r="D93" s="88" t="s">
        <v>75</v>
      </c>
      <c r="E93" s="88" t="s">
        <v>182</v>
      </c>
      <c r="F93" s="10">
        <v>43214</v>
      </c>
      <c r="G93" s="88" t="s">
        <v>204</v>
      </c>
      <c r="H93" s="88" t="s">
        <v>28</v>
      </c>
      <c r="I93" s="89">
        <v>20539.9704976512</v>
      </c>
      <c r="J93" s="89">
        <v>10231.030000000001</v>
      </c>
      <c r="K93" s="90">
        <f t="shared" si="0"/>
        <v>0.50189655816837975</v>
      </c>
      <c r="L93" s="89">
        <v>2257.5692488256</v>
      </c>
      <c r="M93" s="110">
        <f t="shared" si="1"/>
        <v>0.10991102684805507</v>
      </c>
      <c r="N93" s="11">
        <v>1025.6804976511994</v>
      </c>
      <c r="O93" s="11">
        <v>0</v>
      </c>
      <c r="P93" s="11"/>
      <c r="Q93" s="12"/>
      <c r="R93" s="13"/>
      <c r="S93" s="13"/>
      <c r="T93" s="13"/>
      <c r="U93" s="13"/>
    </row>
    <row r="94" spans="1:21" s="2" customFormat="1" ht="15.75" hidden="1" x14ac:dyDescent="0.25">
      <c r="A94" s="23"/>
      <c r="B94" s="22"/>
      <c r="C94" s="88" t="s">
        <v>162</v>
      </c>
      <c r="D94" s="88" t="s">
        <v>60</v>
      </c>
      <c r="E94" s="88" t="s">
        <v>414</v>
      </c>
      <c r="F94" s="10">
        <v>43182</v>
      </c>
      <c r="G94" s="88" t="s">
        <v>135</v>
      </c>
      <c r="H94" s="88" t="s">
        <v>27</v>
      </c>
      <c r="I94" s="89">
        <v>30021.35</v>
      </c>
      <c r="J94" s="89">
        <v>15905.05</v>
      </c>
      <c r="K94" s="90">
        <f t="shared" si="0"/>
        <v>0.47020870147411759</v>
      </c>
      <c r="L94" s="89">
        <v>1989.2193391812857</v>
      </c>
      <c r="M94" s="110">
        <f t="shared" si="1"/>
        <v>6.6260156161574546E-2</v>
      </c>
      <c r="N94" s="11">
        <v>-1602.2903216374289</v>
      </c>
      <c r="O94" s="11">
        <v>0</v>
      </c>
      <c r="P94" s="11" t="s">
        <v>205</v>
      </c>
      <c r="Q94" s="12"/>
      <c r="R94" s="13"/>
      <c r="S94" s="13"/>
      <c r="T94" s="13"/>
      <c r="U94" s="13"/>
    </row>
    <row r="95" spans="1:21" s="2" customFormat="1" ht="15.75" hidden="1" x14ac:dyDescent="0.25">
      <c r="A95" s="23"/>
      <c r="B95" s="22"/>
      <c r="C95" s="88" t="s">
        <v>192</v>
      </c>
      <c r="D95" s="88" t="s">
        <v>57</v>
      </c>
      <c r="E95" s="88" t="s">
        <v>58</v>
      </c>
      <c r="F95" s="10">
        <v>43214</v>
      </c>
      <c r="G95" s="88" t="s">
        <v>206</v>
      </c>
      <c r="H95" s="88" t="s">
        <v>19</v>
      </c>
      <c r="I95" s="89">
        <v>19869.208549971117</v>
      </c>
      <c r="J95" s="89">
        <v>8826.42</v>
      </c>
      <c r="K95" s="90">
        <f t="shared" si="0"/>
        <v>0.55577395154912546</v>
      </c>
      <c r="L95" s="89">
        <v>3071.3842749855589</v>
      </c>
      <c r="M95" s="110">
        <f t="shared" si="1"/>
        <v>0.15458010153051735</v>
      </c>
      <c r="N95" s="11">
        <v>3589.3085499711178</v>
      </c>
      <c r="O95" s="11">
        <v>0</v>
      </c>
      <c r="P95" s="11"/>
      <c r="Q95" s="12"/>
      <c r="R95" s="13"/>
      <c r="S95" s="13"/>
      <c r="T95" s="13"/>
      <c r="U95" s="13"/>
    </row>
    <row r="96" spans="1:21" s="2" customFormat="1" ht="15.75" hidden="1" x14ac:dyDescent="0.25">
      <c r="A96" s="23"/>
      <c r="B96" s="22"/>
      <c r="C96" s="88" t="s">
        <v>56</v>
      </c>
      <c r="D96" s="88" t="s">
        <v>123</v>
      </c>
      <c r="E96" s="88" t="s">
        <v>84</v>
      </c>
      <c r="F96" s="10">
        <v>43243</v>
      </c>
      <c r="G96" s="88" t="s">
        <v>207</v>
      </c>
      <c r="H96" s="88" t="s">
        <v>15</v>
      </c>
      <c r="I96" s="89">
        <v>13201.424418604653</v>
      </c>
      <c r="J96" s="89">
        <v>6224.34</v>
      </c>
      <c r="K96" s="90">
        <f t="shared" si="0"/>
        <v>0.52850996963417884</v>
      </c>
      <c r="L96" s="89">
        <v>1410.5622093023262</v>
      </c>
      <c r="M96" s="110">
        <f t="shared" si="1"/>
        <v>0.10684924327669014</v>
      </c>
      <c r="N96" s="11">
        <v>356.4244186046526</v>
      </c>
      <c r="O96" s="11">
        <v>0</v>
      </c>
      <c r="P96" s="11"/>
      <c r="Q96" s="12"/>
      <c r="R96" s="13"/>
      <c r="S96" s="13"/>
      <c r="T96" s="13"/>
      <c r="U96" s="13"/>
    </row>
    <row r="97" spans="1:21" s="2" customFormat="1" ht="15.75" hidden="1" x14ac:dyDescent="0.25">
      <c r="A97" s="23"/>
      <c r="B97" s="22"/>
      <c r="C97" s="88" t="s">
        <v>56</v>
      </c>
      <c r="D97" s="88" t="s">
        <v>83</v>
      </c>
      <c r="E97" s="88" t="s">
        <v>84</v>
      </c>
      <c r="F97" s="10">
        <v>43217</v>
      </c>
      <c r="G97" s="88" t="s">
        <v>208</v>
      </c>
      <c r="H97" s="88" t="s">
        <v>16</v>
      </c>
      <c r="I97" s="89">
        <v>19733.953488372095</v>
      </c>
      <c r="J97" s="89">
        <v>9954.67</v>
      </c>
      <c r="K97" s="90">
        <f t="shared" si="0"/>
        <v>0.49555622466295846</v>
      </c>
      <c r="L97" s="89">
        <v>2103.136744186048</v>
      </c>
      <c r="M97" s="110">
        <f t="shared" si="1"/>
        <v>0.10657452625624593</v>
      </c>
      <c r="N97" s="11">
        <v>1170.653488372096</v>
      </c>
      <c r="O97" s="11">
        <v>0</v>
      </c>
      <c r="P97" s="11"/>
      <c r="Q97" s="12"/>
      <c r="R97" s="13"/>
      <c r="S97" s="13"/>
      <c r="T97" s="13"/>
      <c r="U97" s="13"/>
    </row>
    <row r="98" spans="1:21" s="2" customFormat="1" ht="15.75" hidden="1" x14ac:dyDescent="0.25">
      <c r="A98" s="23"/>
      <c r="B98" s="22"/>
      <c r="C98" s="88" t="s">
        <v>162</v>
      </c>
      <c r="D98" s="88" t="s">
        <v>75</v>
      </c>
      <c r="E98" s="88" t="s">
        <v>414</v>
      </c>
      <c r="F98" s="10">
        <v>43222</v>
      </c>
      <c r="G98" s="88" t="s">
        <v>209</v>
      </c>
      <c r="H98" s="88" t="s">
        <v>14</v>
      </c>
      <c r="I98" s="89">
        <v>15767.332660126949</v>
      </c>
      <c r="J98" s="89">
        <v>8120.74</v>
      </c>
      <c r="K98" s="90">
        <f t="shared" si="0"/>
        <v>0.48496425013369276</v>
      </c>
      <c r="L98" s="89">
        <v>2303.87</v>
      </c>
      <c r="M98" s="110">
        <f t="shared" si="1"/>
        <v>0.1461166609255424</v>
      </c>
      <c r="N98" s="11">
        <v>384.33266012694912</v>
      </c>
      <c r="O98" s="11">
        <v>885.4</v>
      </c>
      <c r="P98" s="11" t="s">
        <v>210</v>
      </c>
      <c r="Q98" s="12"/>
      <c r="R98" s="13"/>
      <c r="S98" s="13"/>
      <c r="T98" s="13"/>
      <c r="U98" s="13"/>
    </row>
    <row r="99" spans="1:21" s="2" customFormat="1" ht="15.75" hidden="1" x14ac:dyDescent="0.25">
      <c r="A99" s="23"/>
      <c r="B99" s="22"/>
      <c r="C99" s="88" t="s">
        <v>100</v>
      </c>
      <c r="D99" s="88" t="s">
        <v>83</v>
      </c>
      <c r="E99" s="88" t="s">
        <v>72</v>
      </c>
      <c r="F99" s="10">
        <v>43213</v>
      </c>
      <c r="G99" s="88" t="s">
        <v>211</v>
      </c>
      <c r="H99" s="88" t="s">
        <v>15</v>
      </c>
      <c r="I99" s="89">
        <v>15624.668587896253</v>
      </c>
      <c r="J99" s="89">
        <v>5991.48</v>
      </c>
      <c r="K99" s="90">
        <f t="shared" si="0"/>
        <v>0.6165371466092191</v>
      </c>
      <c r="L99" s="89">
        <v>2075.2742939481263</v>
      </c>
      <c r="M99" s="110">
        <f t="shared" si="1"/>
        <v>0.13282037198252963</v>
      </c>
      <c r="N99" s="11">
        <v>1549.7685878962529</v>
      </c>
      <c r="O99" s="11">
        <v>0</v>
      </c>
      <c r="P99" s="11"/>
      <c r="Q99" s="12"/>
      <c r="R99" s="13"/>
      <c r="S99" s="13"/>
      <c r="T99" s="13"/>
      <c r="U99" s="13"/>
    </row>
    <row r="100" spans="1:21" s="2" customFormat="1" ht="15.75" hidden="1" x14ac:dyDescent="0.25">
      <c r="A100" s="23"/>
      <c r="B100" s="22"/>
      <c r="C100" s="88" t="s">
        <v>192</v>
      </c>
      <c r="D100" s="88" t="s">
        <v>57</v>
      </c>
      <c r="E100" s="88" t="s">
        <v>58</v>
      </c>
      <c r="F100" s="10">
        <v>43208</v>
      </c>
      <c r="G100" s="88" t="s">
        <v>212</v>
      </c>
      <c r="H100" s="88" t="s">
        <v>17</v>
      </c>
      <c r="I100" s="89">
        <v>6954.5927209705378</v>
      </c>
      <c r="J100" s="89">
        <v>4173.96</v>
      </c>
      <c r="K100" s="90">
        <f t="shared" si="0"/>
        <v>0.39982682416267945</v>
      </c>
      <c r="L100" s="89">
        <v>99.21</v>
      </c>
      <c r="M100" s="110">
        <f t="shared" si="1"/>
        <v>1.4265393241626793E-2</v>
      </c>
      <c r="N100" s="11">
        <v>-1156.6572790294622</v>
      </c>
      <c r="O100" s="11">
        <v>99.21</v>
      </c>
      <c r="P100" s="11" t="s">
        <v>213</v>
      </c>
      <c r="Q100" s="12"/>
      <c r="R100" s="13"/>
      <c r="S100" s="13"/>
      <c r="T100" s="13"/>
      <c r="U100" s="13"/>
    </row>
    <row r="101" spans="1:21" s="2" customFormat="1" ht="15.75" hidden="1" x14ac:dyDescent="0.25">
      <c r="A101" s="23"/>
      <c r="B101" s="22"/>
      <c r="C101" s="88" t="s">
        <v>92</v>
      </c>
      <c r="D101" s="88" t="s">
        <v>60</v>
      </c>
      <c r="E101" s="88" t="s">
        <v>187</v>
      </c>
      <c r="F101" s="10">
        <v>43294</v>
      </c>
      <c r="G101" s="88" t="s">
        <v>214</v>
      </c>
      <c r="H101" s="88" t="s">
        <v>54</v>
      </c>
      <c r="I101" s="89">
        <v>4895.8696916812096</v>
      </c>
      <c r="J101" s="89">
        <v>2057.29</v>
      </c>
      <c r="K101" s="90">
        <f t="shared" si="0"/>
        <v>0.57979069510456271</v>
      </c>
      <c r="L101" s="89">
        <v>654.67484584060503</v>
      </c>
      <c r="M101" s="110">
        <f t="shared" si="1"/>
        <v>0.13371982652091258</v>
      </c>
      <c r="N101" s="11">
        <v>473.96969168120995</v>
      </c>
      <c r="O101" s="11">
        <v>0</v>
      </c>
      <c r="P101" s="11"/>
      <c r="Q101" s="12"/>
      <c r="R101" s="13"/>
      <c r="S101" s="13"/>
      <c r="T101" s="13"/>
      <c r="U101" s="13"/>
    </row>
    <row r="102" spans="1:21" s="2" customFormat="1" ht="15.75" hidden="1" x14ac:dyDescent="0.25">
      <c r="A102" s="23"/>
      <c r="B102" s="22"/>
      <c r="C102" s="88" t="s">
        <v>56</v>
      </c>
      <c r="D102" s="88" t="s">
        <v>57</v>
      </c>
      <c r="E102" s="88" t="s">
        <v>414</v>
      </c>
      <c r="F102" s="10">
        <v>43215</v>
      </c>
      <c r="G102" s="88" t="s">
        <v>215</v>
      </c>
      <c r="H102" s="88" t="s">
        <v>24</v>
      </c>
      <c r="I102" s="89">
        <v>3882.79</v>
      </c>
      <c r="J102" s="89">
        <v>2345.83</v>
      </c>
      <c r="K102" s="90">
        <f t="shared" si="0"/>
        <v>0.3958390744799487</v>
      </c>
      <c r="L102" s="89">
        <v>280.3</v>
      </c>
      <c r="M102" s="110">
        <f t="shared" si="1"/>
        <v>7.2190357964247359E-2</v>
      </c>
      <c r="N102" s="11">
        <v>-44.21</v>
      </c>
      <c r="O102" s="11">
        <v>0</v>
      </c>
      <c r="P102" s="11" t="s">
        <v>216</v>
      </c>
      <c r="Q102" s="12"/>
      <c r="R102" s="13"/>
      <c r="S102" s="13"/>
      <c r="T102" s="13"/>
      <c r="U102" s="13"/>
    </row>
    <row r="103" spans="1:21" s="2" customFormat="1" ht="15.75" hidden="1" x14ac:dyDescent="0.25">
      <c r="A103" s="23"/>
      <c r="B103" s="22"/>
      <c r="C103" s="88" t="s">
        <v>56</v>
      </c>
      <c r="D103" s="88" t="s">
        <v>60</v>
      </c>
      <c r="E103" s="88" t="s">
        <v>414</v>
      </c>
      <c r="F103" s="10">
        <v>43188</v>
      </c>
      <c r="G103" s="88" t="s">
        <v>217</v>
      </c>
      <c r="H103" s="88" t="s">
        <v>28</v>
      </c>
      <c r="I103" s="89">
        <v>31044.651162790698</v>
      </c>
      <c r="J103" s="89">
        <v>14480.34</v>
      </c>
      <c r="K103" s="90">
        <f t="shared" si="0"/>
        <v>0.53356409372846314</v>
      </c>
      <c r="L103" s="89">
        <v>3868.0535813953493</v>
      </c>
      <c r="M103" s="110">
        <f t="shared" si="1"/>
        <v>0.1245964582147245</v>
      </c>
      <c r="N103" s="11">
        <v>3518.9711627906981</v>
      </c>
      <c r="O103" s="11">
        <v>0</v>
      </c>
      <c r="P103" s="11"/>
      <c r="Q103" s="12"/>
      <c r="R103" s="13"/>
      <c r="S103" s="13"/>
      <c r="T103" s="13"/>
      <c r="U103" s="13"/>
    </row>
    <row r="104" spans="1:21" s="2" customFormat="1" ht="15.75" hidden="1" x14ac:dyDescent="0.25">
      <c r="A104" s="23"/>
      <c r="B104" s="22"/>
      <c r="C104" s="88" t="s">
        <v>56</v>
      </c>
      <c r="D104" s="88" t="s">
        <v>75</v>
      </c>
      <c r="E104" s="88" t="s">
        <v>172</v>
      </c>
      <c r="F104" s="10">
        <v>43216</v>
      </c>
      <c r="G104" s="88" t="s">
        <v>218</v>
      </c>
      <c r="H104" s="88" t="s">
        <v>404</v>
      </c>
      <c r="I104" s="89">
        <v>9971.1627906976755</v>
      </c>
      <c r="J104" s="89">
        <v>5110.18</v>
      </c>
      <c r="K104" s="90">
        <f t="shared" si="0"/>
        <v>0.48750410486052809</v>
      </c>
      <c r="L104" s="89">
        <v>931.97939534883812</v>
      </c>
      <c r="M104" s="110">
        <f t="shared" si="1"/>
        <v>9.3467473644929647E-2</v>
      </c>
      <c r="N104" s="11">
        <v>43.657790697676319</v>
      </c>
      <c r="O104" s="11">
        <v>0</v>
      </c>
      <c r="P104" s="11"/>
      <c r="Q104" s="12"/>
      <c r="R104" s="13"/>
      <c r="S104" s="13"/>
      <c r="T104" s="13"/>
      <c r="U104" s="13"/>
    </row>
    <row r="105" spans="1:21" s="2" customFormat="1" ht="15.75" hidden="1" x14ac:dyDescent="0.25">
      <c r="A105" s="23"/>
      <c r="B105" s="22"/>
      <c r="C105" s="88" t="s">
        <v>56</v>
      </c>
      <c r="D105" s="88" t="s">
        <v>123</v>
      </c>
      <c r="E105" s="88" t="s">
        <v>108</v>
      </c>
      <c r="F105" s="10">
        <v>43258</v>
      </c>
      <c r="G105" s="88" t="s">
        <v>219</v>
      </c>
      <c r="H105" s="88" t="s">
        <v>15</v>
      </c>
      <c r="I105" s="89">
        <v>9302.3255813953492</v>
      </c>
      <c r="J105" s="89">
        <v>4368.84</v>
      </c>
      <c r="K105" s="90">
        <f t="shared" si="0"/>
        <v>0.53034970000000003</v>
      </c>
      <c r="L105" s="89">
        <v>970.42</v>
      </c>
      <c r="M105" s="110">
        <f t="shared" si="1"/>
        <v>0.10432014999999999</v>
      </c>
      <c r="N105" s="11">
        <v>144.22999999999999</v>
      </c>
      <c r="O105" s="11">
        <v>0</v>
      </c>
      <c r="P105" s="11" t="s">
        <v>220</v>
      </c>
      <c r="Q105" s="12"/>
      <c r="R105" s="13"/>
      <c r="S105" s="13"/>
      <c r="T105" s="13"/>
      <c r="U105" s="13"/>
    </row>
    <row r="106" spans="1:21" s="2" customFormat="1" ht="15.75" hidden="1" x14ac:dyDescent="0.25">
      <c r="A106" s="23"/>
      <c r="B106" s="22"/>
      <c r="C106" s="88" t="s">
        <v>92</v>
      </c>
      <c r="D106" s="88" t="s">
        <v>60</v>
      </c>
      <c r="E106" s="88" t="s">
        <v>172</v>
      </c>
      <c r="F106" s="10">
        <v>43213</v>
      </c>
      <c r="G106" s="88" t="s">
        <v>221</v>
      </c>
      <c r="H106" s="88" t="s">
        <v>17</v>
      </c>
      <c r="I106" s="89">
        <v>7994.4633507853396</v>
      </c>
      <c r="J106" s="89">
        <v>5120.54</v>
      </c>
      <c r="K106" s="90">
        <f t="shared" si="0"/>
        <v>0.35948921455785005</v>
      </c>
      <c r="L106" s="89">
        <v>815.73167539266979</v>
      </c>
      <c r="M106" s="110">
        <f t="shared" si="1"/>
        <v>0.10203707736211412</v>
      </c>
      <c r="N106" s="11">
        <v>154.46335078533957</v>
      </c>
      <c r="O106" s="11">
        <v>0</v>
      </c>
      <c r="P106" s="11" t="s">
        <v>222</v>
      </c>
      <c r="Q106" s="12"/>
      <c r="R106" s="13"/>
      <c r="S106" s="13"/>
      <c r="T106" s="13"/>
      <c r="U106" s="13"/>
    </row>
    <row r="107" spans="1:21" s="2" customFormat="1" ht="15.75" hidden="1" x14ac:dyDescent="0.25">
      <c r="A107" s="23"/>
      <c r="B107" s="22"/>
      <c r="C107" s="88" t="s">
        <v>162</v>
      </c>
      <c r="D107" s="88" t="s">
        <v>57</v>
      </c>
      <c r="E107" s="88" t="s">
        <v>76</v>
      </c>
      <c r="F107" s="10">
        <v>43269</v>
      </c>
      <c r="G107" s="88" t="s">
        <v>223</v>
      </c>
      <c r="H107" s="88" t="s">
        <v>18</v>
      </c>
      <c r="I107" s="89">
        <v>46772.397660818708</v>
      </c>
      <c r="J107" s="89">
        <v>19257.36</v>
      </c>
      <c r="K107" s="90">
        <f t="shared" si="0"/>
        <v>0.58827511602784666</v>
      </c>
      <c r="L107" s="89">
        <v>5961.9388304093563</v>
      </c>
      <c r="M107" s="110">
        <f t="shared" si="1"/>
        <v>0.12746703458830119</v>
      </c>
      <c r="N107" s="11">
        <v>3272.9976608187135</v>
      </c>
      <c r="O107" s="11">
        <v>0</v>
      </c>
      <c r="P107" s="11"/>
      <c r="Q107" s="12"/>
      <c r="R107" s="13"/>
      <c r="S107" s="13"/>
      <c r="T107" s="13"/>
      <c r="U107" s="13"/>
    </row>
    <row r="108" spans="1:21" s="2" customFormat="1" ht="15.75" hidden="1" x14ac:dyDescent="0.25">
      <c r="A108" s="23"/>
      <c r="B108" s="22"/>
      <c r="C108" s="88" t="s">
        <v>162</v>
      </c>
      <c r="D108" s="88" t="s">
        <v>57</v>
      </c>
      <c r="E108" s="88" t="s">
        <v>182</v>
      </c>
      <c r="F108" s="10">
        <v>43298</v>
      </c>
      <c r="G108" s="88" t="s">
        <v>224</v>
      </c>
      <c r="H108" s="88" t="s">
        <v>17</v>
      </c>
      <c r="I108" s="89">
        <v>4996.6532025389506</v>
      </c>
      <c r="J108" s="89">
        <v>2113.2800000000002</v>
      </c>
      <c r="K108" s="90">
        <f t="shared" si="0"/>
        <v>0.57706090169992608</v>
      </c>
      <c r="L108" s="89">
        <v>700.44660126947588</v>
      </c>
      <c r="M108" s="110">
        <f t="shared" si="1"/>
        <v>0.14018315317812285</v>
      </c>
      <c r="N108" s="11">
        <v>606.9532025389517</v>
      </c>
      <c r="O108" s="11">
        <v>0</v>
      </c>
      <c r="P108" s="11"/>
      <c r="Q108" s="12"/>
      <c r="R108" s="13"/>
      <c r="S108" s="13"/>
      <c r="T108" s="13"/>
      <c r="U108" s="13"/>
    </row>
    <row r="109" spans="1:21" s="2" customFormat="1" ht="15.75" hidden="1" x14ac:dyDescent="0.25">
      <c r="A109" s="23"/>
      <c r="B109" s="22"/>
      <c r="C109" s="88" t="s">
        <v>56</v>
      </c>
      <c r="D109" s="88" t="s">
        <v>60</v>
      </c>
      <c r="E109" s="88" t="s">
        <v>187</v>
      </c>
      <c r="F109" s="10">
        <v>43271</v>
      </c>
      <c r="G109" s="88" t="s">
        <v>225</v>
      </c>
      <c r="H109" s="88" t="s">
        <v>18</v>
      </c>
      <c r="I109" s="89">
        <v>27348.837209302328</v>
      </c>
      <c r="J109" s="89">
        <v>13440.48</v>
      </c>
      <c r="K109" s="90">
        <f t="shared" si="0"/>
        <v>0.50855387755102044</v>
      </c>
      <c r="L109" s="89">
        <v>3539.6786046511647</v>
      </c>
      <c r="M109" s="110">
        <f t="shared" si="1"/>
        <v>0.12942702380952387</v>
      </c>
      <c r="N109" s="11">
        <v>2073.2372093023296</v>
      </c>
      <c r="O109" s="11">
        <v>0</v>
      </c>
      <c r="P109" s="11" t="s">
        <v>226</v>
      </c>
      <c r="Q109" s="12"/>
      <c r="R109" s="13"/>
      <c r="S109" s="13"/>
      <c r="T109" s="13"/>
      <c r="U109" s="13"/>
    </row>
    <row r="110" spans="1:21" s="2" customFormat="1" ht="15.75" hidden="1" x14ac:dyDescent="0.25">
      <c r="A110" s="23"/>
      <c r="B110" s="22"/>
      <c r="C110" s="88" t="s">
        <v>56</v>
      </c>
      <c r="D110" s="88" t="s">
        <v>60</v>
      </c>
      <c r="E110" s="88" t="s">
        <v>58</v>
      </c>
      <c r="F110" s="10">
        <v>43199</v>
      </c>
      <c r="G110" s="88" t="s">
        <v>227</v>
      </c>
      <c r="H110" s="88" t="s">
        <v>28</v>
      </c>
      <c r="I110" s="89">
        <v>29594.832648267762</v>
      </c>
      <c r="J110" s="89">
        <v>12759.6</v>
      </c>
      <c r="K110" s="90">
        <f t="shared" si="0"/>
        <v>0.56885716666666664</v>
      </c>
      <c r="L110" s="89">
        <v>2748.0643241338807</v>
      </c>
      <c r="M110" s="110">
        <f t="shared" si="1"/>
        <v>9.2856221111111095E-2</v>
      </c>
      <c r="N110" s="11">
        <v>533.70264826776111</v>
      </c>
      <c r="O110" s="11">
        <v>0</v>
      </c>
      <c r="P110" s="11"/>
      <c r="Q110" s="12"/>
      <c r="R110" s="13"/>
      <c r="S110" s="13"/>
      <c r="T110" s="13"/>
      <c r="U110" s="13"/>
    </row>
    <row r="111" spans="1:21" s="2" customFormat="1" ht="15.75" hidden="1" x14ac:dyDescent="0.25">
      <c r="A111" s="23"/>
      <c r="B111" s="22"/>
      <c r="C111" s="88" t="s">
        <v>56</v>
      </c>
      <c r="D111" s="88" t="s">
        <v>60</v>
      </c>
      <c r="E111" s="88" t="s">
        <v>58</v>
      </c>
      <c r="F111" s="10">
        <v>43239</v>
      </c>
      <c r="G111" s="88" t="s">
        <v>228</v>
      </c>
      <c r="H111" s="88" t="s">
        <v>30</v>
      </c>
      <c r="I111" s="89">
        <v>19534.883720930233</v>
      </c>
      <c r="J111" s="89">
        <v>8425.2000000000007</v>
      </c>
      <c r="K111" s="90">
        <f t="shared" si="0"/>
        <v>0.56870999999999994</v>
      </c>
      <c r="L111" s="89">
        <v>2798.3678604651159</v>
      </c>
      <c r="M111" s="110">
        <f t="shared" si="1"/>
        <v>0.14324978333333332</v>
      </c>
      <c r="N111" s="11">
        <v>3079.9487209302315</v>
      </c>
      <c r="O111" s="11">
        <v>0</v>
      </c>
      <c r="P111" s="11"/>
      <c r="Q111" s="12"/>
      <c r="R111" s="13"/>
      <c r="S111" s="13"/>
      <c r="T111" s="13"/>
      <c r="U111" s="13"/>
    </row>
    <row r="112" spans="1:21" s="2" customFormat="1" ht="15.75" hidden="1" x14ac:dyDescent="0.25">
      <c r="A112" s="23"/>
      <c r="B112" s="22"/>
      <c r="C112" s="88" t="s">
        <v>92</v>
      </c>
      <c r="D112" s="88" t="s">
        <v>60</v>
      </c>
      <c r="E112" s="88" t="s">
        <v>172</v>
      </c>
      <c r="F112" s="10">
        <v>43209</v>
      </c>
      <c r="G112" s="88" t="s">
        <v>229</v>
      </c>
      <c r="H112" s="88" t="s">
        <v>17</v>
      </c>
      <c r="I112" s="89">
        <v>5770.7969749854565</v>
      </c>
      <c r="J112" s="89">
        <f>2742+68.99</f>
        <v>2810.99</v>
      </c>
      <c r="K112" s="90">
        <f t="shared" si="0"/>
        <v>0.51289397076612908</v>
      </c>
      <c r="L112" s="89">
        <v>698.03848749272845</v>
      </c>
      <c r="M112" s="110">
        <f t="shared" si="1"/>
        <v>0.12096050000000003</v>
      </c>
      <c r="N112" s="11">
        <v>512.39697498545684</v>
      </c>
      <c r="O112" s="11">
        <v>0</v>
      </c>
      <c r="P112" s="11"/>
      <c r="Q112" s="12"/>
      <c r="R112" s="13"/>
      <c r="S112" s="13"/>
      <c r="T112" s="13"/>
      <c r="U112" s="13"/>
    </row>
    <row r="113" spans="1:21" s="2" customFormat="1" ht="15.75" hidden="1" x14ac:dyDescent="0.25">
      <c r="A113" s="23"/>
      <c r="B113" s="22"/>
      <c r="C113" s="88" t="s">
        <v>56</v>
      </c>
      <c r="D113" s="88" t="s">
        <v>57</v>
      </c>
      <c r="E113" s="88" t="s">
        <v>182</v>
      </c>
      <c r="F113" s="10">
        <v>43322</v>
      </c>
      <c r="G113" s="88" t="s">
        <v>230</v>
      </c>
      <c r="H113" s="88" t="s">
        <v>24</v>
      </c>
      <c r="I113" s="89">
        <v>4371.7265353418306</v>
      </c>
      <c r="J113" s="89">
        <v>1683.21</v>
      </c>
      <c r="K113" s="90">
        <f t="shared" si="0"/>
        <v>0.6149782045165394</v>
      </c>
      <c r="L113" s="89">
        <v>567.2112676709155</v>
      </c>
      <c r="M113" s="110">
        <f t="shared" si="1"/>
        <v>0.1297453678965225</v>
      </c>
      <c r="N113" s="11">
        <v>368.84653534183099</v>
      </c>
      <c r="O113" s="11">
        <v>0</v>
      </c>
      <c r="P113" s="11"/>
      <c r="Q113" s="12"/>
      <c r="R113" s="13"/>
      <c r="S113" s="13"/>
      <c r="T113" s="13"/>
      <c r="U113" s="13"/>
    </row>
    <row r="114" spans="1:21" s="2" customFormat="1" ht="15.75" hidden="1" x14ac:dyDescent="0.25">
      <c r="A114" s="23"/>
      <c r="B114" s="22"/>
      <c r="C114" s="88" t="s">
        <v>415</v>
      </c>
      <c r="D114" s="88" t="s">
        <v>60</v>
      </c>
      <c r="E114" s="88" t="s">
        <v>414</v>
      </c>
      <c r="F114" s="10">
        <v>43241</v>
      </c>
      <c r="G114" s="88" t="s">
        <v>231</v>
      </c>
      <c r="H114" s="88" t="s">
        <v>14</v>
      </c>
      <c r="I114" s="89">
        <v>22644.146767617935</v>
      </c>
      <c r="J114" s="89">
        <v>10639.81</v>
      </c>
      <c r="K114" s="90">
        <f t="shared" si="0"/>
        <v>0.53012978986625514</v>
      </c>
      <c r="L114" s="89">
        <v>2457.3573838089674</v>
      </c>
      <c r="M114" s="110">
        <f t="shared" si="1"/>
        <v>0.10852064372427978</v>
      </c>
      <c r="N114" s="11">
        <v>1656.6067676179337</v>
      </c>
      <c r="O114" s="11">
        <v>0</v>
      </c>
      <c r="P114" s="11"/>
      <c r="Q114" s="12"/>
      <c r="R114" s="13"/>
      <c r="S114" s="13"/>
      <c r="T114" s="13"/>
      <c r="U114" s="13"/>
    </row>
    <row r="115" spans="1:21" s="2" customFormat="1" ht="15.75" hidden="1" x14ac:dyDescent="0.25">
      <c r="A115" s="23"/>
      <c r="B115" s="22"/>
      <c r="C115" s="88" t="s">
        <v>92</v>
      </c>
      <c r="D115" s="88" t="s">
        <v>75</v>
      </c>
      <c r="E115" s="88" t="s">
        <v>108</v>
      </c>
      <c r="F115" s="10">
        <v>43215</v>
      </c>
      <c r="G115" s="88" t="s">
        <v>232</v>
      </c>
      <c r="H115" s="88" t="s">
        <v>15</v>
      </c>
      <c r="I115" s="89">
        <v>8676.6724840023271</v>
      </c>
      <c r="J115" s="89">
        <v>4605.1400000000003</v>
      </c>
      <c r="K115" s="90">
        <f t="shared" si="0"/>
        <v>0.46925045188800685</v>
      </c>
      <c r="L115" s="89">
        <f>957.06+180.57</f>
        <v>1137.6299999999999</v>
      </c>
      <c r="M115" s="110">
        <f t="shared" si="1"/>
        <v>0.13111362703818921</v>
      </c>
      <c r="N115" s="11">
        <v>677.77248400232747</v>
      </c>
      <c r="O115" s="11">
        <v>180.57</v>
      </c>
      <c r="P115" s="11" t="s">
        <v>233</v>
      </c>
      <c r="Q115" s="12"/>
      <c r="R115" s="13"/>
      <c r="S115" s="13"/>
      <c r="T115" s="13"/>
      <c r="U115" s="13"/>
    </row>
    <row r="116" spans="1:21" s="2" customFormat="1" ht="15.75" hidden="1" x14ac:dyDescent="0.25">
      <c r="A116" s="23"/>
      <c r="B116" s="22"/>
      <c r="C116" s="88" t="s">
        <v>162</v>
      </c>
      <c r="D116" s="88" t="s">
        <v>57</v>
      </c>
      <c r="E116" s="88" t="s">
        <v>182</v>
      </c>
      <c r="F116" s="10">
        <v>43276</v>
      </c>
      <c r="G116" s="88" t="s">
        <v>234</v>
      </c>
      <c r="H116" s="88" t="s">
        <v>24</v>
      </c>
      <c r="I116" s="89">
        <v>4355.5555555555547</v>
      </c>
      <c r="J116" s="89">
        <v>1854.64</v>
      </c>
      <c r="K116" s="90">
        <f t="shared" si="0"/>
        <v>0.57418979591836716</v>
      </c>
      <c r="L116" s="89">
        <v>506.17777777777758</v>
      </c>
      <c r="M116" s="110">
        <f t="shared" si="1"/>
        <v>0.11621428571428569</v>
      </c>
      <c r="N116" s="11">
        <v>281.5555555555552</v>
      </c>
      <c r="O116" s="11">
        <v>0</v>
      </c>
      <c r="P116" s="11"/>
      <c r="Q116" s="12"/>
      <c r="R116" s="13"/>
      <c r="S116" s="13"/>
      <c r="T116" s="13"/>
      <c r="U116" s="13"/>
    </row>
    <row r="117" spans="1:21" s="2" customFormat="1" ht="15.75" hidden="1" x14ac:dyDescent="0.25">
      <c r="A117" s="23"/>
      <c r="B117" s="22"/>
      <c r="C117" s="88" t="s">
        <v>56</v>
      </c>
      <c r="D117" s="88" t="s">
        <v>57</v>
      </c>
      <c r="E117" s="88" t="s">
        <v>182</v>
      </c>
      <c r="F117" s="10">
        <v>43246</v>
      </c>
      <c r="G117" s="88" t="s">
        <v>235</v>
      </c>
      <c r="H117" s="88" t="s">
        <v>24</v>
      </c>
      <c r="I117" s="89">
        <v>7897.6744186046517</v>
      </c>
      <c r="J117" s="89">
        <v>3057.41</v>
      </c>
      <c r="K117" s="90">
        <f t="shared" si="0"/>
        <v>0.61287211425206134</v>
      </c>
      <c r="L117" s="89">
        <v>1010.5172093023261</v>
      </c>
      <c r="M117" s="110">
        <f t="shared" si="1"/>
        <v>0.12795123674911668</v>
      </c>
      <c r="N117" s="11">
        <v>656.87441860465242</v>
      </c>
      <c r="O117" s="11">
        <v>0</v>
      </c>
      <c r="P117" s="11"/>
      <c r="Q117" s="12"/>
      <c r="R117" s="13"/>
      <c r="S117" s="13"/>
      <c r="T117" s="13"/>
      <c r="U117" s="13"/>
    </row>
    <row r="118" spans="1:21" s="2" customFormat="1" ht="15.75" hidden="1" x14ac:dyDescent="0.25">
      <c r="A118" s="23"/>
      <c r="B118" s="22"/>
      <c r="C118" s="88" t="s">
        <v>56</v>
      </c>
      <c r="D118" s="88" t="s">
        <v>68</v>
      </c>
      <c r="E118" s="88" t="s">
        <v>84</v>
      </c>
      <c r="F118" s="10">
        <v>43266</v>
      </c>
      <c r="G118" s="88" t="s">
        <v>236</v>
      </c>
      <c r="H118" s="88" t="s">
        <v>412</v>
      </c>
      <c r="I118" s="89">
        <v>15345.116279069767</v>
      </c>
      <c r="J118" s="89">
        <v>7741.69</v>
      </c>
      <c r="K118" s="90">
        <f t="shared" si="0"/>
        <v>0.49549486239088264</v>
      </c>
      <c r="L118" s="89">
        <v>1223.8781395348833</v>
      </c>
      <c r="M118" s="110">
        <f t="shared" si="1"/>
        <v>7.9756850145489791E-2</v>
      </c>
      <c r="N118" s="11">
        <v>-94.08372093023354</v>
      </c>
      <c r="O118" s="11">
        <v>0</v>
      </c>
      <c r="P118" s="11"/>
      <c r="Q118" s="12"/>
      <c r="R118" s="13"/>
      <c r="S118" s="13"/>
      <c r="T118" s="13"/>
      <c r="U118" s="13"/>
    </row>
    <row r="119" spans="1:21" s="2" customFormat="1" ht="15.75" hidden="1" x14ac:dyDescent="0.25">
      <c r="A119" s="23"/>
      <c r="B119" s="22"/>
      <c r="C119" s="88" t="s">
        <v>125</v>
      </c>
      <c r="D119" s="88" t="s">
        <v>123</v>
      </c>
      <c r="E119" s="88" t="s">
        <v>76</v>
      </c>
      <c r="F119" s="10">
        <v>43272</v>
      </c>
      <c r="G119" s="88" t="s">
        <v>126</v>
      </c>
      <c r="H119" s="88" t="s">
        <v>18</v>
      </c>
      <c r="I119" s="89">
        <v>9041.9988378849503</v>
      </c>
      <c r="J119" s="89">
        <v>3220.16</v>
      </c>
      <c r="K119" s="90">
        <f t="shared" si="0"/>
        <v>0.64386635546690252</v>
      </c>
      <c r="L119" s="89">
        <v>1865.8994189424752</v>
      </c>
      <c r="M119" s="110">
        <f t="shared" si="1"/>
        <v>0.20635917482366489</v>
      </c>
      <c r="N119" s="11">
        <v>2465.4988378849503</v>
      </c>
      <c r="O119" s="11">
        <v>0</v>
      </c>
      <c r="P119" s="11"/>
      <c r="Q119" s="12"/>
      <c r="R119" s="13"/>
      <c r="S119" s="13"/>
      <c r="T119" s="13"/>
      <c r="U119" s="13"/>
    </row>
    <row r="120" spans="1:21" s="2" customFormat="1" ht="15.75" hidden="1" x14ac:dyDescent="0.25">
      <c r="A120" s="23"/>
      <c r="B120" s="22"/>
      <c r="C120" s="88" t="s">
        <v>56</v>
      </c>
      <c r="D120" s="88" t="s">
        <v>60</v>
      </c>
      <c r="E120" s="88" t="s">
        <v>182</v>
      </c>
      <c r="F120" s="10">
        <v>43267</v>
      </c>
      <c r="G120" s="88" t="s">
        <v>237</v>
      </c>
      <c r="H120" s="88" t="s">
        <v>31</v>
      </c>
      <c r="I120" s="89">
        <v>4604.6511627906975</v>
      </c>
      <c r="J120" s="89">
        <v>1108.25</v>
      </c>
      <c r="K120" s="90">
        <f t="shared" si="0"/>
        <v>0.75931944444444444</v>
      </c>
      <c r="L120" s="89">
        <f>688.825581395349+50</f>
        <v>738.82558139534899</v>
      </c>
      <c r="M120" s="110">
        <f t="shared" si="1"/>
        <v>0.16045202020202023</v>
      </c>
      <c r="N120" s="11">
        <v>614.65116279069798</v>
      </c>
      <c r="O120" s="11">
        <v>50</v>
      </c>
      <c r="P120" s="11"/>
      <c r="Q120" s="12"/>
      <c r="R120" s="13"/>
      <c r="S120" s="13"/>
      <c r="T120" s="13"/>
      <c r="U120" s="13"/>
    </row>
    <row r="121" spans="1:21" s="2" customFormat="1" ht="15.75" hidden="1" x14ac:dyDescent="0.25">
      <c r="A121" s="23"/>
      <c r="B121" s="22"/>
      <c r="C121" s="88" t="s">
        <v>100</v>
      </c>
      <c r="D121" s="88" t="s">
        <v>68</v>
      </c>
      <c r="E121" s="88" t="s">
        <v>172</v>
      </c>
      <c r="F121" s="10">
        <v>43221</v>
      </c>
      <c r="G121" s="88" t="s">
        <v>238</v>
      </c>
      <c r="H121" s="88" t="s">
        <v>16</v>
      </c>
      <c r="I121" s="89">
        <v>25696.49798270893</v>
      </c>
      <c r="J121" s="89">
        <f>12733.42+381</f>
        <v>13114.42</v>
      </c>
      <c r="K121" s="90">
        <f t="shared" si="0"/>
        <v>0.48964173994352694</v>
      </c>
      <c r="L121" s="89">
        <v>3489.6069913544652</v>
      </c>
      <c r="M121" s="110">
        <f t="shared" si="1"/>
        <v>0.13580087814699915</v>
      </c>
      <c r="N121" s="11">
        <v>3709.2829827089299</v>
      </c>
      <c r="O121" s="11">
        <v>0</v>
      </c>
      <c r="P121" s="11"/>
      <c r="Q121" s="12"/>
      <c r="R121" s="13"/>
      <c r="S121" s="13"/>
      <c r="T121" s="13"/>
      <c r="U121" s="13"/>
    </row>
    <row r="122" spans="1:21" s="2" customFormat="1" ht="15.75" hidden="1" x14ac:dyDescent="0.25">
      <c r="A122" s="23"/>
      <c r="B122" s="22"/>
      <c r="C122" s="88" t="s">
        <v>56</v>
      </c>
      <c r="D122" s="88" t="s">
        <v>57</v>
      </c>
      <c r="E122" s="88" t="s">
        <v>76</v>
      </c>
      <c r="F122" s="10">
        <v>43297</v>
      </c>
      <c r="G122" s="88" t="s">
        <v>239</v>
      </c>
      <c r="H122" s="88" t="s">
        <v>18</v>
      </c>
      <c r="I122" s="89">
        <v>5250.5214368482038</v>
      </c>
      <c r="J122" s="89">
        <v>2472.66</v>
      </c>
      <c r="K122" s="90">
        <f t="shared" si="0"/>
        <v>0.52906391684322041</v>
      </c>
      <c r="L122" s="89">
        <v>663.16071842410201</v>
      </c>
      <c r="M122" s="110">
        <f t="shared" si="1"/>
        <v>0.12630378266242939</v>
      </c>
      <c r="N122" s="11">
        <v>406.52143684820385</v>
      </c>
      <c r="O122" s="11">
        <v>0</v>
      </c>
      <c r="P122" s="11"/>
      <c r="Q122" s="12"/>
      <c r="R122" s="13"/>
      <c r="S122" s="13"/>
      <c r="T122" s="13"/>
      <c r="U122" s="13"/>
    </row>
    <row r="123" spans="1:21" s="2" customFormat="1" ht="15.75" hidden="1" x14ac:dyDescent="0.25">
      <c r="A123" s="23"/>
      <c r="B123" s="22"/>
      <c r="C123" s="88" t="s">
        <v>56</v>
      </c>
      <c r="D123" s="88" t="s">
        <v>57</v>
      </c>
      <c r="E123" s="88" t="s">
        <v>414</v>
      </c>
      <c r="F123" s="10">
        <v>43264</v>
      </c>
      <c r="G123" s="88" t="s">
        <v>240</v>
      </c>
      <c r="H123" s="88" t="s">
        <v>19</v>
      </c>
      <c r="I123" s="89">
        <v>10511.627906976744</v>
      </c>
      <c r="J123" s="89">
        <v>6017.93</v>
      </c>
      <c r="K123" s="90">
        <f t="shared" si="0"/>
        <v>0.42749780973451323</v>
      </c>
      <c r="L123" s="89">
        <v>713.79395348837249</v>
      </c>
      <c r="M123" s="110">
        <f t="shared" si="1"/>
        <v>6.7905176991150479E-2</v>
      </c>
      <c r="N123" s="11">
        <v>-596.672093023255</v>
      </c>
      <c r="O123" s="11">
        <v>0</v>
      </c>
      <c r="P123" s="11" t="s">
        <v>241</v>
      </c>
      <c r="Q123" s="12"/>
      <c r="R123" s="13"/>
      <c r="S123" s="13"/>
      <c r="T123" s="13"/>
      <c r="U123" s="13"/>
    </row>
    <row r="124" spans="1:21" s="2" customFormat="1" ht="15.75" hidden="1" x14ac:dyDescent="0.25">
      <c r="A124" s="23"/>
      <c r="B124" s="22"/>
      <c r="C124" s="88" t="s">
        <v>56</v>
      </c>
      <c r="D124" s="88" t="s">
        <v>57</v>
      </c>
      <c r="E124" s="88" t="s">
        <v>76</v>
      </c>
      <c r="F124" s="10">
        <v>43283</v>
      </c>
      <c r="G124" s="88" t="s">
        <v>242</v>
      </c>
      <c r="H124" s="88" t="s">
        <v>18</v>
      </c>
      <c r="I124" s="89">
        <v>18207.57134536983</v>
      </c>
      <c r="J124" s="89">
        <v>8753.49</v>
      </c>
      <c r="K124" s="90">
        <f t="shared" si="0"/>
        <v>0.5192390114002764</v>
      </c>
      <c r="L124" s="89">
        <v>2074.7706726849151</v>
      </c>
      <c r="M124" s="110">
        <f t="shared" si="1"/>
        <v>0.11395098408951326</v>
      </c>
      <c r="N124" s="11">
        <v>871.02134536983067</v>
      </c>
      <c r="O124" s="11">
        <v>0</v>
      </c>
      <c r="P124" s="11"/>
      <c r="Q124" s="12"/>
      <c r="R124" s="13"/>
      <c r="S124" s="13"/>
      <c r="T124" s="13"/>
      <c r="U124" s="13"/>
    </row>
    <row r="125" spans="1:21" s="2" customFormat="1" ht="15.75" hidden="1" x14ac:dyDescent="0.25">
      <c r="A125" s="23"/>
      <c r="B125" s="22"/>
      <c r="C125" s="88" t="s">
        <v>162</v>
      </c>
      <c r="D125" s="88" t="s">
        <v>123</v>
      </c>
      <c r="E125" s="88" t="s">
        <v>182</v>
      </c>
      <c r="F125" s="10">
        <v>43305</v>
      </c>
      <c r="G125" s="88" t="s">
        <v>243</v>
      </c>
      <c r="H125" s="88" t="s">
        <v>18</v>
      </c>
      <c r="I125" s="89">
        <v>3709.6364685516451</v>
      </c>
      <c r="J125" s="89">
        <f>1751.63</f>
        <v>1751.63</v>
      </c>
      <c r="K125" s="90">
        <f t="shared" si="0"/>
        <v>0.52781626586610253</v>
      </c>
      <c r="L125" s="89">
        <v>505.35823427582272</v>
      </c>
      <c r="M125" s="110">
        <f t="shared" si="1"/>
        <v>0.13622850609756107</v>
      </c>
      <c r="N125" s="11">
        <v>397.23646855164543</v>
      </c>
      <c r="O125" s="11">
        <v>0</v>
      </c>
      <c r="P125" s="11"/>
      <c r="Q125" s="12"/>
      <c r="R125" s="13"/>
      <c r="S125" s="13"/>
      <c r="T125" s="13"/>
      <c r="U125" s="13"/>
    </row>
    <row r="126" spans="1:21" s="2" customFormat="1" ht="15.75" hidden="1" x14ac:dyDescent="0.25">
      <c r="A126" s="23"/>
      <c r="B126" s="22"/>
      <c r="C126" s="88" t="s">
        <v>92</v>
      </c>
      <c r="D126" s="88" t="s">
        <v>75</v>
      </c>
      <c r="E126" s="88" t="s">
        <v>182</v>
      </c>
      <c r="F126" s="10">
        <v>43304</v>
      </c>
      <c r="G126" s="88" t="s">
        <v>244</v>
      </c>
      <c r="H126" s="88" t="s">
        <v>13</v>
      </c>
      <c r="I126" s="89">
        <v>2166.8411867364744</v>
      </c>
      <c r="J126" s="89">
        <v>1061.25</v>
      </c>
      <c r="K126" s="90">
        <f t="shared" si="0"/>
        <v>0.51023175740979376</v>
      </c>
      <c r="L126" s="89">
        <v>218.92059336823741</v>
      </c>
      <c r="M126" s="110">
        <f t="shared" si="1"/>
        <v>0.10103213595360828</v>
      </c>
      <c r="N126" s="11">
        <v>66.84118673647481</v>
      </c>
      <c r="O126" s="11">
        <v>0</v>
      </c>
      <c r="P126" s="11"/>
      <c r="Q126" s="12"/>
      <c r="R126" s="13"/>
      <c r="S126" s="13"/>
      <c r="T126" s="13"/>
      <c r="U126" s="13"/>
    </row>
    <row r="127" spans="1:21" s="2" customFormat="1" ht="15.75" hidden="1" x14ac:dyDescent="0.25">
      <c r="A127" s="23"/>
      <c r="B127" s="22"/>
      <c r="C127" s="88" t="s">
        <v>56</v>
      </c>
      <c r="D127" s="88" t="s">
        <v>75</v>
      </c>
      <c r="E127" s="88" t="s">
        <v>182</v>
      </c>
      <c r="F127" s="10">
        <v>43307</v>
      </c>
      <c r="G127" s="88" t="s">
        <v>245</v>
      </c>
      <c r="H127" s="88" t="s">
        <v>17</v>
      </c>
      <c r="I127" s="89">
        <v>12334.646581691772</v>
      </c>
      <c r="J127" s="89">
        <v>4668.1099999999997</v>
      </c>
      <c r="K127" s="90">
        <f t="shared" si="0"/>
        <v>0.62154489234180066</v>
      </c>
      <c r="L127" s="89">
        <v>1873.4952908458858</v>
      </c>
      <c r="M127" s="110">
        <f t="shared" si="1"/>
        <v>0.15188885051856302</v>
      </c>
      <c r="N127" s="11">
        <v>1705.0765816917719</v>
      </c>
      <c r="O127" s="11">
        <v>0</v>
      </c>
      <c r="P127" s="11"/>
      <c r="Q127" s="12"/>
      <c r="R127" s="13"/>
      <c r="S127" s="13"/>
      <c r="T127" s="13"/>
      <c r="U127" s="13"/>
    </row>
    <row r="128" spans="1:21" s="2" customFormat="1" ht="15.75" hidden="1" x14ac:dyDescent="0.25">
      <c r="A128" s="23"/>
      <c r="B128" s="22"/>
      <c r="C128" s="88" t="s">
        <v>56</v>
      </c>
      <c r="D128" s="88" t="s">
        <v>60</v>
      </c>
      <c r="E128" s="88" t="s">
        <v>58</v>
      </c>
      <c r="F128" s="10">
        <v>43246</v>
      </c>
      <c r="G128" s="88" t="s">
        <v>246</v>
      </c>
      <c r="H128" s="88" t="s">
        <v>28</v>
      </c>
      <c r="I128" s="89">
        <v>31765.141279069772</v>
      </c>
      <c r="J128" s="89">
        <v>14528.14</v>
      </c>
      <c r="K128" s="90">
        <f t="shared" si="0"/>
        <v>0.54263889864791282</v>
      </c>
      <c r="L128" s="89">
        <v>2828.6486395348861</v>
      </c>
      <c r="M128" s="110">
        <f t="shared" si="1"/>
        <v>8.9048829176739674E-2</v>
      </c>
      <c r="N128" s="11">
        <v>1131.461279069772</v>
      </c>
      <c r="O128" s="11">
        <v>0</v>
      </c>
      <c r="P128" s="11"/>
      <c r="Q128" s="12"/>
      <c r="R128" s="13"/>
      <c r="S128" s="13"/>
      <c r="T128" s="13"/>
      <c r="U128" s="13"/>
    </row>
    <row r="129" spans="1:21" s="2" customFormat="1" ht="15.75" hidden="1" x14ac:dyDescent="0.25">
      <c r="A129" s="23"/>
      <c r="B129" s="22"/>
      <c r="C129" s="88" t="s">
        <v>56</v>
      </c>
      <c r="D129" s="88" t="s">
        <v>83</v>
      </c>
      <c r="E129" s="88" t="s">
        <v>108</v>
      </c>
      <c r="F129" s="10">
        <v>43158</v>
      </c>
      <c r="G129" s="88" t="s">
        <v>247</v>
      </c>
      <c r="H129" s="88" t="s">
        <v>16</v>
      </c>
      <c r="I129" s="89">
        <v>35837.20930232558</v>
      </c>
      <c r="J129" s="89">
        <v>22638.83</v>
      </c>
      <c r="K129" s="90">
        <f t="shared" si="0"/>
        <v>0.3682870279039584</v>
      </c>
      <c r="L129" s="89">
        <f>1350.99+360</f>
        <v>1710.99</v>
      </c>
      <c r="M129" s="110">
        <f t="shared" si="1"/>
        <v>4.7743393900064893E-2</v>
      </c>
      <c r="N129" s="11">
        <v>-2834.0406976744198</v>
      </c>
      <c r="O129" s="11">
        <v>360</v>
      </c>
      <c r="P129" s="11" t="s">
        <v>248</v>
      </c>
      <c r="Q129" s="12"/>
      <c r="R129" s="13"/>
      <c r="S129" s="13"/>
      <c r="T129" s="13"/>
      <c r="U129" s="13"/>
    </row>
    <row r="130" spans="1:21" s="2" customFormat="1" ht="15.75" hidden="1" x14ac:dyDescent="0.25">
      <c r="A130" s="23"/>
      <c r="B130" s="22"/>
      <c r="C130" s="88" t="s">
        <v>100</v>
      </c>
      <c r="D130" s="88" t="s">
        <v>68</v>
      </c>
      <c r="E130" s="88" t="s">
        <v>172</v>
      </c>
      <c r="F130" s="10">
        <v>43162</v>
      </c>
      <c r="G130" s="88" t="s">
        <v>249</v>
      </c>
      <c r="H130" s="88" t="s">
        <v>405</v>
      </c>
      <c r="I130" s="89">
        <v>72501.671469740628</v>
      </c>
      <c r="J130" s="89">
        <f>63138+270</f>
        <v>63408</v>
      </c>
      <c r="K130" s="90">
        <f t="shared" si="0"/>
        <v>0.12542705961663203</v>
      </c>
      <c r="L130" s="89">
        <f>-504.749265129684+1747.3</f>
        <v>1242.5507348703159</v>
      </c>
      <c r="M130" s="110">
        <f t="shared" si="1"/>
        <v>1.7138235707971343E-2</v>
      </c>
      <c r="N130" s="11">
        <v>-9955.6385302593699</v>
      </c>
      <c r="O130" s="11">
        <v>1747.3</v>
      </c>
      <c r="P130" s="11"/>
      <c r="Q130" s="12"/>
      <c r="R130" s="13"/>
      <c r="S130" s="13"/>
      <c r="T130" s="13"/>
      <c r="U130" s="13"/>
    </row>
    <row r="131" spans="1:21" s="2" customFormat="1" ht="15.75" hidden="1" x14ac:dyDescent="0.25">
      <c r="A131" s="23"/>
      <c r="B131" s="22"/>
      <c r="C131" s="88" t="s">
        <v>250</v>
      </c>
      <c r="D131" s="88" t="s">
        <v>60</v>
      </c>
      <c r="E131" s="88" t="s">
        <v>76</v>
      </c>
      <c r="F131" s="10">
        <v>43333</v>
      </c>
      <c r="G131" s="88" t="s">
        <v>251</v>
      </c>
      <c r="H131" s="88" t="s">
        <v>13</v>
      </c>
      <c r="I131" s="89">
        <v>12495.596007046388</v>
      </c>
      <c r="J131" s="89">
        <v>4652.83</v>
      </c>
      <c r="K131" s="90">
        <f t="shared" si="0"/>
        <v>0.62764241118421049</v>
      </c>
      <c r="L131" s="89">
        <v>1479.6220035231947</v>
      </c>
      <c r="M131" s="110">
        <f t="shared" si="1"/>
        <v>0.11841147894736846</v>
      </c>
      <c r="N131" s="11">
        <v>741.40600704638928</v>
      </c>
      <c r="O131" s="11">
        <v>0</v>
      </c>
      <c r="P131" s="11"/>
      <c r="Q131" s="12"/>
      <c r="R131" s="13"/>
      <c r="S131" s="13"/>
      <c r="T131" s="13"/>
      <c r="U131" s="13"/>
    </row>
    <row r="132" spans="1:21" s="2" customFormat="1" ht="15.75" hidden="1" x14ac:dyDescent="0.25">
      <c r="A132" s="23"/>
      <c r="B132" s="22"/>
      <c r="C132" s="88" t="s">
        <v>198</v>
      </c>
      <c r="D132" s="88" t="s">
        <v>75</v>
      </c>
      <c r="E132" s="88" t="s">
        <v>182</v>
      </c>
      <c r="F132" s="10">
        <v>43309</v>
      </c>
      <c r="G132" s="88" t="s">
        <v>252</v>
      </c>
      <c r="H132" s="88" t="s">
        <v>13</v>
      </c>
      <c r="I132" s="89">
        <v>2709.7868375072799</v>
      </c>
      <c r="J132" s="89">
        <v>1079.1400000000001</v>
      </c>
      <c r="K132" s="90">
        <f t="shared" si="0"/>
        <v>0.60176203343260171</v>
      </c>
      <c r="L132" s="89">
        <v>356.27341875363999</v>
      </c>
      <c r="M132" s="110">
        <f t="shared" si="1"/>
        <v>0.13147654783111068</v>
      </c>
      <c r="N132" s="11">
        <v>341.68683750727996</v>
      </c>
      <c r="O132" s="11">
        <v>0</v>
      </c>
      <c r="P132" s="11"/>
      <c r="Q132" s="12"/>
      <c r="R132" s="13"/>
      <c r="S132" s="13"/>
      <c r="T132" s="13"/>
      <c r="U132" s="13"/>
    </row>
    <row r="133" spans="1:21" s="2" customFormat="1" ht="15.75" hidden="1" x14ac:dyDescent="0.25">
      <c r="A133" s="23"/>
      <c r="B133" s="22"/>
      <c r="C133" s="88" t="s">
        <v>56</v>
      </c>
      <c r="D133" s="88" t="s">
        <v>57</v>
      </c>
      <c r="E133" s="88" t="s">
        <v>76</v>
      </c>
      <c r="F133" s="10">
        <v>43339</v>
      </c>
      <c r="G133" s="88" t="s">
        <v>253</v>
      </c>
      <c r="H133" s="88" t="s">
        <v>54</v>
      </c>
      <c r="I133" s="89">
        <v>5041.0196987253757</v>
      </c>
      <c r="J133" s="89">
        <v>2575.94</v>
      </c>
      <c r="K133" s="90">
        <f t="shared" si="0"/>
        <v>0.48900417892607567</v>
      </c>
      <c r="L133" s="89">
        <v>539.92984936268795</v>
      </c>
      <c r="M133" s="110">
        <f t="shared" si="1"/>
        <v>0.10710726829716803</v>
      </c>
      <c r="N133" s="11">
        <v>150.81969872537593</v>
      </c>
      <c r="O133" s="11">
        <v>0</v>
      </c>
      <c r="P133" s="11" t="s">
        <v>254</v>
      </c>
      <c r="Q133" s="12"/>
      <c r="R133" s="13"/>
      <c r="S133" s="13"/>
      <c r="T133" s="13"/>
      <c r="U133" s="13"/>
    </row>
    <row r="134" spans="1:21" s="2" customFormat="1" ht="15.75" hidden="1" x14ac:dyDescent="0.25">
      <c r="A134" s="23"/>
      <c r="B134" s="22"/>
      <c r="C134" s="88" t="s">
        <v>56</v>
      </c>
      <c r="D134" s="88" t="s">
        <v>60</v>
      </c>
      <c r="E134" s="88" t="s">
        <v>58</v>
      </c>
      <c r="F134" s="10">
        <v>43276</v>
      </c>
      <c r="G134" s="88" t="s">
        <v>255</v>
      </c>
      <c r="H134" s="88" t="s">
        <v>27</v>
      </c>
      <c r="I134" s="89">
        <v>12099.61</v>
      </c>
      <c r="J134" s="89">
        <v>5734.17</v>
      </c>
      <c r="K134" s="90">
        <f t="shared" si="0"/>
        <v>0.52608637799069558</v>
      </c>
      <c r="L134" s="89">
        <f>874.09</f>
        <v>874.09</v>
      </c>
      <c r="M134" s="110">
        <f t="shared" si="1"/>
        <v>7.224117140965701E-2</v>
      </c>
      <c r="N134" s="11">
        <v>448.71</v>
      </c>
      <c r="O134" s="11">
        <v>0</v>
      </c>
      <c r="P134" s="11"/>
      <c r="Q134" s="12"/>
      <c r="R134" s="13"/>
      <c r="S134" s="13"/>
      <c r="T134" s="13"/>
      <c r="U134" s="13"/>
    </row>
    <row r="135" spans="1:21" s="2" customFormat="1" ht="15.75" hidden="1" x14ac:dyDescent="0.25">
      <c r="A135" s="23"/>
      <c r="B135" s="22"/>
      <c r="C135" s="88" t="s">
        <v>56</v>
      </c>
      <c r="D135" s="88" t="s">
        <v>57</v>
      </c>
      <c r="E135" s="88" t="s">
        <v>187</v>
      </c>
      <c r="F135" s="10">
        <v>43286</v>
      </c>
      <c r="G135" s="88" t="s">
        <v>256</v>
      </c>
      <c r="H135" s="88" t="s">
        <v>18</v>
      </c>
      <c r="I135" s="89">
        <v>1822.4797219003474</v>
      </c>
      <c r="J135" s="89">
        <v>850.7</v>
      </c>
      <c r="K135" s="90">
        <f t="shared" si="0"/>
        <v>0.53321840030518808</v>
      </c>
      <c r="L135" s="89">
        <f>124.579+50</f>
        <v>174.57900000000001</v>
      </c>
      <c r="M135" s="110">
        <f t="shared" si="1"/>
        <v>9.5792012334689744E-2</v>
      </c>
      <c r="N135" s="11">
        <v>-82.920278099652478</v>
      </c>
      <c r="O135" s="11">
        <v>50</v>
      </c>
      <c r="P135" s="11"/>
      <c r="Q135" s="12"/>
      <c r="R135" s="13"/>
      <c r="S135" s="13"/>
      <c r="T135" s="13"/>
      <c r="U135" s="13"/>
    </row>
    <row r="136" spans="1:21" s="2" customFormat="1" ht="15.75" hidden="1" x14ac:dyDescent="0.25">
      <c r="A136" s="23"/>
      <c r="B136" s="22"/>
      <c r="C136" s="88" t="s">
        <v>56</v>
      </c>
      <c r="D136" s="88" t="s">
        <v>123</v>
      </c>
      <c r="E136" s="88" t="s">
        <v>72</v>
      </c>
      <c r="F136" s="10">
        <v>43300</v>
      </c>
      <c r="G136" s="88" t="s">
        <v>257</v>
      </c>
      <c r="H136" s="88" t="s">
        <v>16</v>
      </c>
      <c r="I136" s="89">
        <v>34132.980000000003</v>
      </c>
      <c r="J136" s="89">
        <v>18367.03</v>
      </c>
      <c r="K136" s="90">
        <f t="shared" si="0"/>
        <v>0.46189784777068987</v>
      </c>
      <c r="L136" s="89">
        <v>3033.8000000000011</v>
      </c>
      <c r="M136" s="110">
        <f t="shared" si="1"/>
        <v>8.8881779440295017E-2</v>
      </c>
      <c r="N136" s="11">
        <v>458.08000000000175</v>
      </c>
      <c r="O136" s="11">
        <v>0</v>
      </c>
      <c r="P136" s="11"/>
      <c r="Q136" s="12"/>
      <c r="R136" s="13"/>
      <c r="S136" s="13"/>
      <c r="T136" s="13"/>
      <c r="U136" s="13"/>
    </row>
    <row r="137" spans="1:21" s="2" customFormat="1" ht="15.75" hidden="1" x14ac:dyDescent="0.25">
      <c r="A137" s="23"/>
      <c r="B137" s="22"/>
      <c r="C137" s="88" t="s">
        <v>92</v>
      </c>
      <c r="D137" s="88" t="s">
        <v>75</v>
      </c>
      <c r="E137" s="88" t="s">
        <v>414</v>
      </c>
      <c r="F137" s="10">
        <v>43262</v>
      </c>
      <c r="G137" s="88" t="s">
        <v>258</v>
      </c>
      <c r="H137" s="88" t="s">
        <v>14</v>
      </c>
      <c r="I137" s="89">
        <v>7779.4066317626521</v>
      </c>
      <c r="J137" s="89">
        <v>3716.23</v>
      </c>
      <c r="K137" s="90">
        <f t="shared" si="0"/>
        <v>0.5222990420854271</v>
      </c>
      <c r="L137" s="89">
        <v>718.64731588132599</v>
      </c>
      <c r="M137" s="110">
        <f t="shared" si="1"/>
        <v>9.2378165829145695E-2</v>
      </c>
      <c r="N137" s="11">
        <v>-43.233368237348259</v>
      </c>
      <c r="O137" s="11">
        <v>0</v>
      </c>
      <c r="P137" s="11"/>
      <c r="Q137" s="12"/>
      <c r="R137" s="13"/>
      <c r="S137" s="13"/>
      <c r="T137" s="13"/>
      <c r="U137" s="13"/>
    </row>
    <row r="138" spans="1:21" s="2" customFormat="1" ht="15.75" hidden="1" x14ac:dyDescent="0.25">
      <c r="A138" s="23"/>
      <c r="B138" s="22"/>
      <c r="C138" s="88" t="s">
        <v>56</v>
      </c>
      <c r="D138" s="88" t="s">
        <v>75</v>
      </c>
      <c r="E138" s="88" t="s">
        <v>58</v>
      </c>
      <c r="F138" s="10">
        <v>43236</v>
      </c>
      <c r="G138" s="88" t="s">
        <v>259</v>
      </c>
      <c r="H138" s="88" t="s">
        <v>14</v>
      </c>
      <c r="I138" s="89">
        <v>10200.763837209304</v>
      </c>
      <c r="J138" s="89">
        <v>4299.8900000000003</v>
      </c>
      <c r="K138" s="90">
        <f t="shared" si="0"/>
        <v>0.578473723279888</v>
      </c>
      <c r="L138" s="89">
        <v>1676.4859186046524</v>
      </c>
      <c r="M138" s="110">
        <f t="shared" si="1"/>
        <v>0.16434905712544176</v>
      </c>
      <c r="N138" s="11">
        <v>1973.5238372093045</v>
      </c>
      <c r="O138" s="11">
        <v>0</v>
      </c>
      <c r="P138" s="11"/>
      <c r="Q138" s="12"/>
      <c r="R138" s="13"/>
      <c r="S138" s="13"/>
      <c r="T138" s="13"/>
      <c r="U138" s="13"/>
    </row>
    <row r="139" spans="1:21" s="2" customFormat="1" ht="15.75" hidden="1" x14ac:dyDescent="0.25">
      <c r="A139" s="23"/>
      <c r="B139" s="22"/>
      <c r="C139" s="88" t="s">
        <v>92</v>
      </c>
      <c r="D139" s="88" t="s">
        <v>75</v>
      </c>
      <c r="E139" s="88" t="s">
        <v>76</v>
      </c>
      <c r="F139" s="10">
        <v>43358</v>
      </c>
      <c r="G139" s="88" t="s">
        <v>223</v>
      </c>
      <c r="H139" s="88" t="s">
        <v>13</v>
      </c>
      <c r="I139" s="89">
        <v>5337.987201861547</v>
      </c>
      <c r="J139" s="89">
        <v>2547.6999999999998</v>
      </c>
      <c r="K139" s="90">
        <f t="shared" si="0"/>
        <v>0.52272272231909334</v>
      </c>
      <c r="L139" s="89">
        <v>518.45360093077375</v>
      </c>
      <c r="M139" s="110">
        <f t="shared" si="1"/>
        <v>9.7125298605056684E-2</v>
      </c>
      <c r="N139" s="11">
        <v>22.88720186154751</v>
      </c>
      <c r="O139" s="11">
        <v>0</v>
      </c>
      <c r="P139" s="11"/>
      <c r="Q139" s="12"/>
      <c r="R139" s="13"/>
      <c r="S139" s="13"/>
      <c r="T139" s="13"/>
      <c r="U139" s="13"/>
    </row>
    <row r="140" spans="1:21" s="2" customFormat="1" ht="15.75" hidden="1" x14ac:dyDescent="0.25">
      <c r="A140" s="23"/>
      <c r="B140" s="22"/>
      <c r="C140" s="88" t="s">
        <v>56</v>
      </c>
      <c r="D140" s="88" t="s">
        <v>123</v>
      </c>
      <c r="E140" s="88" t="s">
        <v>72</v>
      </c>
      <c r="F140" s="10">
        <v>43277</v>
      </c>
      <c r="G140" s="88" t="s">
        <v>260</v>
      </c>
      <c r="H140" s="88" t="s">
        <v>16</v>
      </c>
      <c r="I140" s="89">
        <v>46860.465116279069</v>
      </c>
      <c r="J140" s="89">
        <f>27524.39+131.13</f>
        <v>27655.52</v>
      </c>
      <c r="K140" s="90">
        <f t="shared" si="0"/>
        <v>0.40983257568238213</v>
      </c>
      <c r="L140" s="89">
        <f>2638.86755813953+100</f>
        <v>2738.86755813953</v>
      </c>
      <c r="M140" s="110">
        <f t="shared" si="1"/>
        <v>5.8447297766749277E-2</v>
      </c>
      <c r="N140" s="11">
        <v>-2949.364883720933</v>
      </c>
      <c r="O140" s="11">
        <v>100</v>
      </c>
      <c r="P140" s="11" t="s">
        <v>261</v>
      </c>
      <c r="Q140" s="12"/>
      <c r="R140" s="13"/>
      <c r="S140" s="13"/>
      <c r="T140" s="13"/>
      <c r="U140" s="13"/>
    </row>
    <row r="141" spans="1:21" s="2" customFormat="1" ht="15.75" hidden="1" x14ac:dyDescent="0.25">
      <c r="A141" s="23"/>
      <c r="B141" s="22"/>
      <c r="C141" s="88" t="s">
        <v>100</v>
      </c>
      <c r="D141" s="88" t="s">
        <v>57</v>
      </c>
      <c r="E141" s="88" t="s">
        <v>172</v>
      </c>
      <c r="F141" s="10">
        <v>43302</v>
      </c>
      <c r="G141" s="88" t="s">
        <v>262</v>
      </c>
      <c r="H141" s="88" t="s">
        <v>14</v>
      </c>
      <c r="I141" s="89">
        <v>5359.159859976663</v>
      </c>
      <c r="J141" s="89">
        <v>2403.64</v>
      </c>
      <c r="K141" s="90">
        <f t="shared" si="0"/>
        <v>0.55148940080125419</v>
      </c>
      <c r="L141" s="89">
        <v>655.35492998833161</v>
      </c>
      <c r="M141" s="110">
        <f t="shared" si="1"/>
        <v>0.12228687837484763</v>
      </c>
      <c r="N141" s="11">
        <v>369.90985997666303</v>
      </c>
      <c r="O141" s="11">
        <v>0</v>
      </c>
      <c r="P141" s="11"/>
      <c r="Q141" s="12"/>
      <c r="R141" s="13"/>
      <c r="S141" s="13"/>
      <c r="T141" s="13"/>
      <c r="U141" s="13"/>
    </row>
    <row r="142" spans="1:21" s="2" customFormat="1" ht="15.75" hidden="1" x14ac:dyDescent="0.25">
      <c r="A142" s="23"/>
      <c r="B142" s="22"/>
      <c r="C142" s="88" t="s">
        <v>56</v>
      </c>
      <c r="D142" s="88" t="s">
        <v>57</v>
      </c>
      <c r="E142" s="88" t="s">
        <v>182</v>
      </c>
      <c r="F142" s="10">
        <v>43323</v>
      </c>
      <c r="G142" s="88" t="s">
        <v>263</v>
      </c>
      <c r="H142" s="88" t="s">
        <v>17</v>
      </c>
      <c r="I142" s="89">
        <v>4760.1390498261871</v>
      </c>
      <c r="J142" s="89">
        <v>2026.75</v>
      </c>
      <c r="K142" s="90">
        <f t="shared" si="0"/>
        <v>0.57422462268743912</v>
      </c>
      <c r="L142" s="89">
        <v>627.39272491309362</v>
      </c>
      <c r="M142" s="110">
        <f t="shared" si="1"/>
        <v>0.13180134410905547</v>
      </c>
      <c r="N142" s="11">
        <v>546.44704982618714</v>
      </c>
      <c r="O142" s="11">
        <v>0</v>
      </c>
      <c r="P142" s="11"/>
      <c r="Q142" s="12"/>
      <c r="R142" s="13"/>
      <c r="S142" s="13"/>
      <c r="T142" s="13"/>
      <c r="U142" s="13"/>
    </row>
    <row r="143" spans="1:21" s="2" customFormat="1" ht="15.75" hidden="1" x14ac:dyDescent="0.25">
      <c r="A143" s="23"/>
      <c r="B143" s="22"/>
      <c r="C143" s="88" t="s">
        <v>264</v>
      </c>
      <c r="D143" s="88" t="s">
        <v>60</v>
      </c>
      <c r="E143" s="88" t="s">
        <v>414</v>
      </c>
      <c r="F143" s="10">
        <v>43294</v>
      </c>
      <c r="G143" s="88" t="s">
        <v>265</v>
      </c>
      <c r="H143" s="88" t="s">
        <v>27</v>
      </c>
      <c r="I143" s="89">
        <v>19601.756126021002</v>
      </c>
      <c r="J143" s="89">
        <v>6719.7</v>
      </c>
      <c r="K143" s="90">
        <f t="shared" si="0"/>
        <v>0.6571888785474832</v>
      </c>
      <c r="L143" s="89">
        <v>2349.7980630105021</v>
      </c>
      <c r="M143" s="110">
        <f t="shared" si="1"/>
        <v>0.11987691551223743</v>
      </c>
      <c r="N143" s="11">
        <v>1087.8061260210052</v>
      </c>
      <c r="O143" s="11">
        <v>0</v>
      </c>
      <c r="P143" s="11"/>
      <c r="Q143" s="12"/>
      <c r="R143" s="13"/>
      <c r="S143" s="13"/>
      <c r="T143" s="13"/>
      <c r="U143" s="13"/>
    </row>
    <row r="144" spans="1:21" s="2" customFormat="1" ht="15.75" hidden="1" x14ac:dyDescent="0.25">
      <c r="A144" s="23"/>
      <c r="B144" s="22"/>
      <c r="C144" s="88" t="s">
        <v>56</v>
      </c>
      <c r="D144" s="88" t="s">
        <v>123</v>
      </c>
      <c r="E144" s="88" t="s">
        <v>76</v>
      </c>
      <c r="F144" s="10">
        <v>43348</v>
      </c>
      <c r="G144" s="88" t="s">
        <v>266</v>
      </c>
      <c r="H144" s="88" t="s">
        <v>13</v>
      </c>
      <c r="I144" s="89">
        <v>7296.4078794901498</v>
      </c>
      <c r="J144" s="89">
        <v>3965.11</v>
      </c>
      <c r="K144" s="90">
        <f t="shared" si="0"/>
        <v>0.45656683871172649</v>
      </c>
      <c r="L144" s="89">
        <v>576.90773974507454</v>
      </c>
      <c r="M144" s="110">
        <f t="shared" si="1"/>
        <v>7.9067364280269239E-2</v>
      </c>
      <c r="N144" s="11">
        <v>-708.58212050985094</v>
      </c>
      <c r="O144" s="11">
        <v>0</v>
      </c>
      <c r="P144" s="11" t="s">
        <v>267</v>
      </c>
      <c r="Q144" s="12"/>
      <c r="R144" s="13"/>
      <c r="S144" s="13"/>
      <c r="T144" s="13"/>
      <c r="U144" s="13"/>
    </row>
    <row r="145" spans="1:21" s="2" customFormat="1" ht="15.75" hidden="1" x14ac:dyDescent="0.25">
      <c r="A145" s="23"/>
      <c r="B145" s="22"/>
      <c r="C145" s="88" t="s">
        <v>56</v>
      </c>
      <c r="D145" s="88" t="s">
        <v>60</v>
      </c>
      <c r="E145" s="88" t="s">
        <v>182</v>
      </c>
      <c r="F145" s="10">
        <v>43357</v>
      </c>
      <c r="G145" s="88" t="s">
        <v>268</v>
      </c>
      <c r="H145" s="88" t="s">
        <v>17</v>
      </c>
      <c r="I145" s="89">
        <v>4078.8</v>
      </c>
      <c r="J145" s="89">
        <v>1473.53</v>
      </c>
      <c r="K145" s="90">
        <f t="shared" si="0"/>
        <v>0.63873443169559685</v>
      </c>
      <c r="L145" s="89">
        <v>565.20000000000005</v>
      </c>
      <c r="M145" s="110">
        <f t="shared" si="1"/>
        <v>0.13857016769638128</v>
      </c>
      <c r="N145" s="11">
        <v>466.80000000000018</v>
      </c>
      <c r="O145" s="11">
        <v>0</v>
      </c>
      <c r="P145" s="11"/>
      <c r="Q145" s="12"/>
      <c r="R145" s="13"/>
      <c r="S145" s="13"/>
      <c r="T145" s="13"/>
      <c r="U145" s="13"/>
    </row>
    <row r="146" spans="1:21" s="2" customFormat="1" ht="15.75" hidden="1" x14ac:dyDescent="0.25">
      <c r="A146" s="23"/>
      <c r="B146" s="22"/>
      <c r="C146" s="88" t="s">
        <v>56</v>
      </c>
      <c r="D146" s="88" t="s">
        <v>57</v>
      </c>
      <c r="E146" s="88" t="s">
        <v>76</v>
      </c>
      <c r="F146" s="10">
        <v>43328</v>
      </c>
      <c r="G146" s="88" t="s">
        <v>269</v>
      </c>
      <c r="H146" s="88" t="s">
        <v>54</v>
      </c>
      <c r="I146" s="89">
        <v>2917.2421784472767</v>
      </c>
      <c r="J146" s="89">
        <v>1286.8599999999999</v>
      </c>
      <c r="K146" s="90">
        <f t="shared" si="0"/>
        <v>0.55887789861692583</v>
      </c>
      <c r="L146" s="89">
        <v>470.92108922363832</v>
      </c>
      <c r="M146" s="110">
        <f t="shared" si="1"/>
        <v>0.16142680669531848</v>
      </c>
      <c r="N146" s="11">
        <v>509.24217844727673</v>
      </c>
      <c r="O146" s="11">
        <v>0</v>
      </c>
      <c r="P146" s="11"/>
      <c r="Q146" s="12"/>
      <c r="R146" s="13"/>
      <c r="S146" s="13"/>
      <c r="T146" s="13"/>
      <c r="U146" s="13"/>
    </row>
    <row r="147" spans="1:21" s="2" customFormat="1" ht="15.75" hidden="1" x14ac:dyDescent="0.25">
      <c r="A147" s="23"/>
      <c r="B147" s="22"/>
      <c r="C147" s="88" t="s">
        <v>56</v>
      </c>
      <c r="D147" s="88" t="s">
        <v>57</v>
      </c>
      <c r="E147" s="88" t="s">
        <v>172</v>
      </c>
      <c r="F147" s="10">
        <v>43267</v>
      </c>
      <c r="G147" s="88" t="s">
        <v>270</v>
      </c>
      <c r="H147" s="88" t="s">
        <v>17</v>
      </c>
      <c r="I147" s="89">
        <v>12306.976744186048</v>
      </c>
      <c r="J147" s="89">
        <f>7277.76-119</f>
        <v>7158.76</v>
      </c>
      <c r="K147" s="90">
        <f t="shared" si="0"/>
        <v>0.41831693121693125</v>
      </c>
      <c r="L147" s="89">
        <v>1187.6883720930239</v>
      </c>
      <c r="M147" s="110">
        <f t="shared" si="1"/>
        <v>9.6505291005291052E-2</v>
      </c>
      <c r="N147" s="11">
        <v>560.97674418604765</v>
      </c>
      <c r="O147" s="11">
        <v>0</v>
      </c>
      <c r="P147" s="11" t="s">
        <v>271</v>
      </c>
      <c r="Q147" s="12"/>
      <c r="R147" s="13"/>
      <c r="S147" s="13"/>
      <c r="T147" s="13"/>
      <c r="U147" s="13"/>
    </row>
    <row r="148" spans="1:21" s="2" customFormat="1" ht="15.75" x14ac:dyDescent="0.25">
      <c r="B148" s="22"/>
      <c r="C148" s="88" t="s">
        <v>417</v>
      </c>
      <c r="D148" s="88" t="s">
        <v>60</v>
      </c>
      <c r="E148" s="88" t="s">
        <v>182</v>
      </c>
      <c r="F148" s="10">
        <v>43310</v>
      </c>
      <c r="G148" s="88" t="s">
        <v>273</v>
      </c>
      <c r="H148" s="88" t="s">
        <v>19</v>
      </c>
      <c r="I148" s="89">
        <v>18165.52</v>
      </c>
      <c r="J148" s="89">
        <v>6091.26</v>
      </c>
      <c r="K148" s="90">
        <f t="shared" si="0"/>
        <v>0.66468011925890369</v>
      </c>
      <c r="L148" s="89">
        <v>2175.0526169844029</v>
      </c>
      <c r="M148" s="110">
        <f t="shared" si="1"/>
        <v>0.11973522458946416</v>
      </c>
      <c r="N148" s="11">
        <v>1274.8652339688051</v>
      </c>
      <c r="O148" s="11">
        <v>0</v>
      </c>
      <c r="P148" s="11"/>
      <c r="Q148" s="12"/>
    </row>
    <row r="149" spans="1:21" s="2" customFormat="1" ht="15.75" hidden="1" x14ac:dyDescent="0.25">
      <c r="B149" s="22"/>
      <c r="C149" s="88" t="s">
        <v>56</v>
      </c>
      <c r="D149" s="88" t="s">
        <v>68</v>
      </c>
      <c r="E149" s="88" t="s">
        <v>172</v>
      </c>
      <c r="F149" s="10">
        <v>43175</v>
      </c>
      <c r="G149" s="88" t="s">
        <v>274</v>
      </c>
      <c r="H149" s="88" t="s">
        <v>412</v>
      </c>
      <c r="I149" s="89">
        <v>31734.455813953489</v>
      </c>
      <c r="J149" s="89">
        <v>25726.93</v>
      </c>
      <c r="K149" s="90">
        <f t="shared" si="0"/>
        <v>0.1893060920651429</v>
      </c>
      <c r="L149" s="89">
        <f>489.13+1287.03</f>
        <v>1776.1599999999999</v>
      </c>
      <c r="M149" s="110">
        <f t="shared" si="1"/>
        <v>5.5969448803941071E-2</v>
      </c>
      <c r="N149" s="11">
        <v>-4606.12</v>
      </c>
      <c r="O149" s="11">
        <v>489.13</v>
      </c>
      <c r="P149" s="11"/>
      <c r="Q149" s="12"/>
    </row>
    <row r="150" spans="1:21" s="2" customFormat="1" ht="15.75" hidden="1" x14ac:dyDescent="0.25">
      <c r="B150" s="22"/>
      <c r="C150" s="88" t="s">
        <v>275</v>
      </c>
      <c r="D150" s="88" t="s">
        <v>60</v>
      </c>
      <c r="E150" s="88" t="s">
        <v>58</v>
      </c>
      <c r="F150" s="10">
        <v>43272</v>
      </c>
      <c r="G150" s="88" t="s">
        <v>276</v>
      </c>
      <c r="H150" s="88" t="s">
        <v>28</v>
      </c>
      <c r="I150" s="89">
        <v>29521.797752808987</v>
      </c>
      <c r="J150" s="89">
        <v>16701.12</v>
      </c>
      <c r="K150" s="90">
        <f t="shared" si="0"/>
        <v>0.43427835459610875</v>
      </c>
      <c r="L150" s="89">
        <v>3550.66</v>
      </c>
      <c r="M150" s="110">
        <f t="shared" si="1"/>
        <v>0.12027248576561216</v>
      </c>
      <c r="N150" s="11">
        <v>2741.69</v>
      </c>
      <c r="O150" s="11">
        <v>0</v>
      </c>
      <c r="P150" s="11" t="s">
        <v>277</v>
      </c>
      <c r="Q150" s="12"/>
    </row>
    <row r="151" spans="1:21" s="2" customFormat="1" ht="15.75" x14ac:dyDescent="0.25">
      <c r="B151" s="22"/>
      <c r="C151" s="88" t="s">
        <v>417</v>
      </c>
      <c r="D151" s="88" t="s">
        <v>60</v>
      </c>
      <c r="E151" s="88" t="s">
        <v>182</v>
      </c>
      <c r="F151" s="10">
        <v>43343</v>
      </c>
      <c r="G151" s="88" t="s">
        <v>278</v>
      </c>
      <c r="H151" s="88" t="s">
        <v>13</v>
      </c>
      <c r="I151" s="89">
        <v>2564.991334488735</v>
      </c>
      <c r="J151" s="89">
        <v>996.95</v>
      </c>
      <c r="K151" s="90">
        <f t="shared" si="0"/>
        <v>0.61132422297297295</v>
      </c>
      <c r="L151" s="89">
        <v>310.47566724436757</v>
      </c>
      <c r="M151" s="110">
        <f t="shared" si="1"/>
        <v>0.12104355405405411</v>
      </c>
      <c r="N151" s="11">
        <v>321.35133448873512</v>
      </c>
      <c r="O151" s="11">
        <v>0</v>
      </c>
      <c r="P151" s="11"/>
      <c r="Q151" s="12"/>
    </row>
    <row r="152" spans="1:21" s="2" customFormat="1" ht="15.75" hidden="1" x14ac:dyDescent="0.25">
      <c r="B152" s="22"/>
      <c r="C152" s="88" t="s">
        <v>92</v>
      </c>
      <c r="D152" s="88" t="s">
        <v>57</v>
      </c>
      <c r="E152" s="88" t="s">
        <v>182</v>
      </c>
      <c r="F152" s="10">
        <v>43328</v>
      </c>
      <c r="G152" s="88" t="s">
        <v>279</v>
      </c>
      <c r="H152" s="88" t="s">
        <v>17</v>
      </c>
      <c r="I152" s="89">
        <v>3899.9418266433972</v>
      </c>
      <c r="J152" s="89">
        <v>1787.1</v>
      </c>
      <c r="K152" s="90">
        <f t="shared" si="0"/>
        <v>0.5417623955847255</v>
      </c>
      <c r="L152" s="89">
        <v>452.08291332169892</v>
      </c>
      <c r="M152" s="110">
        <f t="shared" si="1"/>
        <v>0.11592042482100245</v>
      </c>
      <c r="N152" s="11">
        <v>260.22182664339789</v>
      </c>
      <c r="O152" s="11">
        <v>0</v>
      </c>
      <c r="P152" s="11"/>
      <c r="Q152" s="12"/>
    </row>
    <row r="153" spans="1:21" s="2" customFormat="1" ht="15.75" x14ac:dyDescent="0.25">
      <c r="B153" s="22"/>
      <c r="C153" s="88" t="s">
        <v>417</v>
      </c>
      <c r="D153" s="88" t="s">
        <v>60</v>
      </c>
      <c r="E153" s="88" t="s">
        <v>182</v>
      </c>
      <c r="F153" s="10">
        <v>43310</v>
      </c>
      <c r="G153" s="88" t="s">
        <v>278</v>
      </c>
      <c r="H153" s="88" t="s">
        <v>27</v>
      </c>
      <c r="I153" s="89">
        <v>12557.99682264587</v>
      </c>
      <c r="J153" s="89">
        <v>5103.91</v>
      </c>
      <c r="K153" s="90">
        <f t="shared" si="0"/>
        <v>0.5935729183498355</v>
      </c>
      <c r="L153" s="89">
        <f>1089.9+150</f>
        <v>1239.9000000000001</v>
      </c>
      <c r="M153" s="110">
        <f t="shared" si="1"/>
        <v>9.8733899801924221E-2</v>
      </c>
      <c r="N153" s="11">
        <v>894.59682264586991</v>
      </c>
      <c r="O153" s="11">
        <v>150</v>
      </c>
      <c r="P153" s="11"/>
      <c r="Q153" s="12"/>
    </row>
    <row r="154" spans="1:21" s="2" customFormat="1" ht="15.75" hidden="1" x14ac:dyDescent="0.25">
      <c r="B154" s="22"/>
      <c r="C154" s="88" t="s">
        <v>56</v>
      </c>
      <c r="D154" s="88" t="s">
        <v>60</v>
      </c>
      <c r="E154" s="88" t="s">
        <v>182</v>
      </c>
      <c r="F154" s="10">
        <v>43308</v>
      </c>
      <c r="G154" s="88" t="s">
        <v>280</v>
      </c>
      <c r="H154" s="88" t="s">
        <v>14</v>
      </c>
      <c r="I154" s="89">
        <v>11587.485515643104</v>
      </c>
      <c r="J154" s="89">
        <v>6746.39</v>
      </c>
      <c r="K154" s="90">
        <f t="shared" si="0"/>
        <v>0.4177865429999999</v>
      </c>
      <c r="L154" s="89">
        <f>516.582757821552+122.96</f>
        <v>639.54275782155207</v>
      </c>
      <c r="M154" s="110">
        <f t="shared" si="1"/>
        <v>5.519253999999995E-2</v>
      </c>
      <c r="N154" s="11">
        <v>337.08551564310437</v>
      </c>
      <c r="O154" s="11">
        <v>122.96</v>
      </c>
      <c r="P154" s="11" t="s">
        <v>281</v>
      </c>
      <c r="Q154" s="12"/>
    </row>
    <row r="155" spans="1:21" s="2" customFormat="1" ht="15.75" hidden="1" x14ac:dyDescent="0.25">
      <c r="B155" s="22"/>
      <c r="C155" s="88" t="s">
        <v>264</v>
      </c>
      <c r="D155" s="88" t="s">
        <v>282</v>
      </c>
      <c r="E155" s="88" t="s">
        <v>182</v>
      </c>
      <c r="F155" s="10">
        <v>43354</v>
      </c>
      <c r="G155" s="88" t="s">
        <v>283</v>
      </c>
      <c r="H155" s="88" t="s">
        <v>24</v>
      </c>
      <c r="I155" s="89">
        <v>5073.5990756787987</v>
      </c>
      <c r="J155" s="89">
        <v>1898.34</v>
      </c>
      <c r="K155" s="90">
        <f t="shared" si="0"/>
        <v>0.62583957232647114</v>
      </c>
      <c r="L155" s="89">
        <v>808.77953783939961</v>
      </c>
      <c r="M155" s="110">
        <f t="shared" si="1"/>
        <v>0.1594094302240846</v>
      </c>
      <c r="N155" s="11">
        <v>797.29907567879945</v>
      </c>
      <c r="O155" s="11">
        <v>0</v>
      </c>
      <c r="P155" s="11"/>
      <c r="Q155" s="12"/>
    </row>
    <row r="156" spans="1:21" s="2" customFormat="1" ht="15.75" hidden="1" x14ac:dyDescent="0.25">
      <c r="B156" s="22"/>
      <c r="C156" s="88" t="s">
        <v>56</v>
      </c>
      <c r="D156" s="88" t="s">
        <v>60</v>
      </c>
      <c r="E156" s="88" t="s">
        <v>58</v>
      </c>
      <c r="F156" s="10">
        <v>43320</v>
      </c>
      <c r="G156" s="88" t="s">
        <v>284</v>
      </c>
      <c r="H156" s="88" t="s">
        <v>14</v>
      </c>
      <c r="I156" s="89">
        <v>12486.674391657009</v>
      </c>
      <c r="J156" s="89">
        <v>5430.11</v>
      </c>
      <c r="K156" s="90">
        <f t="shared" si="0"/>
        <v>0.56512760486265767</v>
      </c>
      <c r="L156" s="89">
        <v>1505.7371958285046</v>
      </c>
      <c r="M156" s="110">
        <f t="shared" si="1"/>
        <v>0.12058752783964362</v>
      </c>
      <c r="N156" s="11">
        <v>856.87439165700926</v>
      </c>
      <c r="O156" s="11">
        <v>0</v>
      </c>
      <c r="P156" s="11"/>
      <c r="Q156" s="12"/>
    </row>
    <row r="157" spans="1:21" s="2" customFormat="1" ht="15.75" hidden="1" x14ac:dyDescent="0.25">
      <c r="B157" s="22"/>
      <c r="C157" s="88" t="s">
        <v>56</v>
      </c>
      <c r="D157" s="88" t="s">
        <v>123</v>
      </c>
      <c r="E157" s="88" t="s">
        <v>76</v>
      </c>
      <c r="F157" s="10">
        <v>43369</v>
      </c>
      <c r="G157" s="88" t="s">
        <v>285</v>
      </c>
      <c r="H157" s="88" t="s">
        <v>13</v>
      </c>
      <c r="I157" s="89">
        <v>5246.8134414831975</v>
      </c>
      <c r="J157" s="89">
        <v>2228.1799999999998</v>
      </c>
      <c r="K157" s="90">
        <f t="shared" si="0"/>
        <v>0.57532700088339217</v>
      </c>
      <c r="L157" s="89">
        <v>748.66672074159851</v>
      </c>
      <c r="M157" s="110">
        <f t="shared" si="1"/>
        <v>0.14268979240282675</v>
      </c>
      <c r="N157" s="11">
        <v>621.21344148319713</v>
      </c>
      <c r="O157" s="11">
        <v>0</v>
      </c>
      <c r="P157" s="11"/>
      <c r="Q157" s="12"/>
    </row>
    <row r="158" spans="1:21" s="2" customFormat="1" ht="15.75" hidden="1" x14ac:dyDescent="0.25">
      <c r="B158" s="22"/>
      <c r="C158" s="88" t="s">
        <v>125</v>
      </c>
      <c r="D158" s="88" t="s">
        <v>60</v>
      </c>
      <c r="E158" s="88" t="s">
        <v>414</v>
      </c>
      <c r="F158" s="10">
        <v>43201</v>
      </c>
      <c r="G158" s="88" t="s">
        <v>286</v>
      </c>
      <c r="H158" s="88" t="s">
        <v>28</v>
      </c>
      <c r="I158" s="89">
        <v>33282.975014526433</v>
      </c>
      <c r="J158" s="89">
        <v>17010.310000000001</v>
      </c>
      <c r="K158" s="90">
        <f t="shared" si="0"/>
        <v>0.48891858397346355</v>
      </c>
      <c r="L158" s="89">
        <v>3114.7855072632146</v>
      </c>
      <c r="M158" s="110">
        <f t="shared" si="1"/>
        <v>9.3584948638268037E-2</v>
      </c>
      <c r="N158" s="11">
        <v>1968.0410145264286</v>
      </c>
      <c r="O158" s="11">
        <v>0</v>
      </c>
      <c r="P158" s="11" t="s">
        <v>287</v>
      </c>
      <c r="Q158" s="12"/>
    </row>
    <row r="159" spans="1:21" s="2" customFormat="1" ht="15.75" hidden="1" x14ac:dyDescent="0.25">
      <c r="B159" s="22"/>
      <c r="C159" s="88" t="s">
        <v>56</v>
      </c>
      <c r="D159" s="88" t="s">
        <v>282</v>
      </c>
      <c r="E159" s="88" t="s">
        <v>72</v>
      </c>
      <c r="F159" s="10">
        <v>43368</v>
      </c>
      <c r="G159" s="88" t="s">
        <v>288</v>
      </c>
      <c r="H159" s="88" t="s">
        <v>15</v>
      </c>
      <c r="I159" s="89">
        <v>7786.7902665121665</v>
      </c>
      <c r="J159" s="89">
        <v>3560.59</v>
      </c>
      <c r="K159" s="90">
        <f t="shared" si="0"/>
        <v>0.54273970684523809</v>
      </c>
      <c r="L159" s="89">
        <v>836.21513325608339</v>
      </c>
      <c r="M159" s="110">
        <f t="shared" si="1"/>
        <v>0.1073889375</v>
      </c>
      <c r="N159" s="11">
        <v>205.09026651216664</v>
      </c>
      <c r="O159" s="11">
        <v>0</v>
      </c>
      <c r="P159" s="11"/>
      <c r="Q159" s="12"/>
    </row>
    <row r="160" spans="1:21" s="2" customFormat="1" ht="15.75" hidden="1" x14ac:dyDescent="0.25">
      <c r="B160" s="22"/>
      <c r="C160" s="88" t="s">
        <v>56</v>
      </c>
      <c r="D160" s="88" t="s">
        <v>60</v>
      </c>
      <c r="E160" s="88" t="s">
        <v>58</v>
      </c>
      <c r="F160" s="10">
        <v>43343</v>
      </c>
      <c r="G160" s="88" t="s">
        <v>289</v>
      </c>
      <c r="H160" s="88" t="s">
        <v>14</v>
      </c>
      <c r="I160" s="89">
        <v>9266.2804171494772</v>
      </c>
      <c r="J160" s="89">
        <v>4146.82</v>
      </c>
      <c r="K160" s="90">
        <f t="shared" si="0"/>
        <v>0.55248278561424569</v>
      </c>
      <c r="L160" s="89">
        <v>1049.420208574739</v>
      </c>
      <c r="M160" s="110">
        <f t="shared" si="1"/>
        <v>0.11325150560224088</v>
      </c>
      <c r="N160" s="11">
        <v>411.98041714947794</v>
      </c>
      <c r="O160" s="11">
        <v>0</v>
      </c>
      <c r="P160" s="11"/>
      <c r="Q160" s="12"/>
    </row>
    <row r="161" spans="2:17" s="2" customFormat="1" ht="15.75" hidden="1" x14ac:dyDescent="0.25">
      <c r="B161" s="22"/>
      <c r="C161" s="88" t="s">
        <v>56</v>
      </c>
      <c r="D161" s="88" t="s">
        <v>60</v>
      </c>
      <c r="E161" s="88" t="s">
        <v>182</v>
      </c>
      <c r="F161" s="10">
        <v>43325</v>
      </c>
      <c r="G161" s="88" t="s">
        <v>259</v>
      </c>
      <c r="H161" s="88" t="s">
        <v>14</v>
      </c>
      <c r="I161" s="89">
        <v>10938.59</v>
      </c>
      <c r="J161" s="89">
        <v>5030.34</v>
      </c>
      <c r="K161" s="90">
        <f t="shared" si="0"/>
        <v>0.54012902942701024</v>
      </c>
      <c r="L161" s="89">
        <f>495.653163383546+O161</f>
        <v>750.57316338354599</v>
      </c>
      <c r="M161" s="110">
        <f t="shared" si="1"/>
        <v>6.8616993907217108E-2</v>
      </c>
      <c r="N161" s="11">
        <v>-1390.5136732329083</v>
      </c>
      <c r="O161" s="11">
        <v>254.92</v>
      </c>
      <c r="P161" s="11" t="s">
        <v>290</v>
      </c>
      <c r="Q161" s="12"/>
    </row>
    <row r="162" spans="2:17" s="2" customFormat="1" ht="15.75" hidden="1" x14ac:dyDescent="0.25">
      <c r="B162" s="22"/>
      <c r="C162" s="88" t="s">
        <v>56</v>
      </c>
      <c r="D162" s="88" t="s">
        <v>60</v>
      </c>
      <c r="E162" s="88" t="s">
        <v>58</v>
      </c>
      <c r="F162" s="10">
        <v>43342</v>
      </c>
      <c r="G162" s="88" t="s">
        <v>291</v>
      </c>
      <c r="H162" s="88" t="s">
        <v>14</v>
      </c>
      <c r="I162" s="89">
        <v>17427.578215527228</v>
      </c>
      <c r="J162" s="89">
        <v>6621.27</v>
      </c>
      <c r="K162" s="90">
        <f t="shared" si="0"/>
        <v>0.6200694142287233</v>
      </c>
      <c r="L162" s="89">
        <v>2429.6091077636147</v>
      </c>
      <c r="M162" s="110">
        <f t="shared" si="1"/>
        <v>0.13941174601063827</v>
      </c>
      <c r="N162" s="11">
        <v>2224.9782155272296</v>
      </c>
      <c r="O162" s="11">
        <v>0</v>
      </c>
      <c r="P162" s="11"/>
      <c r="Q162" s="12"/>
    </row>
    <row r="163" spans="2:17" s="2" customFormat="1" ht="15.75" hidden="1" x14ac:dyDescent="0.25">
      <c r="B163" s="22"/>
      <c r="C163" s="88" t="s">
        <v>56</v>
      </c>
      <c r="D163" s="88" t="s">
        <v>60</v>
      </c>
      <c r="E163" s="88" t="s">
        <v>414</v>
      </c>
      <c r="F163" s="10">
        <v>43227</v>
      </c>
      <c r="G163" s="88" t="s">
        <v>292</v>
      </c>
      <c r="H163" s="88" t="s">
        <v>28</v>
      </c>
      <c r="I163" s="89">
        <v>55348.837209302328</v>
      </c>
      <c r="J163" s="89">
        <v>23444.19</v>
      </c>
      <c r="K163" s="90">
        <f t="shared" si="0"/>
        <v>0.57642850000000001</v>
      </c>
      <c r="L163" s="89">
        <v>6313.9746046511609</v>
      </c>
      <c r="M163" s="110">
        <f t="shared" si="1"/>
        <v>0.11407601176470585</v>
      </c>
      <c r="N163" s="11">
        <v>5171.2272093023203</v>
      </c>
      <c r="O163" s="11">
        <v>0</v>
      </c>
      <c r="P163" s="11"/>
      <c r="Q163" s="12"/>
    </row>
    <row r="164" spans="2:17" s="2" customFormat="1" ht="15.75" hidden="1" x14ac:dyDescent="0.25">
      <c r="B164" s="22"/>
      <c r="C164" s="88" t="s">
        <v>201</v>
      </c>
      <c r="D164" s="88" t="s">
        <v>282</v>
      </c>
      <c r="E164" s="88" t="s">
        <v>76</v>
      </c>
      <c r="F164" s="10">
        <v>43383</v>
      </c>
      <c r="G164" s="88" t="s">
        <v>293</v>
      </c>
      <c r="H164" s="88" t="s">
        <v>54</v>
      </c>
      <c r="I164" s="89">
        <v>2818.2553437319471</v>
      </c>
      <c r="J164" s="89">
        <v>1286.55</v>
      </c>
      <c r="K164" s="90">
        <f t="shared" si="0"/>
        <v>0.54349416816989182</v>
      </c>
      <c r="L164" s="89">
        <v>432.90767186597361</v>
      </c>
      <c r="M164" s="110">
        <f t="shared" si="1"/>
        <v>0.15360839209576915</v>
      </c>
      <c r="N164" s="11">
        <v>438.95534373194732</v>
      </c>
      <c r="O164" s="11">
        <v>0</v>
      </c>
      <c r="P164" s="11"/>
      <c r="Q164" s="12"/>
    </row>
    <row r="165" spans="2:17" s="2" customFormat="1" ht="15.75" hidden="1" x14ac:dyDescent="0.25">
      <c r="B165" s="22"/>
      <c r="C165" s="88" t="s">
        <v>92</v>
      </c>
      <c r="D165" s="88" t="s">
        <v>60</v>
      </c>
      <c r="E165" s="88" t="s">
        <v>414</v>
      </c>
      <c r="F165" s="10">
        <v>43281</v>
      </c>
      <c r="G165" s="88" t="s">
        <v>251</v>
      </c>
      <c r="H165" s="88" t="s">
        <v>14</v>
      </c>
      <c r="I165" s="89">
        <v>9903.4322280395572</v>
      </c>
      <c r="J165" s="89">
        <v>3279.27</v>
      </c>
      <c r="K165" s="90">
        <f t="shared" si="0"/>
        <v>0.66887540354793229</v>
      </c>
      <c r="L165" s="89">
        <v>1480.8361140197783</v>
      </c>
      <c r="M165" s="110">
        <f t="shared" si="1"/>
        <v>0.14952756578947363</v>
      </c>
      <c r="N165" s="11">
        <v>1433.6072280395565</v>
      </c>
      <c r="O165" s="11">
        <v>0</v>
      </c>
      <c r="P165" s="11"/>
      <c r="Q165" s="12"/>
    </row>
    <row r="166" spans="2:17" s="2" customFormat="1" ht="15.75" hidden="1" x14ac:dyDescent="0.25">
      <c r="B166" s="22"/>
      <c r="C166" s="88" t="s">
        <v>92</v>
      </c>
      <c r="D166" s="88" t="s">
        <v>57</v>
      </c>
      <c r="E166" s="88" t="s">
        <v>76</v>
      </c>
      <c r="F166" s="10">
        <v>43356</v>
      </c>
      <c r="G166" s="88" t="s">
        <v>294</v>
      </c>
      <c r="H166" s="88" t="s">
        <v>18</v>
      </c>
      <c r="I166" s="89">
        <v>4777.6614310645718</v>
      </c>
      <c r="J166" s="89">
        <v>2352.5500000000002</v>
      </c>
      <c r="K166" s="90">
        <f t="shared" si="0"/>
        <v>0.50759382305669187</v>
      </c>
      <c r="L166" s="89">
        <v>575.4107155322863</v>
      </c>
      <c r="M166" s="110">
        <f t="shared" si="1"/>
        <v>0.12043773378141441</v>
      </c>
      <c r="N166" s="11">
        <v>305.36143106457257</v>
      </c>
      <c r="O166" s="11">
        <v>0</v>
      </c>
      <c r="P166" s="11"/>
      <c r="Q166" s="12"/>
    </row>
    <row r="167" spans="2:17" s="2" customFormat="1" ht="15.75" hidden="1" x14ac:dyDescent="0.25">
      <c r="B167" s="22"/>
      <c r="C167" s="88" t="s">
        <v>56</v>
      </c>
      <c r="D167" s="88" t="s">
        <v>60</v>
      </c>
      <c r="E167" s="88" t="s">
        <v>172</v>
      </c>
      <c r="F167" s="10">
        <v>43277</v>
      </c>
      <c r="G167" s="88" t="s">
        <v>295</v>
      </c>
      <c r="H167" s="88" t="s">
        <v>14</v>
      </c>
      <c r="I167" s="89">
        <v>6465.1162790697681</v>
      </c>
      <c r="J167" s="89">
        <v>3182.23</v>
      </c>
      <c r="K167" s="90">
        <f t="shared" si="0"/>
        <v>0.50778456834532382</v>
      </c>
      <c r="L167" s="89">
        <f>698.698139534884+O167</f>
        <v>838.238139534884</v>
      </c>
      <c r="M167" s="110">
        <f t="shared" si="1"/>
        <v>0.12965553956834536</v>
      </c>
      <c r="N167" s="11">
        <v>235.46627906976846</v>
      </c>
      <c r="O167" s="11">
        <v>139.54</v>
      </c>
      <c r="P167" s="11" t="s">
        <v>296</v>
      </c>
      <c r="Q167" s="12"/>
    </row>
    <row r="168" spans="2:17" s="2" customFormat="1" ht="15.75" hidden="1" x14ac:dyDescent="0.25">
      <c r="B168" s="22"/>
      <c r="C168" s="88" t="s">
        <v>56</v>
      </c>
      <c r="D168" s="88" t="s">
        <v>123</v>
      </c>
      <c r="E168" s="88" t="s">
        <v>72</v>
      </c>
      <c r="F168" s="10">
        <v>43300</v>
      </c>
      <c r="G168" s="88" t="s">
        <v>297</v>
      </c>
      <c r="H168" s="88" t="s">
        <v>15</v>
      </c>
      <c r="I168" s="89">
        <v>10044.959443800695</v>
      </c>
      <c r="J168" s="89">
        <f>6595.26+528.59+28.94</f>
        <v>7152.79</v>
      </c>
      <c r="K168" s="90">
        <f t="shared" si="0"/>
        <v>0.28792246100959762</v>
      </c>
      <c r="L168" s="89">
        <f>735.61+O168</f>
        <v>779.55</v>
      </c>
      <c r="M168" s="110">
        <f t="shared" si="1"/>
        <v>7.760608734772978E-2</v>
      </c>
      <c r="N168" s="11">
        <v>-72</v>
      </c>
      <c r="O168" s="11">
        <v>43.94</v>
      </c>
      <c r="P168" s="11" t="s">
        <v>298</v>
      </c>
      <c r="Q168" s="12"/>
    </row>
    <row r="169" spans="2:17" s="2" customFormat="1" ht="15.75" hidden="1" x14ac:dyDescent="0.25">
      <c r="B169" s="22"/>
      <c r="C169" s="88" t="s">
        <v>56</v>
      </c>
      <c r="D169" s="88" t="s">
        <v>75</v>
      </c>
      <c r="E169" s="88" t="s">
        <v>413</v>
      </c>
      <c r="F169" s="10">
        <v>43371</v>
      </c>
      <c r="G169" s="88" t="s">
        <v>300</v>
      </c>
      <c r="H169" s="88" t="s">
        <v>13</v>
      </c>
      <c r="I169" s="89">
        <v>14591.981460023173</v>
      </c>
      <c r="J169" s="89">
        <f>6769.98+100</f>
        <v>6869.98</v>
      </c>
      <c r="K169" s="90">
        <f t="shared" si="0"/>
        <v>0.52919485137633326</v>
      </c>
      <c r="L169" s="89">
        <v>1090.210730011587</v>
      </c>
      <c r="M169" s="110">
        <f t="shared" si="1"/>
        <v>7.4713001315028782E-2</v>
      </c>
      <c r="N169" s="11">
        <v>-861.21853997682592</v>
      </c>
      <c r="O169" s="11">
        <v>0</v>
      </c>
      <c r="P169" s="11"/>
      <c r="Q169" s="12"/>
    </row>
    <row r="170" spans="2:17" s="2" customFormat="1" ht="15.75" hidden="1" x14ac:dyDescent="0.25">
      <c r="B170" s="22"/>
      <c r="C170" s="88" t="s">
        <v>162</v>
      </c>
      <c r="D170" s="88" t="s">
        <v>75</v>
      </c>
      <c r="E170" s="88" t="s">
        <v>76</v>
      </c>
      <c r="F170" s="10">
        <v>43361</v>
      </c>
      <c r="G170" s="88" t="s">
        <v>301</v>
      </c>
      <c r="H170" s="88" t="s">
        <v>13</v>
      </c>
      <c r="I170" s="89">
        <v>14727.755337564919</v>
      </c>
      <c r="J170" s="89">
        <f>8090.11+95.37+50</f>
        <v>8235.48</v>
      </c>
      <c r="K170" s="90">
        <f t="shared" si="0"/>
        <v>0.44081906500752266</v>
      </c>
      <c r="L170" s="89">
        <v>1073.31</v>
      </c>
      <c r="M170" s="110">
        <f t="shared" si="1"/>
        <v>7.2876685917126358E-2</v>
      </c>
      <c r="N170" s="11">
        <v>902.4</v>
      </c>
      <c r="O170" s="11">
        <v>0</v>
      </c>
      <c r="P170" s="11" t="s">
        <v>302</v>
      </c>
      <c r="Q170" s="12"/>
    </row>
    <row r="171" spans="2:17" s="2" customFormat="1" ht="15.75" hidden="1" x14ac:dyDescent="0.25">
      <c r="B171" s="22"/>
      <c r="C171" s="88" t="s">
        <v>92</v>
      </c>
      <c r="D171" s="88" t="s">
        <v>75</v>
      </c>
      <c r="E171" s="88" t="s">
        <v>413</v>
      </c>
      <c r="F171" s="10">
        <v>43392</v>
      </c>
      <c r="G171" s="88" t="s">
        <v>303</v>
      </c>
      <c r="H171" s="88" t="s">
        <v>13</v>
      </c>
      <c r="I171" s="89">
        <v>5491.57</v>
      </c>
      <c r="J171" s="89">
        <f>2929.39+56.76</f>
        <v>2986.15</v>
      </c>
      <c r="K171" s="90">
        <f t="shared" si="0"/>
        <v>0.45623018553892597</v>
      </c>
      <c r="L171" s="89">
        <v>461.13</v>
      </c>
      <c r="M171" s="110">
        <f t="shared" si="1"/>
        <v>8.3970522091132413E-2</v>
      </c>
      <c r="N171" s="11">
        <v>-43.33</v>
      </c>
      <c r="O171" s="11">
        <v>0</v>
      </c>
      <c r="P171" s="11" t="s">
        <v>304</v>
      </c>
      <c r="Q171" s="12"/>
    </row>
    <row r="172" spans="2:17" s="2" customFormat="1" ht="15.75" hidden="1" x14ac:dyDescent="0.25">
      <c r="B172" s="22"/>
      <c r="C172" s="88" t="s">
        <v>56</v>
      </c>
      <c r="D172" s="88" t="s">
        <v>282</v>
      </c>
      <c r="E172" s="88" t="s">
        <v>187</v>
      </c>
      <c r="F172" s="10">
        <v>43318</v>
      </c>
      <c r="G172" s="88" t="s">
        <v>305</v>
      </c>
      <c r="H172" s="88" t="s">
        <v>18</v>
      </c>
      <c r="I172" s="89">
        <v>14676.24565469293</v>
      </c>
      <c r="J172" s="89">
        <f>6704.86+5.5+150</f>
        <v>6860.36</v>
      </c>
      <c r="K172" s="90">
        <f t="shared" si="0"/>
        <v>0.53255347713491663</v>
      </c>
      <c r="L172" s="89">
        <v>1721.7428273464645</v>
      </c>
      <c r="M172" s="110">
        <f t="shared" si="1"/>
        <v>0.11731493652097011</v>
      </c>
      <c r="N172" s="11">
        <v>696.54565469292902</v>
      </c>
      <c r="O172" s="11">
        <v>0</v>
      </c>
      <c r="P172" s="11"/>
      <c r="Q172" s="12"/>
    </row>
    <row r="173" spans="2:17" s="2" customFormat="1" ht="15.75" hidden="1" x14ac:dyDescent="0.25">
      <c r="B173" s="22"/>
      <c r="C173" s="88" t="s">
        <v>100</v>
      </c>
      <c r="D173" s="88" t="s">
        <v>60</v>
      </c>
      <c r="E173" s="88" t="s">
        <v>413</v>
      </c>
      <c r="F173" s="10">
        <v>43344</v>
      </c>
      <c r="G173" s="88" t="s">
        <v>306</v>
      </c>
      <c r="H173" s="88" t="s">
        <v>13</v>
      </c>
      <c r="I173" s="89">
        <v>3564.26</v>
      </c>
      <c r="J173" s="89">
        <f>1427.44</f>
        <v>1427.44</v>
      </c>
      <c r="K173" s="90">
        <f t="shared" si="0"/>
        <v>0.59951294237794106</v>
      </c>
      <c r="L173" s="89">
        <v>851.20000000000016</v>
      </c>
      <c r="M173" s="110">
        <f t="shared" si="1"/>
        <v>0.238815350170863</v>
      </c>
      <c r="N173" s="11">
        <v>1336.1600000000003</v>
      </c>
      <c r="O173" s="11">
        <v>0</v>
      </c>
      <c r="P173" s="11" t="s">
        <v>307</v>
      </c>
      <c r="Q173" s="12"/>
    </row>
    <row r="174" spans="2:17" s="2" customFormat="1" ht="15.75" hidden="1" x14ac:dyDescent="0.25">
      <c r="B174" s="22"/>
      <c r="C174" s="88" t="s">
        <v>56</v>
      </c>
      <c r="D174" s="88" t="s">
        <v>60</v>
      </c>
      <c r="E174" s="88" t="s">
        <v>172</v>
      </c>
      <c r="F174" s="10">
        <v>43384</v>
      </c>
      <c r="G174" s="88" t="s">
        <v>308</v>
      </c>
      <c r="H174" s="88" t="s">
        <v>17</v>
      </c>
      <c r="I174" s="89">
        <v>5707.5318655851679</v>
      </c>
      <c r="J174" s="89">
        <v>2298.91</v>
      </c>
      <c r="K174" s="90">
        <f t="shared" si="0"/>
        <v>0.59721468856586002</v>
      </c>
      <c r="L174" s="89">
        <v>638.48993279258434</v>
      </c>
      <c r="M174" s="110">
        <f t="shared" si="1"/>
        <v>0.11186795760922533</v>
      </c>
      <c r="N174" s="11">
        <v>322.81686558516867</v>
      </c>
      <c r="O174" s="11">
        <v>0</v>
      </c>
      <c r="P174" s="11"/>
      <c r="Q174" s="12"/>
    </row>
    <row r="175" spans="2:17" s="2" customFormat="1" ht="15.75" hidden="1" x14ac:dyDescent="0.25">
      <c r="B175" s="22"/>
      <c r="C175" s="88" t="s">
        <v>162</v>
      </c>
      <c r="D175" s="88" t="s">
        <v>75</v>
      </c>
      <c r="E175" s="88" t="s">
        <v>414</v>
      </c>
      <c r="F175" s="10">
        <v>43243</v>
      </c>
      <c r="G175" s="88" t="s">
        <v>309</v>
      </c>
      <c r="H175" s="88" t="s">
        <v>14</v>
      </c>
      <c r="I175" s="89">
        <f>35531.45</f>
        <v>35531.449999999997</v>
      </c>
      <c r="J175" s="89">
        <f>17310.3+8.44+300</f>
        <v>17618.739999999998</v>
      </c>
      <c r="K175" s="90">
        <f t="shared" si="0"/>
        <v>0.50413675771745881</v>
      </c>
      <c r="L175" s="89">
        <v>5786.9041777264865</v>
      </c>
      <c r="M175" s="110">
        <f t="shared" si="1"/>
        <v>0.16286709880194833</v>
      </c>
      <c r="N175" s="11">
        <v>6377.1483554529732</v>
      </c>
      <c r="O175" s="11">
        <v>0</v>
      </c>
      <c r="P175" s="11"/>
      <c r="Q175" s="12"/>
    </row>
    <row r="176" spans="2:17" s="2" customFormat="1" ht="15.75" hidden="1" x14ac:dyDescent="0.25">
      <c r="B176" s="22"/>
      <c r="C176" s="88" t="s">
        <v>56</v>
      </c>
      <c r="D176" s="88" t="s">
        <v>60</v>
      </c>
      <c r="E176" s="88" t="s">
        <v>172</v>
      </c>
      <c r="F176" s="10">
        <v>43358</v>
      </c>
      <c r="G176" s="88" t="s">
        <v>310</v>
      </c>
      <c r="H176" s="88" t="s">
        <v>17</v>
      </c>
      <c r="I176" s="89">
        <v>7045.19</v>
      </c>
      <c r="J176" s="89">
        <v>4094.52</v>
      </c>
      <c r="K176" s="90">
        <f t="shared" si="0"/>
        <v>0.41882050022781497</v>
      </c>
      <c r="L176" s="89">
        <v>311.91000000000003</v>
      </c>
      <c r="M176" s="110">
        <f t="shared" si="1"/>
        <v>4.4272759144891767E-2</v>
      </c>
      <c r="N176" s="11">
        <v>615.89</v>
      </c>
      <c r="O176" s="11">
        <v>0</v>
      </c>
      <c r="P176" s="11" t="s">
        <v>311</v>
      </c>
      <c r="Q176" s="12"/>
    </row>
    <row r="177" spans="2:17" s="2" customFormat="1" ht="15.75" hidden="1" x14ac:dyDescent="0.25">
      <c r="B177" s="22"/>
      <c r="C177" s="88" t="s">
        <v>56</v>
      </c>
      <c r="D177" s="88" t="s">
        <v>75</v>
      </c>
      <c r="E177" s="88" t="s">
        <v>413</v>
      </c>
      <c r="F177" s="10">
        <v>43416</v>
      </c>
      <c r="G177" s="88" t="s">
        <v>312</v>
      </c>
      <c r="H177" s="88" t="s">
        <v>54</v>
      </c>
      <c r="I177" s="89">
        <v>2947.8563151796056</v>
      </c>
      <c r="J177" s="89">
        <v>1103.52</v>
      </c>
      <c r="K177" s="90">
        <f t="shared" si="0"/>
        <v>0.62565339622641503</v>
      </c>
      <c r="L177" s="89">
        <v>414.26815758980297</v>
      </c>
      <c r="M177" s="110">
        <f t="shared" si="1"/>
        <v>0.14053200471698113</v>
      </c>
      <c r="N177" s="11">
        <v>359.95631517960601</v>
      </c>
      <c r="O177" s="11">
        <v>0</v>
      </c>
      <c r="P177" s="11"/>
      <c r="Q177" s="12"/>
    </row>
    <row r="178" spans="2:17" s="2" customFormat="1" ht="15.75" hidden="1" x14ac:dyDescent="0.25">
      <c r="B178" s="22"/>
      <c r="C178" s="88" t="s">
        <v>100</v>
      </c>
      <c r="D178" s="88" t="s">
        <v>123</v>
      </c>
      <c r="E178" s="88" t="s">
        <v>72</v>
      </c>
      <c r="F178" s="10">
        <v>43364</v>
      </c>
      <c r="G178" s="88" t="s">
        <v>313</v>
      </c>
      <c r="H178" s="88" t="s">
        <v>15</v>
      </c>
      <c r="I178" s="89">
        <f>14305.73</f>
        <v>14305.73</v>
      </c>
      <c r="J178" s="89">
        <f>8323.78+65</f>
        <v>8388.7800000000007</v>
      </c>
      <c r="K178" s="90">
        <f t="shared" si="0"/>
        <v>0.4136069952389706</v>
      </c>
      <c r="L178" s="89">
        <v>498.12</v>
      </c>
      <c r="M178" s="110">
        <f t="shared" si="1"/>
        <v>3.4819614238490455E-2</v>
      </c>
      <c r="N178" s="11">
        <v>2821.87</v>
      </c>
      <c r="O178" s="11">
        <v>0</v>
      </c>
      <c r="P178" s="11" t="s">
        <v>314</v>
      </c>
      <c r="Q178" s="12"/>
    </row>
    <row r="179" spans="2:17" s="2" customFormat="1" ht="15.75" hidden="1" x14ac:dyDescent="0.25">
      <c r="B179" s="22"/>
      <c r="C179" s="88" t="s">
        <v>56</v>
      </c>
      <c r="D179" s="88" t="s">
        <v>57</v>
      </c>
      <c r="E179" s="88" t="s">
        <v>414</v>
      </c>
      <c r="F179" s="10">
        <v>43441</v>
      </c>
      <c r="G179" s="88" t="s">
        <v>315</v>
      </c>
      <c r="H179" s="88" t="s">
        <v>24</v>
      </c>
      <c r="I179" s="89">
        <v>5362.6882966396288</v>
      </c>
      <c r="J179" s="89">
        <v>2177.4499999999998</v>
      </c>
      <c r="K179" s="90">
        <f t="shared" si="0"/>
        <v>0.59396297536732934</v>
      </c>
      <c r="L179" s="89">
        <v>619.84414831981439</v>
      </c>
      <c r="M179" s="110">
        <f t="shared" si="1"/>
        <v>0.11558459377700948</v>
      </c>
      <c r="N179" s="11">
        <v>357.68829663962879</v>
      </c>
      <c r="O179" s="11">
        <v>0</v>
      </c>
      <c r="P179" s="11"/>
      <c r="Q179" s="12"/>
    </row>
    <row r="180" spans="2:17" s="2" customFormat="1" ht="15.75" hidden="1" x14ac:dyDescent="0.25">
      <c r="B180" s="22"/>
      <c r="C180" s="88" t="s">
        <v>162</v>
      </c>
      <c r="D180" s="88" t="s">
        <v>282</v>
      </c>
      <c r="E180" s="88" t="s">
        <v>58</v>
      </c>
      <c r="F180" s="10">
        <v>43360</v>
      </c>
      <c r="G180" s="88" t="s">
        <v>316</v>
      </c>
      <c r="H180" s="88" t="s">
        <v>14</v>
      </c>
      <c r="I180" s="89">
        <v>10222.273514137336</v>
      </c>
      <c r="J180" s="89">
        <v>4763.22</v>
      </c>
      <c r="K180" s="90">
        <f t="shared" si="0"/>
        <v>0.53403516415281793</v>
      </c>
      <c r="L180" s="89">
        <v>1292.076757068668</v>
      </c>
      <c r="M180" s="110">
        <f t="shared" si="1"/>
        <v>0.12639817896495673</v>
      </c>
      <c r="N180" s="11">
        <v>931.87351413733631</v>
      </c>
      <c r="O180" s="11">
        <v>0</v>
      </c>
      <c r="P180" s="11"/>
      <c r="Q180" s="12"/>
    </row>
    <row r="181" spans="2:17" s="2" customFormat="1" ht="15.75" hidden="1" x14ac:dyDescent="0.25">
      <c r="B181" s="22"/>
      <c r="C181" s="88" t="s">
        <v>56</v>
      </c>
      <c r="D181" s="88" t="s">
        <v>123</v>
      </c>
      <c r="E181" s="88" t="s">
        <v>317</v>
      </c>
      <c r="F181" s="10">
        <v>43378</v>
      </c>
      <c r="G181" s="88" t="s">
        <v>318</v>
      </c>
      <c r="H181" s="88" t="s">
        <v>16</v>
      </c>
      <c r="I181" s="89">
        <v>34604.595307068361</v>
      </c>
      <c r="J181" s="89">
        <v>20445.560000000001</v>
      </c>
      <c r="K181" s="90">
        <f t="shared" si="0"/>
        <v>0.40916633127555241</v>
      </c>
      <c r="L181" s="89">
        <v>4378.29565353418</v>
      </c>
      <c r="M181" s="110">
        <f t="shared" si="1"/>
        <v>0.12652353292049237</v>
      </c>
      <c r="N181" s="11">
        <v>4185.59130706836</v>
      </c>
      <c r="O181" s="11">
        <v>0</v>
      </c>
      <c r="P181" s="11" t="s">
        <v>319</v>
      </c>
      <c r="Q181" s="12"/>
    </row>
    <row r="182" spans="2:17" s="2" customFormat="1" ht="15.75" hidden="1" x14ac:dyDescent="0.25">
      <c r="B182" s="22"/>
      <c r="C182" s="88" t="s">
        <v>92</v>
      </c>
      <c r="D182" s="88" t="s">
        <v>60</v>
      </c>
      <c r="E182" s="88" t="s">
        <v>58</v>
      </c>
      <c r="F182" s="10">
        <v>43271</v>
      </c>
      <c r="G182" s="88" t="s">
        <v>320</v>
      </c>
      <c r="H182" s="88" t="s">
        <v>14</v>
      </c>
      <c r="I182" s="89">
        <v>15823.152995927863</v>
      </c>
      <c r="J182" s="89">
        <v>8157.34</v>
      </c>
      <c r="K182" s="90">
        <f t="shared" ref="K182:K241" si="2">(I182-J182)/I182</f>
        <v>0.48446810808823521</v>
      </c>
      <c r="L182" s="89">
        <v>1403.6624979639319</v>
      </c>
      <c r="M182" s="110">
        <f t="shared" ref="M182:M232" si="3">L182/I182</f>
        <v>8.8709405661764676E-2</v>
      </c>
      <c r="N182" s="11">
        <v>1064.4929959278634</v>
      </c>
      <c r="O182" s="11">
        <v>0</v>
      </c>
      <c r="P182" s="11"/>
      <c r="Q182" s="12"/>
    </row>
    <row r="183" spans="2:17" s="2" customFormat="1" ht="15.75" hidden="1" x14ac:dyDescent="0.25">
      <c r="B183" s="22"/>
      <c r="C183" s="88" t="s">
        <v>56</v>
      </c>
      <c r="D183" s="88" t="s">
        <v>68</v>
      </c>
      <c r="E183" s="88" t="s">
        <v>72</v>
      </c>
      <c r="F183" s="10">
        <v>43304</v>
      </c>
      <c r="G183" s="88" t="s">
        <v>321</v>
      </c>
      <c r="H183" s="88" t="s">
        <v>16</v>
      </c>
      <c r="I183" s="89">
        <v>34780.31</v>
      </c>
      <c r="J183" s="89">
        <v>23074.39</v>
      </c>
      <c r="K183" s="90">
        <f t="shared" si="2"/>
        <v>0.3365674429008827</v>
      </c>
      <c r="L183" s="89">
        <f>927.388272305911+O183</f>
        <v>1582.828272305911</v>
      </c>
      <c r="M183" s="110">
        <f t="shared" si="3"/>
        <v>4.5509320426008595E-2</v>
      </c>
      <c r="N183" s="11">
        <v>-2338.5034553881778</v>
      </c>
      <c r="O183" s="11">
        <v>655.44</v>
      </c>
      <c r="P183" s="11"/>
      <c r="Q183" s="12"/>
    </row>
    <row r="184" spans="2:17" s="2" customFormat="1" ht="15.75" hidden="1" x14ac:dyDescent="0.25">
      <c r="B184" s="22"/>
      <c r="C184" s="88" t="s">
        <v>92</v>
      </c>
      <c r="D184" s="88" t="s">
        <v>60</v>
      </c>
      <c r="E184" s="88" t="s">
        <v>58</v>
      </c>
      <c r="F184" s="10">
        <v>43367</v>
      </c>
      <c r="G184" s="88" t="s">
        <v>322</v>
      </c>
      <c r="H184" s="88" t="s">
        <v>14</v>
      </c>
      <c r="I184" s="89">
        <v>6980.8027923211166</v>
      </c>
      <c r="J184" s="89">
        <v>3706.93</v>
      </c>
      <c r="K184" s="90">
        <f t="shared" si="2"/>
        <v>0.46898227749999999</v>
      </c>
      <c r="L184" s="89">
        <v>488.10139616055812</v>
      </c>
      <c r="M184" s="110">
        <f t="shared" si="3"/>
        <v>6.9920524999999956E-2</v>
      </c>
      <c r="N184" s="11">
        <v>-178.79720767888375</v>
      </c>
      <c r="O184" s="11">
        <v>0</v>
      </c>
      <c r="P184" s="11" t="s">
        <v>323</v>
      </c>
      <c r="Q184" s="12"/>
    </row>
    <row r="185" spans="2:17" s="2" customFormat="1" ht="15.75" hidden="1" x14ac:dyDescent="0.25">
      <c r="B185" s="22"/>
      <c r="C185" s="88" t="s">
        <v>56</v>
      </c>
      <c r="D185" s="88" t="s">
        <v>60</v>
      </c>
      <c r="E185" s="88" t="s">
        <v>413</v>
      </c>
      <c r="F185" s="10">
        <v>43434</v>
      </c>
      <c r="G185" s="88" t="s">
        <v>324</v>
      </c>
      <c r="H185" s="88" t="s">
        <v>13</v>
      </c>
      <c r="I185" s="89">
        <v>4820.3939745075313</v>
      </c>
      <c r="J185" s="89">
        <v>1911.96</v>
      </c>
      <c r="K185" s="90">
        <f t="shared" si="2"/>
        <v>0.60336022115384613</v>
      </c>
      <c r="L185" s="89">
        <v>602.37698725376606</v>
      </c>
      <c r="M185" s="110">
        <f t="shared" si="3"/>
        <v>0.12496426442307697</v>
      </c>
      <c r="N185" s="11">
        <v>362.09397450753204</v>
      </c>
      <c r="O185" s="11">
        <v>0</v>
      </c>
      <c r="P185" s="11"/>
      <c r="Q185" s="12"/>
    </row>
    <row r="186" spans="2:17" s="2" customFormat="1" ht="15.75" hidden="1" x14ac:dyDescent="0.25">
      <c r="B186" s="22"/>
      <c r="C186" s="88" t="s">
        <v>56</v>
      </c>
      <c r="D186" s="88" t="s">
        <v>60</v>
      </c>
      <c r="E186" s="88" t="s">
        <v>58</v>
      </c>
      <c r="F186" s="10">
        <v>43381</v>
      </c>
      <c r="G186" s="88" t="s">
        <v>135</v>
      </c>
      <c r="H186" s="88" t="s">
        <v>14</v>
      </c>
      <c r="I186" s="89">
        <v>21181.923522595596</v>
      </c>
      <c r="J186" s="89">
        <v>10570.07</v>
      </c>
      <c r="K186" s="90">
        <f t="shared" si="2"/>
        <v>0.50098630142231948</v>
      </c>
      <c r="L186" s="89">
        <f>1414.8017612978+150</f>
        <v>1564.8017612978001</v>
      </c>
      <c r="M186" s="110">
        <f t="shared" si="3"/>
        <v>7.387439387308542E-2</v>
      </c>
      <c r="N186" s="11">
        <v>-1310.4764774044052</v>
      </c>
      <c r="O186" s="11">
        <v>150</v>
      </c>
      <c r="P186" s="11"/>
      <c r="Q186" s="12"/>
    </row>
    <row r="187" spans="2:17" s="2" customFormat="1" ht="15.75" hidden="1" x14ac:dyDescent="0.25">
      <c r="B187" s="22"/>
      <c r="C187" s="88" t="s">
        <v>56</v>
      </c>
      <c r="D187" s="88" t="s">
        <v>57</v>
      </c>
      <c r="E187" s="88" t="s">
        <v>58</v>
      </c>
      <c r="F187" s="10">
        <v>43367</v>
      </c>
      <c r="G187" s="88" t="s">
        <v>325</v>
      </c>
      <c r="H187" s="88" t="s">
        <v>14</v>
      </c>
      <c r="I187" s="89">
        <v>8342.99</v>
      </c>
      <c r="J187" s="89">
        <f>3954.23</f>
        <v>3954.23</v>
      </c>
      <c r="K187" s="90">
        <f t="shared" si="2"/>
        <v>0.5260416229673055</v>
      </c>
      <c r="L187" s="89">
        <v>1258.7947856315182</v>
      </c>
      <c r="M187" s="110">
        <f t="shared" si="3"/>
        <v>0.1508805339130837</v>
      </c>
      <c r="N187" s="11">
        <v>1297.4895712630359</v>
      </c>
      <c r="O187" s="11">
        <v>0</v>
      </c>
      <c r="P187" s="11" t="s">
        <v>326</v>
      </c>
      <c r="Q187" s="12"/>
    </row>
    <row r="188" spans="2:17" s="2" customFormat="1" ht="15.75" hidden="1" x14ac:dyDescent="0.25">
      <c r="B188" s="22"/>
      <c r="C188" s="88" t="s">
        <v>56</v>
      </c>
      <c r="D188" s="88" t="s">
        <v>57</v>
      </c>
      <c r="E188" s="88" t="s">
        <v>76</v>
      </c>
      <c r="F188" s="10">
        <v>43398</v>
      </c>
      <c r="G188" s="88" t="s">
        <v>327</v>
      </c>
      <c r="H188" s="88" t="s">
        <v>18</v>
      </c>
      <c r="I188" s="89">
        <v>20582.155272305907</v>
      </c>
      <c r="J188" s="89">
        <v>7557.49</v>
      </c>
      <c r="K188" s="90">
        <f t="shared" si="2"/>
        <v>0.6328134784713777</v>
      </c>
      <c r="L188" s="89">
        <v>3387.5376361529543</v>
      </c>
      <c r="M188" s="110">
        <f t="shared" si="3"/>
        <v>0.16458614714227807</v>
      </c>
      <c r="N188" s="11">
        <v>3384.5552723059081</v>
      </c>
      <c r="O188" s="11">
        <v>0</v>
      </c>
      <c r="P188" s="11"/>
      <c r="Q188" s="12"/>
    </row>
    <row r="189" spans="2:17" s="2" customFormat="1" ht="15.75" hidden="1" x14ac:dyDescent="0.25">
      <c r="B189" s="22"/>
      <c r="C189" s="88" t="s">
        <v>56</v>
      </c>
      <c r="D189" s="88" t="s">
        <v>60</v>
      </c>
      <c r="E189" s="88" t="s">
        <v>414</v>
      </c>
      <c r="F189" s="10">
        <v>43306</v>
      </c>
      <c r="G189" s="88" t="s">
        <v>328</v>
      </c>
      <c r="H189" s="88" t="s">
        <v>17</v>
      </c>
      <c r="I189" s="89">
        <v>16037.079953650056</v>
      </c>
      <c r="J189" s="89">
        <f>8107.91</f>
        <v>8107.91</v>
      </c>
      <c r="K189" s="90">
        <f t="shared" si="2"/>
        <v>0.49442728829479765</v>
      </c>
      <c r="L189" s="89">
        <v>1649.4919768250277</v>
      </c>
      <c r="M189" s="110">
        <f t="shared" si="3"/>
        <v>0.10285488265895947</v>
      </c>
      <c r="N189" s="11">
        <v>632.45995365005547</v>
      </c>
      <c r="O189" s="11">
        <v>0</v>
      </c>
      <c r="P189" s="11" t="s">
        <v>329</v>
      </c>
      <c r="Q189" s="12"/>
    </row>
    <row r="190" spans="2:17" s="2" customFormat="1" ht="15.75" hidden="1" x14ac:dyDescent="0.25">
      <c r="B190" s="22"/>
      <c r="C190" s="88" t="s">
        <v>105</v>
      </c>
      <c r="D190" s="88" t="s">
        <v>75</v>
      </c>
      <c r="E190" s="88" t="s">
        <v>72</v>
      </c>
      <c r="F190" s="10">
        <v>43334</v>
      </c>
      <c r="G190" s="88" t="s">
        <v>330</v>
      </c>
      <c r="H190" s="88" t="s">
        <v>15</v>
      </c>
      <c r="I190" s="89">
        <v>11689.411764705883</v>
      </c>
      <c r="J190" s="89">
        <v>5227.17</v>
      </c>
      <c r="K190" s="90">
        <f t="shared" si="2"/>
        <v>0.55282865338164255</v>
      </c>
      <c r="L190" s="89">
        <v>1466.8050823529411</v>
      </c>
      <c r="M190" s="110">
        <f t="shared" si="3"/>
        <v>0.12548151368760063</v>
      </c>
      <c r="N190" s="11">
        <v>814.65976470588248</v>
      </c>
      <c r="O190" s="11">
        <v>0</v>
      </c>
      <c r="P190" s="11"/>
      <c r="Q190" s="12"/>
    </row>
    <row r="191" spans="2:17" s="2" customFormat="1" ht="15.75" hidden="1" x14ac:dyDescent="0.25">
      <c r="B191" s="22"/>
      <c r="C191" s="88" t="s">
        <v>162</v>
      </c>
      <c r="D191" s="88" t="s">
        <v>123</v>
      </c>
      <c r="E191" s="88" t="s">
        <v>72</v>
      </c>
      <c r="F191" s="10">
        <v>43312</v>
      </c>
      <c r="G191" s="88" t="s">
        <v>331</v>
      </c>
      <c r="H191" s="88" t="s">
        <v>15</v>
      </c>
      <c r="I191" s="89">
        <v>5191.9215233698797</v>
      </c>
      <c r="J191" s="89">
        <v>5822.06</v>
      </c>
      <c r="K191" s="90">
        <f t="shared" si="2"/>
        <v>-0.12136902951898274</v>
      </c>
      <c r="L191" s="89">
        <f>527.04076168494+O191</f>
        <v>599.74076168494003</v>
      </c>
      <c r="M191" s="110">
        <f t="shared" si="3"/>
        <v>0.11551421934738162</v>
      </c>
      <c r="N191" s="11">
        <v>89.621523369879469</v>
      </c>
      <c r="O191" s="11">
        <v>72.7</v>
      </c>
      <c r="P191" s="11" t="s">
        <v>332</v>
      </c>
      <c r="Q191" s="12"/>
    </row>
    <row r="192" spans="2:17" s="2" customFormat="1" ht="15.75" hidden="1" x14ac:dyDescent="0.25">
      <c r="B192" s="22"/>
      <c r="C192" s="88" t="s">
        <v>162</v>
      </c>
      <c r="D192" s="88" t="s">
        <v>123</v>
      </c>
      <c r="E192" s="88" t="s">
        <v>72</v>
      </c>
      <c r="F192" s="10">
        <v>43321</v>
      </c>
      <c r="G192" s="88" t="s">
        <v>331</v>
      </c>
      <c r="H192" s="88" t="s">
        <v>16</v>
      </c>
      <c r="I192" s="89">
        <v>23680.560000000001</v>
      </c>
      <c r="J192" s="89">
        <v>9275.27</v>
      </c>
      <c r="K192" s="90">
        <f t="shared" si="2"/>
        <v>0.60831711750059969</v>
      </c>
      <c r="L192" s="89">
        <v>2179.8393537218703</v>
      </c>
      <c r="M192" s="110">
        <f t="shared" si="3"/>
        <v>9.205184986004851E-2</v>
      </c>
      <c r="N192" s="11">
        <v>6053.0060000000012</v>
      </c>
      <c r="O192" s="11">
        <v>0</v>
      </c>
      <c r="P192" s="11" t="s">
        <v>333</v>
      </c>
      <c r="Q192" s="12"/>
    </row>
    <row r="193" spans="2:21" s="2" customFormat="1" ht="15.75" hidden="1" x14ac:dyDescent="0.25">
      <c r="B193" s="22"/>
      <c r="C193" s="88" t="s">
        <v>415</v>
      </c>
      <c r="D193" s="88" t="s">
        <v>75</v>
      </c>
      <c r="E193" s="88" t="s">
        <v>58</v>
      </c>
      <c r="F193" s="10">
        <v>43363</v>
      </c>
      <c r="G193" s="88" t="s">
        <v>334</v>
      </c>
      <c r="H193" s="88" t="s">
        <v>14</v>
      </c>
      <c r="I193" s="89">
        <v>16460.337798485729</v>
      </c>
      <c r="J193" s="89">
        <v>10233.4</v>
      </c>
      <c r="K193" s="90">
        <f t="shared" si="2"/>
        <v>0.37829951454936589</v>
      </c>
      <c r="L193" s="89">
        <v>962.31689924286525</v>
      </c>
      <c r="M193" s="110">
        <f t="shared" si="3"/>
        <v>5.8462767351675722E-2</v>
      </c>
      <c r="N193" s="11">
        <v>-124.74220151426925</v>
      </c>
      <c r="O193" s="11">
        <v>0</v>
      </c>
      <c r="P193" s="11"/>
      <c r="Q193" s="12"/>
    </row>
    <row r="194" spans="2:21" s="2" customFormat="1" ht="15.75" hidden="1" x14ac:dyDescent="0.25">
      <c r="B194" s="22"/>
      <c r="C194" s="88" t="s">
        <v>409</v>
      </c>
      <c r="D194" s="88" t="s">
        <v>282</v>
      </c>
      <c r="E194" s="88" t="s">
        <v>76</v>
      </c>
      <c r="F194" s="10">
        <v>43399</v>
      </c>
      <c r="G194" s="88" t="s">
        <v>335</v>
      </c>
      <c r="H194" s="88" t="s">
        <v>17</v>
      </c>
      <c r="I194" s="89">
        <v>5019.4979568009339</v>
      </c>
      <c r="J194" s="89">
        <f>2409.85+21</f>
        <v>2430.85</v>
      </c>
      <c r="K194" s="90">
        <f t="shared" si="2"/>
        <v>0.51571849995347974</v>
      </c>
      <c r="L194" s="89">
        <v>598.18897840046714</v>
      </c>
      <c r="M194" s="110">
        <f t="shared" si="3"/>
        <v>0.11917306940826203</v>
      </c>
      <c r="N194" s="11">
        <v>447.0979568009343</v>
      </c>
      <c r="O194" s="11">
        <v>0</v>
      </c>
      <c r="P194" s="11"/>
      <c r="Q194" s="12"/>
    </row>
    <row r="195" spans="2:21" s="2" customFormat="1" ht="15.75" hidden="1" x14ac:dyDescent="0.25">
      <c r="B195" s="22"/>
      <c r="C195" s="88" t="s">
        <v>56</v>
      </c>
      <c r="D195" s="88" t="s">
        <v>75</v>
      </c>
      <c r="E195" s="88" t="s">
        <v>187</v>
      </c>
      <c r="F195" s="10">
        <v>43302</v>
      </c>
      <c r="G195" s="88" t="s">
        <v>336</v>
      </c>
      <c r="H195" s="88" t="s">
        <v>13</v>
      </c>
      <c r="I195" s="89">
        <v>6411.12</v>
      </c>
      <c r="J195" s="89">
        <v>3797.2</v>
      </c>
      <c r="K195" s="90">
        <f t="shared" si="2"/>
        <v>0.4077165924206691</v>
      </c>
      <c r="L195" s="89">
        <f>342.98+O195</f>
        <v>536.26</v>
      </c>
      <c r="M195" s="110">
        <f t="shared" si="3"/>
        <v>8.3645291306355202E-2</v>
      </c>
      <c r="N195" s="11">
        <v>-684.08</v>
      </c>
      <c r="O195" s="11">
        <v>193.28</v>
      </c>
      <c r="P195" s="11" t="s">
        <v>337</v>
      </c>
      <c r="Q195" s="12"/>
    </row>
    <row r="196" spans="2:21" s="2" customFormat="1" ht="15.75" hidden="1" x14ac:dyDescent="0.25">
      <c r="B196" s="22"/>
      <c r="C196" s="88" t="s">
        <v>56</v>
      </c>
      <c r="D196" s="88" t="s">
        <v>282</v>
      </c>
      <c r="E196" s="88" t="s">
        <v>414</v>
      </c>
      <c r="F196" s="10">
        <v>43407</v>
      </c>
      <c r="G196" s="88" t="s">
        <v>338</v>
      </c>
      <c r="H196" s="88" t="s">
        <v>17</v>
      </c>
      <c r="I196" s="89">
        <v>6084.8203939745072</v>
      </c>
      <c r="J196" s="89">
        <v>2072.4299999999998</v>
      </c>
      <c r="K196" s="90">
        <f t="shared" si="2"/>
        <v>0.65940983203839121</v>
      </c>
      <c r="L196" s="89">
        <v>893.83019698725366</v>
      </c>
      <c r="M196" s="110">
        <f t="shared" si="3"/>
        <v>0.14689508302864107</v>
      </c>
      <c r="N196" s="11">
        <v>858.62039397450735</v>
      </c>
      <c r="O196" s="11">
        <v>0</v>
      </c>
      <c r="P196" s="11"/>
      <c r="Q196" s="12"/>
    </row>
    <row r="197" spans="2:21" s="2" customFormat="1" ht="15.75" hidden="1" x14ac:dyDescent="0.25">
      <c r="B197" s="22"/>
      <c r="C197" s="88" t="s">
        <v>250</v>
      </c>
      <c r="D197" s="88" t="s">
        <v>123</v>
      </c>
      <c r="E197" s="88" t="s">
        <v>317</v>
      </c>
      <c r="F197" s="10">
        <v>43407</v>
      </c>
      <c r="G197" s="88" t="s">
        <v>339</v>
      </c>
      <c r="H197" s="88" t="s">
        <v>16</v>
      </c>
      <c r="I197" s="89">
        <v>2827.3464658169173</v>
      </c>
      <c r="J197" s="89">
        <v>2280.17</v>
      </c>
      <c r="K197" s="90">
        <f t="shared" si="2"/>
        <v>0.19353003688524575</v>
      </c>
      <c r="L197" s="89">
        <f>-102.12+O197</f>
        <v>206.76</v>
      </c>
      <c r="M197" s="110">
        <f t="shared" si="3"/>
        <v>7.3128639344262308E-2</v>
      </c>
      <c r="N197" s="11">
        <v>-818.65353418308223</v>
      </c>
      <c r="O197" s="11">
        <v>308.88</v>
      </c>
      <c r="P197" s="11" t="s">
        <v>340</v>
      </c>
      <c r="Q197" s="12"/>
    </row>
    <row r="198" spans="2:21" s="2" customFormat="1" ht="15.75" hidden="1" x14ac:dyDescent="0.25">
      <c r="B198" s="22"/>
      <c r="C198" s="88" t="s">
        <v>56</v>
      </c>
      <c r="D198" s="88" t="s">
        <v>60</v>
      </c>
      <c r="E198" s="88" t="s">
        <v>414</v>
      </c>
      <c r="F198" s="10">
        <v>43404</v>
      </c>
      <c r="G198" s="88" t="s">
        <v>341</v>
      </c>
      <c r="H198" s="88" t="s">
        <v>24</v>
      </c>
      <c r="I198" s="89">
        <v>5650.0579374275776</v>
      </c>
      <c r="J198" s="89">
        <v>2547.5500000000002</v>
      </c>
      <c r="K198" s="90">
        <f t="shared" si="2"/>
        <v>0.54911081829368324</v>
      </c>
      <c r="L198" s="89">
        <v>593.736968713789</v>
      </c>
      <c r="M198" s="110">
        <f t="shared" si="3"/>
        <v>0.10508511156685807</v>
      </c>
      <c r="N198" s="11">
        <v>318.57793742757804</v>
      </c>
      <c r="O198" s="11">
        <v>0</v>
      </c>
      <c r="P198" s="11"/>
      <c r="Q198" s="12"/>
    </row>
    <row r="199" spans="2:21" s="2" customFormat="1" ht="15.75" hidden="1" x14ac:dyDescent="0.25">
      <c r="B199" s="22"/>
      <c r="C199" s="88" t="s">
        <v>56</v>
      </c>
      <c r="D199" s="88" t="s">
        <v>60</v>
      </c>
      <c r="E199" s="88" t="s">
        <v>58</v>
      </c>
      <c r="F199" s="10">
        <v>43375</v>
      </c>
      <c r="G199" s="88" t="s">
        <v>342</v>
      </c>
      <c r="H199" s="88" t="s">
        <v>14</v>
      </c>
      <c r="I199" s="89">
        <v>6952.4913093858622</v>
      </c>
      <c r="J199" s="89">
        <v>3549.8</v>
      </c>
      <c r="K199" s="90">
        <f t="shared" si="2"/>
        <v>0.48942043333333324</v>
      </c>
      <c r="L199" s="89">
        <v>704.25</v>
      </c>
      <c r="M199" s="110">
        <f t="shared" si="3"/>
        <v>0.10129462500000001</v>
      </c>
      <c r="N199" s="11">
        <v>253.49</v>
      </c>
      <c r="O199" s="11">
        <v>0</v>
      </c>
      <c r="P199" s="11" t="s">
        <v>343</v>
      </c>
      <c r="Q199" s="12"/>
    </row>
    <row r="200" spans="2:21" s="2" customFormat="1" ht="15.75" hidden="1" x14ac:dyDescent="0.25">
      <c r="B200" s="22"/>
      <c r="C200" s="88" t="s">
        <v>129</v>
      </c>
      <c r="D200" s="88" t="s">
        <v>68</v>
      </c>
      <c r="E200" s="88" t="s">
        <v>84</v>
      </c>
      <c r="F200" s="10">
        <v>43293</v>
      </c>
      <c r="G200" s="88" t="s">
        <v>279</v>
      </c>
      <c r="H200" s="88" t="s">
        <v>412</v>
      </c>
      <c r="I200" s="89">
        <v>31211.74</v>
      </c>
      <c r="J200" s="89">
        <v>24803.96</v>
      </c>
      <c r="K200" s="90">
        <f t="shared" si="2"/>
        <v>0.2053003132795545</v>
      </c>
      <c r="L200" s="89">
        <f>1717.75199060481+O200</f>
        <v>2833.9419906048101</v>
      </c>
      <c r="M200" s="110">
        <f t="shared" si="3"/>
        <v>9.0797308660292883E-2</v>
      </c>
      <c r="N200" s="11">
        <v>-1642.1560187903742</v>
      </c>
      <c r="O200" s="11">
        <v>1116.19</v>
      </c>
      <c r="P200" s="11" t="s">
        <v>344</v>
      </c>
      <c r="Q200" s="12"/>
    </row>
    <row r="201" spans="2:21" s="2" customFormat="1" ht="15.75" hidden="1" x14ac:dyDescent="0.25">
      <c r="B201" s="22"/>
      <c r="C201" s="88" t="s">
        <v>100</v>
      </c>
      <c r="D201" s="88" t="s">
        <v>83</v>
      </c>
      <c r="E201" s="88" t="s">
        <v>72</v>
      </c>
      <c r="F201" s="10">
        <v>43182</v>
      </c>
      <c r="G201" s="88" t="s">
        <v>345</v>
      </c>
      <c r="H201" s="88" t="s">
        <v>15</v>
      </c>
      <c r="I201" s="89">
        <v>6519.8847262247837</v>
      </c>
      <c r="J201" s="89">
        <v>3871.61</v>
      </c>
      <c r="K201" s="90">
        <f t="shared" si="2"/>
        <v>0.40618428659830264</v>
      </c>
      <c r="L201" s="89">
        <v>452.8</v>
      </c>
      <c r="M201" s="110">
        <f t="shared" si="3"/>
        <v>6.9449080622347947E-2</v>
      </c>
      <c r="N201" s="11">
        <v>-1117.8152737752162</v>
      </c>
      <c r="O201" s="11">
        <v>327.02999999999997</v>
      </c>
      <c r="P201" s="11"/>
      <c r="Q201" s="12"/>
    </row>
    <row r="202" spans="2:21" s="2" customFormat="1" ht="15.75" hidden="1" x14ac:dyDescent="0.25">
      <c r="B202" s="22"/>
      <c r="C202" s="88" t="s">
        <v>56</v>
      </c>
      <c r="D202" s="88" t="s">
        <v>123</v>
      </c>
      <c r="E202" s="88" t="s">
        <v>317</v>
      </c>
      <c r="F202" s="10">
        <v>43384</v>
      </c>
      <c r="G202" s="88" t="s">
        <v>346</v>
      </c>
      <c r="H202" s="88" t="s">
        <v>16</v>
      </c>
      <c r="I202" s="89">
        <v>13791.888760139049</v>
      </c>
      <c r="J202" s="89">
        <v>7204.75</v>
      </c>
      <c r="K202" s="90">
        <f t="shared" si="2"/>
        <v>0.47760962074875651</v>
      </c>
      <c r="L202" s="89">
        <v>1172.6043800695243</v>
      </c>
      <c r="M202" s="110">
        <f t="shared" si="3"/>
        <v>8.5021304946901424E-2</v>
      </c>
      <c r="N202" s="11">
        <v>59.288760139048463</v>
      </c>
      <c r="O202" s="11">
        <v>0</v>
      </c>
      <c r="P202" s="11" t="s">
        <v>347</v>
      </c>
      <c r="Q202" s="12"/>
      <c r="U202" s="9"/>
    </row>
    <row r="203" spans="2:21" s="2" customFormat="1" ht="15.75" hidden="1" x14ac:dyDescent="0.25">
      <c r="B203" s="22"/>
      <c r="C203" s="88" t="s">
        <v>125</v>
      </c>
      <c r="D203" s="88" t="s">
        <v>123</v>
      </c>
      <c r="E203" s="88" t="s">
        <v>72</v>
      </c>
      <c r="F203" s="10">
        <v>43374</v>
      </c>
      <c r="G203" s="88" t="s">
        <v>348</v>
      </c>
      <c r="H203" s="88" t="s">
        <v>412</v>
      </c>
      <c r="I203" s="89">
        <v>18423.273360417876</v>
      </c>
      <c r="J203" s="89">
        <f>13123.44</f>
        <v>13123.44</v>
      </c>
      <c r="K203" s="90">
        <f t="shared" si="2"/>
        <v>0.28767055977166833</v>
      </c>
      <c r="L203" s="89">
        <f>638.98+O203</f>
        <v>698.56000000000006</v>
      </c>
      <c r="M203" s="110">
        <f t="shared" si="3"/>
        <v>3.7917257500007878E-2</v>
      </c>
      <c r="N203" s="11">
        <v>-2802.91</v>
      </c>
      <c r="O203" s="11">
        <v>59.58</v>
      </c>
      <c r="P203" s="11" t="s">
        <v>349</v>
      </c>
      <c r="Q203" s="12"/>
    </row>
    <row r="204" spans="2:21" s="2" customFormat="1" ht="15.75" hidden="1" x14ac:dyDescent="0.25">
      <c r="B204" s="22"/>
      <c r="C204" s="88" t="s">
        <v>56</v>
      </c>
      <c r="D204" s="88" t="s">
        <v>75</v>
      </c>
      <c r="E204" s="88" t="s">
        <v>414</v>
      </c>
      <c r="F204" s="10">
        <v>43384</v>
      </c>
      <c r="G204" s="88" t="s">
        <v>350</v>
      </c>
      <c r="H204" s="88" t="s">
        <v>17</v>
      </c>
      <c r="I204" s="89">
        <v>6270.2201622247967</v>
      </c>
      <c r="J204" s="89">
        <v>3421.28</v>
      </c>
      <c r="K204" s="90">
        <f t="shared" si="2"/>
        <v>0.45436046717918382</v>
      </c>
      <c r="L204" s="89">
        <v>427.51008111239832</v>
      </c>
      <c r="M204" s="110">
        <f t="shared" si="3"/>
        <v>6.8181031933766956E-2</v>
      </c>
      <c r="N204" s="11">
        <v>-393.7798377752033</v>
      </c>
      <c r="O204" s="11">
        <v>0</v>
      </c>
      <c r="P204" s="11" t="s">
        <v>351</v>
      </c>
      <c r="Q204" s="12"/>
    </row>
    <row r="205" spans="2:21" s="2" customFormat="1" ht="15.75" hidden="1" x14ac:dyDescent="0.25">
      <c r="B205" s="22"/>
      <c r="C205" s="88" t="s">
        <v>56</v>
      </c>
      <c r="D205" s="88" t="s">
        <v>352</v>
      </c>
      <c r="E205" s="88" t="s">
        <v>72</v>
      </c>
      <c r="F205" s="10">
        <v>43410</v>
      </c>
      <c r="G205" s="88" t="s">
        <v>353</v>
      </c>
      <c r="H205" s="88" t="s">
        <v>15</v>
      </c>
      <c r="I205" s="89">
        <v>11797.914252607183</v>
      </c>
      <c r="J205" s="89">
        <v>5609.47</v>
      </c>
      <c r="K205" s="90">
        <f t="shared" si="2"/>
        <v>0.52453714445666688</v>
      </c>
      <c r="L205" s="89">
        <v>1305.8371263035917</v>
      </c>
      <c r="M205" s="110">
        <f t="shared" si="3"/>
        <v>0.11068372750844659</v>
      </c>
      <c r="N205" s="11">
        <v>385.11425260718352</v>
      </c>
      <c r="O205" s="11">
        <v>0</v>
      </c>
      <c r="P205" s="11"/>
      <c r="Q205" s="12"/>
    </row>
    <row r="206" spans="2:21" s="2" customFormat="1" ht="15.75" hidden="1" x14ac:dyDescent="0.25">
      <c r="B206" s="22"/>
      <c r="C206" s="88" t="s">
        <v>56</v>
      </c>
      <c r="D206" s="88" t="s">
        <v>60</v>
      </c>
      <c r="E206" s="88" t="s">
        <v>182</v>
      </c>
      <c r="F206" s="10">
        <v>43410</v>
      </c>
      <c r="G206" s="88" t="s">
        <v>279</v>
      </c>
      <c r="H206" s="88" t="s">
        <v>22</v>
      </c>
      <c r="I206" s="89">
        <v>3893.3951332560832</v>
      </c>
      <c r="J206" s="89">
        <v>1950</v>
      </c>
      <c r="K206" s="90">
        <f t="shared" si="2"/>
        <v>0.4991517857142857</v>
      </c>
      <c r="L206" s="89">
        <v>375.70156662804152</v>
      </c>
      <c r="M206" s="110">
        <f t="shared" si="3"/>
        <v>9.6497158333333291E-2</v>
      </c>
      <c r="N206" s="11">
        <v>121.65513325608299</v>
      </c>
      <c r="O206" s="11">
        <v>0</v>
      </c>
      <c r="P206" s="11"/>
      <c r="Q206" s="12"/>
    </row>
    <row r="207" spans="2:21" s="2" customFormat="1" ht="15.75" hidden="1" x14ac:dyDescent="0.25">
      <c r="B207" s="22"/>
      <c r="C207" s="88" t="s">
        <v>354</v>
      </c>
      <c r="D207" s="88" t="s">
        <v>75</v>
      </c>
      <c r="E207" s="88" t="s">
        <v>413</v>
      </c>
      <c r="F207" s="10">
        <v>43378</v>
      </c>
      <c r="G207" s="88" t="s">
        <v>135</v>
      </c>
      <c r="H207" s="88" t="s">
        <v>13</v>
      </c>
      <c r="I207" s="89">
        <v>14269.789227166279</v>
      </c>
      <c r="J207" s="89">
        <v>7748.11</v>
      </c>
      <c r="K207" s="90">
        <f t="shared" si="2"/>
        <v>0.45702701864373413</v>
      </c>
      <c r="L207" s="89">
        <v>1350.3921135831397</v>
      </c>
      <c r="M207" s="110">
        <f t="shared" si="3"/>
        <v>9.4632940408980598E-2</v>
      </c>
      <c r="N207" s="11">
        <v>78.864227166279306</v>
      </c>
      <c r="O207" s="11">
        <v>0</v>
      </c>
      <c r="P207" s="11" t="s">
        <v>355</v>
      </c>
      <c r="Q207" s="12"/>
    </row>
    <row r="208" spans="2:21" s="2" customFormat="1" ht="15.75" hidden="1" x14ac:dyDescent="0.25">
      <c r="B208" s="22"/>
      <c r="C208" s="88" t="s">
        <v>92</v>
      </c>
      <c r="D208" s="88" t="s">
        <v>57</v>
      </c>
      <c r="E208" s="88" t="s">
        <v>172</v>
      </c>
      <c r="F208" s="10">
        <v>43337</v>
      </c>
      <c r="G208" s="88" t="s">
        <v>356</v>
      </c>
      <c r="H208" s="88" t="s">
        <v>14</v>
      </c>
      <c r="I208" s="89">
        <v>14107.54</v>
      </c>
      <c r="J208" s="89">
        <v>6937.71</v>
      </c>
      <c r="K208" s="90">
        <f t="shared" si="2"/>
        <v>0.5082268063744636</v>
      </c>
      <c r="L208" s="89">
        <v>1862.5700000000004</v>
      </c>
      <c r="M208" s="110">
        <f t="shared" si="3"/>
        <v>0.13202656168261798</v>
      </c>
      <c r="N208" s="11">
        <v>1577.5400000000009</v>
      </c>
      <c r="O208" s="11">
        <v>0</v>
      </c>
      <c r="P208" s="11" t="s">
        <v>357</v>
      </c>
      <c r="Q208" s="12"/>
    </row>
    <row r="209" spans="2:22" s="2" customFormat="1" ht="15.75" hidden="1" x14ac:dyDescent="0.25">
      <c r="B209" s="22"/>
      <c r="C209" s="88" t="s">
        <v>358</v>
      </c>
      <c r="D209" s="88" t="s">
        <v>75</v>
      </c>
      <c r="E209" s="88" t="s">
        <v>182</v>
      </c>
      <c r="F209" s="10">
        <v>43291</v>
      </c>
      <c r="G209" s="88" t="s">
        <v>359</v>
      </c>
      <c r="H209" s="88" t="s">
        <v>13</v>
      </c>
      <c r="I209" s="89">
        <v>75175.771694816533</v>
      </c>
      <c r="J209" s="89">
        <v>37354.07</v>
      </c>
      <c r="K209" s="90">
        <f t="shared" si="2"/>
        <v>0.5031102553673471</v>
      </c>
      <c r="L209" s="89">
        <v>7912.1768474082655</v>
      </c>
      <c r="M209" s="110">
        <f t="shared" si="3"/>
        <v>0.10524902730002599</v>
      </c>
      <c r="N209" s="11">
        <v>2416.7216948165296</v>
      </c>
      <c r="O209" s="11">
        <v>0</v>
      </c>
      <c r="P209" s="11"/>
      <c r="Q209" s="12"/>
    </row>
    <row r="210" spans="2:22" s="2" customFormat="1" ht="15.75" hidden="1" x14ac:dyDescent="0.25">
      <c r="B210" s="22"/>
      <c r="C210" s="88" t="s">
        <v>92</v>
      </c>
      <c r="D210" s="88" t="s">
        <v>352</v>
      </c>
      <c r="E210" s="88" t="s">
        <v>72</v>
      </c>
      <c r="F210" s="10">
        <v>43432</v>
      </c>
      <c r="G210" s="88" t="s">
        <v>360</v>
      </c>
      <c r="H210" s="88" t="s">
        <v>15</v>
      </c>
      <c r="I210" s="89">
        <v>7353.1122745782422</v>
      </c>
      <c r="J210" s="89">
        <f>3396.53+54.33</f>
        <v>3450.86</v>
      </c>
      <c r="K210" s="90">
        <f t="shared" si="2"/>
        <v>0.53069396044303785</v>
      </c>
      <c r="L210" s="89">
        <v>985.05613728912112</v>
      </c>
      <c r="M210" s="110">
        <f t="shared" si="3"/>
        <v>0.13396451740506324</v>
      </c>
      <c r="N210" s="11">
        <v>668.11227457824225</v>
      </c>
      <c r="O210" s="11">
        <v>0</v>
      </c>
      <c r="P210" s="11"/>
      <c r="Q210" s="12"/>
    </row>
    <row r="211" spans="2:22" s="2" customFormat="1" ht="15.75" hidden="1" x14ac:dyDescent="0.25">
      <c r="B211" s="22"/>
      <c r="C211" s="88" t="s">
        <v>56</v>
      </c>
      <c r="D211" s="88" t="s">
        <v>123</v>
      </c>
      <c r="E211" s="88" t="s">
        <v>72</v>
      </c>
      <c r="F211" s="10">
        <v>43420</v>
      </c>
      <c r="G211" s="88" t="s">
        <v>361</v>
      </c>
      <c r="H211" s="88" t="s">
        <v>15</v>
      </c>
      <c r="I211" s="89">
        <v>7700.9359802210574</v>
      </c>
      <c r="J211" s="89">
        <v>3355.13</v>
      </c>
      <c r="K211" s="90">
        <f t="shared" si="2"/>
        <v>0.56432179041388553</v>
      </c>
      <c r="L211" s="89">
        <v>1059.2879901105289</v>
      </c>
      <c r="M211" s="110">
        <f t="shared" si="3"/>
        <v>0.1375531484524978</v>
      </c>
      <c r="N211" s="11">
        <v>766.73598022105762</v>
      </c>
      <c r="O211" s="11">
        <v>0</v>
      </c>
      <c r="P211" s="11"/>
      <c r="Q211" s="12"/>
    </row>
    <row r="212" spans="2:22" s="2" customFormat="1" ht="15.75" hidden="1" x14ac:dyDescent="0.25">
      <c r="B212" s="22"/>
      <c r="C212" s="88" t="s">
        <v>56</v>
      </c>
      <c r="D212" s="88" t="s">
        <v>57</v>
      </c>
      <c r="E212" s="88" t="s">
        <v>76</v>
      </c>
      <c r="F212" s="10">
        <v>43432</v>
      </c>
      <c r="G212" s="88" t="s">
        <v>362</v>
      </c>
      <c r="H212" s="88" t="s">
        <v>18</v>
      </c>
      <c r="I212" s="89">
        <v>2513.0938586326765</v>
      </c>
      <c r="J212" s="89">
        <v>2066.11</v>
      </c>
      <c r="K212" s="90">
        <f t="shared" si="2"/>
        <v>0.17786198358539274</v>
      </c>
      <c r="L212" s="89">
        <v>87.406929316338505</v>
      </c>
      <c r="M212" s="110">
        <f t="shared" si="3"/>
        <v>3.4780606787163472E-2</v>
      </c>
      <c r="N212" s="11">
        <v>-348.50614136732293</v>
      </c>
      <c r="O212" s="11">
        <v>0</v>
      </c>
      <c r="P212" s="11" t="s">
        <v>363</v>
      </c>
      <c r="Q212" s="12"/>
    </row>
    <row r="213" spans="2:22" s="2" customFormat="1" ht="15.75" hidden="1" x14ac:dyDescent="0.25">
      <c r="B213" s="22"/>
      <c r="C213" s="88" t="s">
        <v>92</v>
      </c>
      <c r="D213" s="88" t="s">
        <v>60</v>
      </c>
      <c r="E213" s="88" t="s">
        <v>58</v>
      </c>
      <c r="F213" s="10">
        <v>43402</v>
      </c>
      <c r="G213" s="88" t="s">
        <v>364</v>
      </c>
      <c r="H213" s="88" t="s">
        <v>28</v>
      </c>
      <c r="I213" s="89">
        <v>56544.502617801045</v>
      </c>
      <c r="J213" s="89">
        <v>23547.99</v>
      </c>
      <c r="K213" s="90">
        <f t="shared" si="2"/>
        <v>0.58354943611111099</v>
      </c>
      <c r="L213" s="89">
        <v>5801.4346422338604</v>
      </c>
      <c r="M213" s="110">
        <f t="shared" si="3"/>
        <v>0.10259944598765439</v>
      </c>
      <c r="N213" s="11">
        <v>2006.3359511343879</v>
      </c>
      <c r="O213" s="11">
        <v>0</v>
      </c>
      <c r="P213" s="11"/>
      <c r="Q213" s="12"/>
    </row>
    <row r="214" spans="2:22" s="2" customFormat="1" ht="15.75" hidden="1" x14ac:dyDescent="0.25">
      <c r="B214" s="22"/>
      <c r="C214" s="88" t="s">
        <v>56</v>
      </c>
      <c r="D214" s="88" t="s">
        <v>123</v>
      </c>
      <c r="E214" s="88" t="s">
        <v>72</v>
      </c>
      <c r="F214" s="10">
        <v>43420</v>
      </c>
      <c r="G214" s="88" t="s">
        <v>365</v>
      </c>
      <c r="H214" s="88" t="s">
        <v>15</v>
      </c>
      <c r="I214" s="89">
        <v>9119.814600231748</v>
      </c>
      <c r="J214" s="89">
        <f>4685.18+687.59</f>
        <v>5372.77</v>
      </c>
      <c r="K214" s="90">
        <f t="shared" si="2"/>
        <v>0.41086850604797709</v>
      </c>
      <c r="L214" s="89">
        <v>830.59</v>
      </c>
      <c r="M214" s="110">
        <f t="shared" si="3"/>
        <v>9.1075316375279547E-2</v>
      </c>
      <c r="N214" s="11">
        <v>388.01460023174695</v>
      </c>
      <c r="O214" s="11">
        <v>0</v>
      </c>
      <c r="P214" s="11" t="s">
        <v>366</v>
      </c>
      <c r="Q214" s="12"/>
    </row>
    <row r="215" spans="2:22" s="2" customFormat="1" ht="15.75" hidden="1" x14ac:dyDescent="0.25">
      <c r="B215" s="22"/>
      <c r="C215" s="88" t="s">
        <v>198</v>
      </c>
      <c r="D215" s="88" t="s">
        <v>57</v>
      </c>
      <c r="E215" s="88" t="s">
        <v>58</v>
      </c>
      <c r="F215" s="10">
        <v>43165</v>
      </c>
      <c r="G215" s="88" t="s">
        <v>367</v>
      </c>
      <c r="H215" s="88" t="s">
        <v>402</v>
      </c>
      <c r="I215" s="89">
        <v>69308</v>
      </c>
      <c r="J215" s="89">
        <v>33238.800000000003</v>
      </c>
      <c r="K215" s="90">
        <f t="shared" si="2"/>
        <v>0.52041899924972579</v>
      </c>
      <c r="L215" s="89">
        <v>4854.9999999999991</v>
      </c>
      <c r="M215" s="110">
        <f t="shared" si="3"/>
        <v>7.0049633519939966E-2</v>
      </c>
      <c r="N215" s="11">
        <v>469.82499999999709</v>
      </c>
      <c r="O215" s="11">
        <v>0</v>
      </c>
      <c r="P215" s="11"/>
      <c r="Q215" s="12"/>
    </row>
    <row r="216" spans="2:22" s="2" customFormat="1" ht="15.75" hidden="1" x14ac:dyDescent="0.25">
      <c r="B216" s="22"/>
      <c r="C216" s="88" t="s">
        <v>368</v>
      </c>
      <c r="D216" s="88" t="s">
        <v>123</v>
      </c>
      <c r="E216" s="88" t="s">
        <v>317</v>
      </c>
      <c r="F216" s="10">
        <v>43407</v>
      </c>
      <c r="G216" s="88" t="s">
        <v>369</v>
      </c>
      <c r="H216" s="88" t="s">
        <v>16</v>
      </c>
      <c r="I216" s="89">
        <v>23493.38</v>
      </c>
      <c r="J216" s="89">
        <v>17537.439999999999</v>
      </c>
      <c r="K216" s="90">
        <f t="shared" si="2"/>
        <v>0.25351567122312763</v>
      </c>
      <c r="L216" s="89">
        <f>387.33+O216</f>
        <v>431.53999999999996</v>
      </c>
      <c r="M216" s="110">
        <f t="shared" si="3"/>
        <v>1.8368578723027506E-2</v>
      </c>
      <c r="N216" s="11">
        <v>-3117.07</v>
      </c>
      <c r="O216" s="11">
        <v>44.21</v>
      </c>
      <c r="P216" s="11"/>
      <c r="Q216" s="12"/>
    </row>
    <row r="217" spans="2:22" s="2" customFormat="1" ht="15.75" hidden="1" x14ac:dyDescent="0.25">
      <c r="B217" s="22"/>
      <c r="C217" s="88" t="s">
        <v>56</v>
      </c>
      <c r="D217" s="88" t="s">
        <v>282</v>
      </c>
      <c r="E217" s="88" t="s">
        <v>72</v>
      </c>
      <c r="F217" s="10">
        <v>43448</v>
      </c>
      <c r="G217" s="88" t="s">
        <v>370</v>
      </c>
      <c r="H217" s="88" t="s">
        <v>15</v>
      </c>
      <c r="I217" s="89">
        <v>6396.2920046349936</v>
      </c>
      <c r="J217" s="89">
        <v>2885.35</v>
      </c>
      <c r="K217" s="90">
        <f t="shared" si="2"/>
        <v>0.54890270833333332</v>
      </c>
      <c r="L217" s="89">
        <v>923.28600231749647</v>
      </c>
      <c r="M217" s="110">
        <f t="shared" si="3"/>
        <v>0.14434706884057963</v>
      </c>
      <c r="N217" s="11">
        <v>752.8920046349931</v>
      </c>
      <c r="O217" s="11">
        <v>0</v>
      </c>
      <c r="P217" s="11"/>
      <c r="Q217" s="12"/>
    </row>
    <row r="218" spans="2:22" s="2" customFormat="1" ht="15.75" hidden="1" x14ac:dyDescent="0.25">
      <c r="B218" s="22"/>
      <c r="C218" s="88" t="s">
        <v>56</v>
      </c>
      <c r="D218" s="88" t="s">
        <v>60</v>
      </c>
      <c r="E218" s="88" t="s">
        <v>58</v>
      </c>
      <c r="F218" s="10">
        <v>43431</v>
      </c>
      <c r="G218" s="88" t="s">
        <v>371</v>
      </c>
      <c r="H218" s="88" t="s">
        <v>28</v>
      </c>
      <c r="I218" s="89">
        <v>24055.619930475084</v>
      </c>
      <c r="J218" s="89">
        <v>10466.540000000001</v>
      </c>
      <c r="K218" s="90">
        <f t="shared" si="2"/>
        <v>0.56490250385356444</v>
      </c>
      <c r="L218" s="89">
        <v>2953.9899652375425</v>
      </c>
      <c r="M218" s="110">
        <f t="shared" si="3"/>
        <v>0.12279833044315989</v>
      </c>
      <c r="N218" s="11">
        <v>1561.8199304750851</v>
      </c>
      <c r="O218" s="11">
        <v>0</v>
      </c>
      <c r="P218" s="11"/>
      <c r="Q218" s="12"/>
      <c r="V218" s="5"/>
    </row>
    <row r="219" spans="2:22" s="2" customFormat="1" ht="15.75" hidden="1" x14ac:dyDescent="0.25">
      <c r="B219" s="22"/>
      <c r="C219" s="88" t="s">
        <v>56</v>
      </c>
      <c r="D219" s="88" t="s">
        <v>60</v>
      </c>
      <c r="E219" s="88" t="s">
        <v>58</v>
      </c>
      <c r="F219" s="10">
        <v>43312</v>
      </c>
      <c r="G219" s="88" t="s">
        <v>116</v>
      </c>
      <c r="H219" s="88" t="s">
        <v>14</v>
      </c>
      <c r="I219" s="89">
        <v>4634.9942062572418</v>
      </c>
      <c r="J219" s="89">
        <v>2282.63</v>
      </c>
      <c r="K219" s="90">
        <f t="shared" si="2"/>
        <v>0.50752257749999996</v>
      </c>
      <c r="L219" s="89">
        <v>393.89710312862093</v>
      </c>
      <c r="M219" s="110">
        <f t="shared" si="3"/>
        <v>8.498329999999997E-2</v>
      </c>
      <c r="N219" s="11">
        <v>-69.005793742758215</v>
      </c>
      <c r="O219" s="11">
        <v>0</v>
      </c>
      <c r="P219" s="11"/>
      <c r="Q219" s="12"/>
    </row>
    <row r="220" spans="2:22" s="2" customFormat="1" ht="15.75" hidden="1" x14ac:dyDescent="0.25">
      <c r="B220" s="22"/>
      <c r="C220" s="88" t="s">
        <v>56</v>
      </c>
      <c r="D220" s="88" t="s">
        <v>57</v>
      </c>
      <c r="E220" s="88" t="s">
        <v>58</v>
      </c>
      <c r="F220" s="10">
        <v>43423</v>
      </c>
      <c r="G220" s="88" t="s">
        <v>372</v>
      </c>
      <c r="H220" s="88" t="s">
        <v>29</v>
      </c>
      <c r="I220" s="89">
        <v>24962.23</v>
      </c>
      <c r="J220" s="89">
        <v>11748.31</v>
      </c>
      <c r="K220" s="90">
        <f t="shared" si="2"/>
        <v>0.52935655187857822</v>
      </c>
      <c r="L220" s="89">
        <f>1455.331+250</f>
        <v>1705.3309999999999</v>
      </c>
      <c r="M220" s="110">
        <f t="shared" si="3"/>
        <v>6.8316452496431604E-2</v>
      </c>
      <c r="N220" s="11">
        <v>-1744.7299999999996</v>
      </c>
      <c r="O220" s="11">
        <v>250</v>
      </c>
      <c r="P220" s="11" t="s">
        <v>373</v>
      </c>
      <c r="Q220" s="12"/>
    </row>
    <row r="221" spans="2:22" s="2" customFormat="1" ht="15.75" hidden="1" x14ac:dyDescent="0.25">
      <c r="B221" s="22"/>
      <c r="C221" s="88" t="s">
        <v>56</v>
      </c>
      <c r="D221" s="88" t="s">
        <v>123</v>
      </c>
      <c r="E221" s="88" t="s">
        <v>72</v>
      </c>
      <c r="F221" s="10">
        <v>43384</v>
      </c>
      <c r="G221" s="88" t="s">
        <v>374</v>
      </c>
      <c r="H221" s="88" t="s">
        <v>15</v>
      </c>
      <c r="I221" s="89">
        <v>18983.080000000002</v>
      </c>
      <c r="J221" s="89">
        <v>11744.85</v>
      </c>
      <c r="K221" s="90">
        <f t="shared" si="2"/>
        <v>0.38129903050506031</v>
      </c>
      <c r="L221" s="89">
        <v>1596.961135573579</v>
      </c>
      <c r="M221" s="110">
        <f t="shared" si="3"/>
        <v>8.4125502056230012E-2</v>
      </c>
      <c r="N221" s="11">
        <v>-534.94272885284227</v>
      </c>
      <c r="O221" s="11">
        <v>0</v>
      </c>
      <c r="P221" s="11"/>
      <c r="Q221" s="12"/>
    </row>
    <row r="222" spans="2:22" s="2" customFormat="1" ht="15.75" hidden="1" x14ac:dyDescent="0.25">
      <c r="B222" s="22"/>
      <c r="C222" s="88" t="s">
        <v>100</v>
      </c>
      <c r="D222" s="88" t="s">
        <v>75</v>
      </c>
      <c r="E222" s="88" t="s">
        <v>72</v>
      </c>
      <c r="F222" s="10">
        <v>43240</v>
      </c>
      <c r="G222" s="88" t="s">
        <v>375</v>
      </c>
      <c r="H222" s="88" t="s">
        <v>412</v>
      </c>
      <c r="I222" s="89">
        <v>42669.740634005757</v>
      </c>
      <c r="J222" s="89">
        <f>24001.72+50</f>
        <v>24051.72</v>
      </c>
      <c r="K222" s="90">
        <f t="shared" si="2"/>
        <v>0.43632842284417539</v>
      </c>
      <c r="L222" s="89">
        <v>4032.66</v>
      </c>
      <c r="M222" s="110">
        <f t="shared" si="3"/>
        <v>9.4508659768748657E-2</v>
      </c>
      <c r="N222" s="11">
        <v>1448.76</v>
      </c>
      <c r="O222" s="11">
        <v>0</v>
      </c>
      <c r="P222" s="11" t="s">
        <v>376</v>
      </c>
      <c r="Q222" s="12"/>
    </row>
    <row r="223" spans="2:22" s="2" customFormat="1" ht="15.75" hidden="1" x14ac:dyDescent="0.25">
      <c r="B223" s="22"/>
      <c r="C223" s="88" t="s">
        <v>56</v>
      </c>
      <c r="D223" s="88" t="s">
        <v>282</v>
      </c>
      <c r="E223" s="88" t="s">
        <v>413</v>
      </c>
      <c r="F223" s="10">
        <v>43369</v>
      </c>
      <c r="G223" s="88" t="s">
        <v>377</v>
      </c>
      <c r="H223" s="88" t="s">
        <v>13</v>
      </c>
      <c r="I223" s="89">
        <v>4838.93</v>
      </c>
      <c r="J223" s="89">
        <v>3004.05</v>
      </c>
      <c r="K223" s="90">
        <f t="shared" si="2"/>
        <v>0.37919126749095355</v>
      </c>
      <c r="L223" s="89">
        <v>416.23663962920057</v>
      </c>
      <c r="M223" s="90">
        <f t="shared" si="3"/>
        <v>8.601832215576595E-2</v>
      </c>
      <c r="N223" s="11">
        <v>-242.30672074159884</v>
      </c>
      <c r="O223" s="11">
        <v>268.83</v>
      </c>
      <c r="P223" s="88" t="s">
        <v>378</v>
      </c>
      <c r="Q223" s="12"/>
    </row>
    <row r="224" spans="2:22" s="2" customFormat="1" ht="15.75" hidden="1" x14ac:dyDescent="0.25">
      <c r="B224" s="22"/>
      <c r="C224" s="88" t="s">
        <v>56</v>
      </c>
      <c r="D224" s="108" t="s">
        <v>68</v>
      </c>
      <c r="E224" s="108" t="s">
        <v>317</v>
      </c>
      <c r="F224" s="109">
        <v>43320</v>
      </c>
      <c r="G224" s="108" t="s">
        <v>379</v>
      </c>
      <c r="H224" s="108" t="s">
        <v>16</v>
      </c>
      <c r="I224" s="89">
        <v>24703.592120509846</v>
      </c>
      <c r="J224" s="89">
        <v>17748.52</v>
      </c>
      <c r="K224" s="90">
        <f t="shared" si="2"/>
        <v>0.2815409227363127</v>
      </c>
      <c r="L224" s="89">
        <f>1108.88606025492+47.33</f>
        <v>1156.21606025492</v>
      </c>
      <c r="M224" s="90">
        <f t="shared" si="3"/>
        <v>4.680356017111318E-2</v>
      </c>
      <c r="N224" s="11">
        <v>-2050.2678794901512</v>
      </c>
      <c r="O224" s="11">
        <v>47.33</v>
      </c>
      <c r="P224" s="11" t="s">
        <v>380</v>
      </c>
      <c r="Q224" s="12"/>
    </row>
    <row r="225" spans="2:17" s="2" customFormat="1" ht="15.75" hidden="1" x14ac:dyDescent="0.25">
      <c r="B225" s="22"/>
      <c r="C225" s="108" t="s">
        <v>358</v>
      </c>
      <c r="D225" s="108" t="s">
        <v>75</v>
      </c>
      <c r="E225" s="108" t="s">
        <v>182</v>
      </c>
      <c r="F225" s="109">
        <v>43385</v>
      </c>
      <c r="G225" s="108" t="s">
        <v>359</v>
      </c>
      <c r="H225" s="108" t="s">
        <v>403</v>
      </c>
      <c r="I225" s="89">
        <v>35398.485730926033</v>
      </c>
      <c r="J225" s="89">
        <v>14298.92</v>
      </c>
      <c r="K225" s="90">
        <f t="shared" si="2"/>
        <v>0.59605842722510338</v>
      </c>
      <c r="L225" s="89">
        <v>3943.052865463017</v>
      </c>
      <c r="M225" s="90">
        <f t="shared" si="3"/>
        <v>0.11139043899886804</v>
      </c>
      <c r="N225" s="11">
        <v>2645.065730926035</v>
      </c>
      <c r="O225" s="11">
        <v>0</v>
      </c>
      <c r="P225" s="11"/>
      <c r="Q225" s="12"/>
    </row>
    <row r="226" spans="2:17" s="2" customFormat="1" ht="15.75" hidden="1" x14ac:dyDescent="0.25">
      <c r="B226" s="22"/>
      <c r="C226" s="88" t="s">
        <v>56</v>
      </c>
      <c r="D226" s="108" t="s">
        <v>123</v>
      </c>
      <c r="E226" s="108" t="s">
        <v>317</v>
      </c>
      <c r="F226" s="109">
        <v>43420</v>
      </c>
      <c r="G226" s="108" t="s">
        <v>381</v>
      </c>
      <c r="H226" s="108" t="s">
        <v>16</v>
      </c>
      <c r="I226" s="89">
        <v>17315.41</v>
      </c>
      <c r="J226" s="89">
        <v>9989.6200000000008</v>
      </c>
      <c r="K226" s="90">
        <f t="shared" si="2"/>
        <v>0.42307921094562584</v>
      </c>
      <c r="L226" s="89">
        <v>1593.8971778679013</v>
      </c>
      <c r="M226" s="90">
        <f t="shared" si="3"/>
        <v>9.2050790473220179E-2</v>
      </c>
      <c r="N226" s="11">
        <v>655.4603557358023</v>
      </c>
      <c r="O226" s="11">
        <v>0</v>
      </c>
      <c r="P226" s="11" t="s">
        <v>382</v>
      </c>
      <c r="Q226" s="12"/>
    </row>
    <row r="227" spans="2:17" s="2" customFormat="1" ht="15.75" hidden="1" x14ac:dyDescent="0.25">
      <c r="B227" s="22"/>
      <c r="C227" s="88" t="s">
        <v>56</v>
      </c>
      <c r="D227" s="108" t="s">
        <v>60</v>
      </c>
      <c r="E227" s="108" t="s">
        <v>414</v>
      </c>
      <c r="F227" s="10">
        <v>43447</v>
      </c>
      <c r="G227" s="88" t="s">
        <v>383</v>
      </c>
      <c r="H227" s="88" t="s">
        <v>28</v>
      </c>
      <c r="I227" s="89">
        <v>16685.97914252607</v>
      </c>
      <c r="J227" s="89">
        <v>7207.21</v>
      </c>
      <c r="K227" s="90">
        <f t="shared" si="2"/>
        <v>0.56806790069444446</v>
      </c>
      <c r="L227" s="89">
        <v>1326.5395712630352</v>
      </c>
      <c r="M227" s="90">
        <f t="shared" si="3"/>
        <v>7.9500253472222185E-2</v>
      </c>
      <c r="N227" s="11">
        <v>-128.02085747392994</v>
      </c>
      <c r="O227" s="11">
        <v>0</v>
      </c>
      <c r="P227" s="11"/>
      <c r="Q227" s="12"/>
    </row>
    <row r="228" spans="2:17" s="2" customFormat="1" ht="15.75" hidden="1" x14ac:dyDescent="0.25">
      <c r="B228" s="22"/>
      <c r="C228" s="108" t="s">
        <v>56</v>
      </c>
      <c r="D228" s="108" t="s">
        <v>75</v>
      </c>
      <c r="E228" s="108" t="s">
        <v>414</v>
      </c>
      <c r="F228" s="109">
        <v>43321</v>
      </c>
      <c r="G228" s="108" t="s">
        <v>135</v>
      </c>
      <c r="H228" s="108" t="s">
        <v>14</v>
      </c>
      <c r="I228" s="89">
        <v>11776.593279258399</v>
      </c>
      <c r="J228" s="89">
        <v>7688.11</v>
      </c>
      <c r="K228" s="90">
        <f t="shared" si="2"/>
        <v>0.34717028790144827</v>
      </c>
      <c r="L228" s="89">
        <f>352.6966396292+246.45</f>
        <v>599.14663962919997</v>
      </c>
      <c r="M228" s="90">
        <f t="shared" si="3"/>
        <v>5.0876057737720366E-2</v>
      </c>
      <c r="N228" s="11">
        <v>-1957.406720741601</v>
      </c>
      <c r="O228" s="11">
        <v>246.45</v>
      </c>
      <c r="P228" s="11" t="s">
        <v>384</v>
      </c>
      <c r="Q228" s="12"/>
    </row>
    <row r="229" spans="2:17" s="2" customFormat="1" ht="15.75" hidden="1" x14ac:dyDescent="0.25">
      <c r="B229" s="22"/>
      <c r="C229" s="88" t="s">
        <v>92</v>
      </c>
      <c r="D229" s="108" t="s">
        <v>282</v>
      </c>
      <c r="E229" s="108" t="s">
        <v>72</v>
      </c>
      <c r="F229" s="10">
        <v>43386</v>
      </c>
      <c r="G229" s="88" t="s">
        <v>385</v>
      </c>
      <c r="H229" s="88" t="s">
        <v>15</v>
      </c>
      <c r="I229" s="89">
        <v>8376.9633507853396</v>
      </c>
      <c r="J229" s="89">
        <v>3562.85</v>
      </c>
      <c r="K229" s="90">
        <f t="shared" si="2"/>
        <v>0.57468478124999989</v>
      </c>
      <c r="L229" s="89">
        <v>1332.0616753926702</v>
      </c>
      <c r="M229" s="90">
        <f t="shared" si="3"/>
        <v>0.15901486250000002</v>
      </c>
      <c r="N229" s="11">
        <v>1279.6633507853403</v>
      </c>
      <c r="O229" s="11">
        <v>0</v>
      </c>
      <c r="P229" s="11"/>
      <c r="Q229" s="12"/>
    </row>
    <row r="230" spans="2:17" s="2" customFormat="1" ht="15.75" hidden="1" x14ac:dyDescent="0.25">
      <c r="B230" s="22"/>
      <c r="C230" s="88" t="s">
        <v>264</v>
      </c>
      <c r="D230" s="108" t="s">
        <v>60</v>
      </c>
      <c r="E230" s="108" t="s">
        <v>58</v>
      </c>
      <c r="F230" s="10">
        <v>43183</v>
      </c>
      <c r="G230" s="88" t="s">
        <v>386</v>
      </c>
      <c r="H230" s="88" t="s">
        <v>14</v>
      </c>
      <c r="I230" s="89">
        <v>13953.488372093025</v>
      </c>
      <c r="J230" s="89">
        <v>5450.47</v>
      </c>
      <c r="K230" s="90">
        <f t="shared" si="2"/>
        <v>0.60938298333333341</v>
      </c>
      <c r="L230" s="89">
        <v>1452.344186046512</v>
      </c>
      <c r="M230" s="90">
        <f t="shared" si="3"/>
        <v>0.10408466666666669</v>
      </c>
      <c r="N230" s="11">
        <v>810.28837209302401</v>
      </c>
      <c r="O230" s="11">
        <v>0</v>
      </c>
      <c r="P230" s="11"/>
      <c r="Q230" s="12"/>
    </row>
    <row r="231" spans="2:17" s="2" customFormat="1" ht="15.75" hidden="1" x14ac:dyDescent="0.25">
      <c r="B231" s="22"/>
      <c r="C231" s="88" t="s">
        <v>56</v>
      </c>
      <c r="D231" s="88" t="s">
        <v>75</v>
      </c>
      <c r="E231" s="88" t="s">
        <v>387</v>
      </c>
      <c r="F231" s="10">
        <v>43461</v>
      </c>
      <c r="G231" s="88" t="s">
        <v>388</v>
      </c>
      <c r="H231" s="88" t="s">
        <v>15</v>
      </c>
      <c r="I231" s="89">
        <v>18133.024333719583</v>
      </c>
      <c r="J231" s="89">
        <v>7499.04</v>
      </c>
      <c r="K231" s="90">
        <f t="shared" si="2"/>
        <v>0.58644295281427328</v>
      </c>
      <c r="L231" s="89">
        <v>2771.2721668597919</v>
      </c>
      <c r="M231" s="90">
        <f t="shared" si="3"/>
        <v>0.15283011349113035</v>
      </c>
      <c r="N231" s="11">
        <v>2464.924333719584</v>
      </c>
      <c r="O231" s="11">
        <v>0</v>
      </c>
      <c r="P231" s="11"/>
      <c r="Q231" s="12"/>
    </row>
    <row r="232" spans="2:17" s="2" customFormat="1" ht="15.75" hidden="1" x14ac:dyDescent="0.25">
      <c r="B232" s="22"/>
      <c r="C232" s="88" t="s">
        <v>162</v>
      </c>
      <c r="D232" s="88" t="s">
        <v>57</v>
      </c>
      <c r="E232" s="88" t="s">
        <v>76</v>
      </c>
      <c r="F232" s="10">
        <v>43367</v>
      </c>
      <c r="G232" s="88" t="s">
        <v>389</v>
      </c>
      <c r="H232" s="88" t="s">
        <v>18</v>
      </c>
      <c r="I232" s="89">
        <v>9500.2900000000009</v>
      </c>
      <c r="J232" s="89">
        <v>5610.19</v>
      </c>
      <c r="K232" s="90">
        <f t="shared" si="2"/>
        <v>0.40947171086356321</v>
      </c>
      <c r="L232" s="89">
        <f>378.79+188.13</f>
        <v>566.92000000000007</v>
      </c>
      <c r="M232" s="90">
        <f t="shared" si="3"/>
        <v>5.9673967847297296E-2</v>
      </c>
      <c r="N232" s="11">
        <v>-945.25148297749365</v>
      </c>
      <c r="O232" s="11">
        <v>188.13</v>
      </c>
      <c r="P232" s="11"/>
      <c r="Q232" s="12"/>
    </row>
    <row r="233" spans="2:17" s="2" customFormat="1" ht="15.75" hidden="1" x14ac:dyDescent="0.25">
      <c r="B233" s="22"/>
      <c r="C233" s="88" t="s">
        <v>56</v>
      </c>
      <c r="D233" s="88" t="s">
        <v>75</v>
      </c>
      <c r="E233" s="88" t="s">
        <v>414</v>
      </c>
      <c r="F233" s="10">
        <v>43461</v>
      </c>
      <c r="G233" s="88" t="s">
        <v>390</v>
      </c>
      <c r="H233" s="88" t="s">
        <v>28</v>
      </c>
      <c r="I233" s="89">
        <v>18920.973348783311</v>
      </c>
      <c r="J233" s="89">
        <v>7377.09</v>
      </c>
      <c r="K233" s="90">
        <f t="shared" si="2"/>
        <v>0.61011043861153291</v>
      </c>
      <c r="L233" s="89">
        <v>2841.2866743916557</v>
      </c>
      <c r="M233" s="90">
        <f>L233/I233</f>
        <v>0.15016598892753902</v>
      </c>
      <c r="N233" s="11">
        <v>2477.9733487833109</v>
      </c>
      <c r="O233" s="11">
        <v>0</v>
      </c>
      <c r="P233" s="11"/>
      <c r="Q233" s="12"/>
    </row>
    <row r="234" spans="2:17" s="2" customFormat="1" ht="15.75" hidden="1" x14ac:dyDescent="0.25">
      <c r="B234" s="22"/>
      <c r="C234" s="88" t="s">
        <v>92</v>
      </c>
      <c r="D234" s="88" t="s">
        <v>60</v>
      </c>
      <c r="E234" s="88" t="s">
        <v>58</v>
      </c>
      <c r="F234" s="10">
        <v>43451</v>
      </c>
      <c r="G234" s="88" t="s">
        <v>391</v>
      </c>
      <c r="H234" s="88" t="s">
        <v>28</v>
      </c>
      <c r="I234" s="89">
        <v>45607.911576497958</v>
      </c>
      <c r="J234" s="89">
        <v>19749.669999999998</v>
      </c>
      <c r="K234" s="90">
        <f t="shared" si="2"/>
        <v>0.56696833252551015</v>
      </c>
      <c r="L234" s="89">
        <v>4345.3757882489799</v>
      </c>
      <c r="M234" s="90">
        <f>L234/I234</f>
        <v>9.5276798214285682E-2</v>
      </c>
      <c r="N234" s="11">
        <v>1699.7115764979608</v>
      </c>
      <c r="O234" s="11">
        <v>0</v>
      </c>
      <c r="P234" s="11" t="s">
        <v>392</v>
      </c>
      <c r="Q234" s="12"/>
    </row>
    <row r="235" spans="2:17" s="2" customFormat="1" ht="15.75" hidden="1" x14ac:dyDescent="0.25">
      <c r="B235" s="22"/>
      <c r="C235" s="88" t="s">
        <v>393</v>
      </c>
      <c r="D235" s="88" t="s">
        <v>68</v>
      </c>
      <c r="E235" s="88" t="s">
        <v>72</v>
      </c>
      <c r="F235" s="10">
        <v>43322</v>
      </c>
      <c r="G235" s="88" t="s">
        <v>394</v>
      </c>
      <c r="H235" s="88" t="s">
        <v>15</v>
      </c>
      <c r="I235" s="89">
        <v>11681.938834391231</v>
      </c>
      <c r="J235" s="89">
        <v>9438.82</v>
      </c>
      <c r="K235" s="90">
        <f t="shared" si="2"/>
        <v>0.19201597150873323</v>
      </c>
      <c r="L235" s="89">
        <f>378.26+742.87</f>
        <v>1121.1300000000001</v>
      </c>
      <c r="M235" s="90">
        <f>L235/I235</f>
        <v>9.5971226685371058E-2</v>
      </c>
      <c r="N235" s="11">
        <v>-3232.6</v>
      </c>
      <c r="O235" s="11">
        <v>742.87</v>
      </c>
      <c r="P235" s="11"/>
      <c r="Q235" s="12"/>
    </row>
    <row r="236" spans="2:17" s="2" customFormat="1" ht="15.75" hidden="1" x14ac:dyDescent="0.25">
      <c r="B236" s="22"/>
      <c r="C236" s="88" t="s">
        <v>56</v>
      </c>
      <c r="D236" s="88" t="s">
        <v>83</v>
      </c>
      <c r="E236" s="88" t="s">
        <v>72</v>
      </c>
      <c r="F236" s="10">
        <v>43104</v>
      </c>
      <c r="G236" s="88" t="s">
        <v>395</v>
      </c>
      <c r="H236" s="88" t="s">
        <v>16</v>
      </c>
      <c r="I236" s="89">
        <v>33676.28</v>
      </c>
      <c r="J236" s="89">
        <v>19189.23</v>
      </c>
      <c r="K236" s="90">
        <f t="shared" si="2"/>
        <v>0.43018557869218332</v>
      </c>
      <c r="L236" s="89"/>
      <c r="M236" s="90">
        <f t="shared" ref="M236:M241" si="4">L236/I236</f>
        <v>0</v>
      </c>
      <c r="N236" s="11"/>
      <c r="O236" s="11"/>
      <c r="P236" s="11"/>
      <c r="Q236" s="12"/>
    </row>
    <row r="237" spans="2:17" s="2" customFormat="1" ht="15.75" hidden="1" x14ac:dyDescent="0.25">
      <c r="B237" s="22"/>
      <c r="C237" s="88" t="s">
        <v>56</v>
      </c>
      <c r="D237" s="88" t="s">
        <v>83</v>
      </c>
      <c r="E237" s="88" t="s">
        <v>72</v>
      </c>
      <c r="F237" s="10">
        <v>43109</v>
      </c>
      <c r="G237" s="88" t="s">
        <v>396</v>
      </c>
      <c r="H237" s="88" t="s">
        <v>412</v>
      </c>
      <c r="I237" s="89">
        <v>22319.07</v>
      </c>
      <c r="J237" s="89">
        <v>12182.85</v>
      </c>
      <c r="K237" s="90">
        <f t="shared" si="2"/>
        <v>0.45415064337358141</v>
      </c>
      <c r="L237" s="89"/>
      <c r="M237" s="90">
        <f t="shared" si="4"/>
        <v>0</v>
      </c>
      <c r="N237" s="11"/>
      <c r="O237" s="11"/>
      <c r="P237" s="11"/>
      <c r="Q237" s="12"/>
    </row>
    <row r="238" spans="2:17" s="2" customFormat="1" ht="15.75" hidden="1" x14ac:dyDescent="0.25">
      <c r="B238" s="22"/>
      <c r="C238" s="88" t="s">
        <v>56</v>
      </c>
      <c r="D238" s="88" t="s">
        <v>83</v>
      </c>
      <c r="E238" s="88" t="s">
        <v>72</v>
      </c>
      <c r="F238" s="10">
        <v>43474</v>
      </c>
      <c r="G238" s="88" t="s">
        <v>397</v>
      </c>
      <c r="H238" s="88" t="s">
        <v>412</v>
      </c>
      <c r="I238" s="89">
        <v>46246.51</v>
      </c>
      <c r="J238" s="89">
        <v>23444.39</v>
      </c>
      <c r="K238" s="90">
        <f t="shared" si="2"/>
        <v>0.49305601655130304</v>
      </c>
      <c r="L238" s="89"/>
      <c r="M238" s="90">
        <f t="shared" si="4"/>
        <v>0</v>
      </c>
      <c r="N238" s="11"/>
      <c r="O238" s="11"/>
      <c r="P238" s="11"/>
      <c r="Q238" s="12"/>
    </row>
    <row r="239" spans="2:17" s="2" customFormat="1" ht="15.75" hidden="1" x14ac:dyDescent="0.25">
      <c r="B239" s="22"/>
      <c r="C239" s="88" t="s">
        <v>56</v>
      </c>
      <c r="D239" s="88" t="s">
        <v>123</v>
      </c>
      <c r="E239" s="88" t="s">
        <v>172</v>
      </c>
      <c r="F239" s="10">
        <v>43692</v>
      </c>
      <c r="G239" s="88" t="s">
        <v>398</v>
      </c>
      <c r="H239" s="88" t="s">
        <v>412</v>
      </c>
      <c r="I239" s="89">
        <v>48964.08</v>
      </c>
      <c r="J239" s="89">
        <v>27544.15</v>
      </c>
      <c r="K239" s="92">
        <f t="shared" si="2"/>
        <v>0.43746211508518079</v>
      </c>
      <c r="L239" s="89">
        <v>3930.01</v>
      </c>
      <c r="M239" s="90">
        <f t="shared" si="4"/>
        <v>8.0263123497878452E-2</v>
      </c>
      <c r="N239" s="11">
        <v>-1544.36</v>
      </c>
      <c r="O239" s="11">
        <v>0</v>
      </c>
      <c r="P239" s="11"/>
      <c r="Q239" s="12"/>
    </row>
    <row r="240" spans="2:17" s="2" customFormat="1" ht="15.75" hidden="1" x14ac:dyDescent="0.25">
      <c r="B240" s="22"/>
      <c r="C240" s="88" t="s">
        <v>56</v>
      </c>
      <c r="D240" s="88" t="s">
        <v>75</v>
      </c>
      <c r="E240" s="88" t="s">
        <v>182</v>
      </c>
      <c r="F240" s="10">
        <v>43260</v>
      </c>
      <c r="G240" s="88" t="s">
        <v>399</v>
      </c>
      <c r="H240" s="88" t="s">
        <v>22</v>
      </c>
      <c r="I240" s="89">
        <v>3883.2</v>
      </c>
      <c r="J240" s="89">
        <v>3441.55</v>
      </c>
      <c r="K240" s="92">
        <f t="shared" si="2"/>
        <v>0.11373351874742471</v>
      </c>
      <c r="L240" s="89">
        <v>364.02</v>
      </c>
      <c r="M240" s="90">
        <f t="shared" si="4"/>
        <v>9.3742274412855375E-2</v>
      </c>
      <c r="N240" s="11">
        <v>-2686.3</v>
      </c>
      <c r="O240" s="11">
        <v>1067.72</v>
      </c>
      <c r="P240" s="11"/>
      <c r="Q240" s="12"/>
    </row>
    <row r="241" spans="2:17" s="2" customFormat="1" ht="15.75" hidden="1" x14ac:dyDescent="0.25">
      <c r="B241" s="22"/>
      <c r="C241" s="2" t="s">
        <v>56</v>
      </c>
      <c r="D241" s="2" t="s">
        <v>75</v>
      </c>
      <c r="E241" s="2" t="s">
        <v>400</v>
      </c>
      <c r="F241" s="4">
        <v>43182</v>
      </c>
      <c r="G241" s="2" t="s">
        <v>313</v>
      </c>
      <c r="H241" s="2" t="s">
        <v>412</v>
      </c>
      <c r="I241" s="5">
        <v>17346.05</v>
      </c>
      <c r="J241" s="5">
        <v>9334.3799999999992</v>
      </c>
      <c r="K241" s="103">
        <f t="shared" si="2"/>
        <v>0.46187287595735055</v>
      </c>
      <c r="L241" s="5">
        <v>2192.75</v>
      </c>
      <c r="M241" s="103">
        <f t="shared" si="4"/>
        <v>0.12641206499462415</v>
      </c>
      <c r="N241" s="8">
        <v>653.30999999999995</v>
      </c>
      <c r="O241" s="8">
        <v>0</v>
      </c>
      <c r="P241" s="8"/>
      <c r="Q241" s="12"/>
    </row>
    <row r="242" spans="2:17" s="2" customFormat="1" ht="15.75" hidden="1" x14ac:dyDescent="0.25">
      <c r="B242" s="22"/>
      <c r="C242" s="88"/>
      <c r="D242" s="88"/>
      <c r="E242" s="88"/>
      <c r="F242" s="10"/>
      <c r="G242" s="88"/>
      <c r="H242" s="22"/>
      <c r="I242" s="89"/>
      <c r="J242" s="89"/>
      <c r="K242" s="90"/>
      <c r="L242" s="89"/>
      <c r="M242" s="90"/>
      <c r="N242" s="11"/>
      <c r="O242" s="91"/>
      <c r="P242" s="91"/>
      <c r="Q242" s="12"/>
    </row>
    <row r="243" spans="2:17" s="2" customFormat="1" ht="15.75" hidden="1" x14ac:dyDescent="0.25">
      <c r="B243" s="22"/>
      <c r="C243" s="88"/>
      <c r="D243" s="88"/>
      <c r="E243" s="88"/>
      <c r="F243" s="10"/>
      <c r="G243" s="88"/>
      <c r="H243" s="22"/>
      <c r="I243" s="89"/>
      <c r="J243" s="89"/>
      <c r="K243" s="90"/>
      <c r="L243" s="89"/>
      <c r="M243" s="90"/>
      <c r="N243" s="11"/>
      <c r="O243" s="91"/>
      <c r="P243" s="91"/>
      <c r="Q243" s="12"/>
    </row>
    <row r="244" spans="2:17" s="2" customFormat="1" ht="15.75" hidden="1" x14ac:dyDescent="0.25">
      <c r="B244" s="22"/>
      <c r="C244" s="88"/>
      <c r="D244" s="88"/>
      <c r="E244" s="88"/>
      <c r="F244" s="10"/>
      <c r="G244" s="88"/>
      <c r="H244" s="22"/>
      <c r="I244" s="89"/>
      <c r="J244" s="89"/>
      <c r="K244" s="90"/>
      <c r="L244" s="89"/>
      <c r="M244" s="90"/>
      <c r="N244" s="11"/>
      <c r="O244" s="91"/>
      <c r="P244" s="91"/>
      <c r="Q244" s="12"/>
    </row>
    <row r="245" spans="2:17" s="2" customFormat="1" ht="15.75" hidden="1" x14ac:dyDescent="0.25">
      <c r="B245" s="22"/>
      <c r="C245" s="88"/>
      <c r="D245" s="88"/>
      <c r="E245" s="88"/>
      <c r="F245" s="10"/>
      <c r="G245" s="88"/>
      <c r="H245" s="22"/>
      <c r="I245" s="89"/>
      <c r="J245" s="89"/>
      <c r="K245" s="90"/>
      <c r="L245" s="89"/>
      <c r="M245" s="90"/>
      <c r="N245" s="11"/>
      <c r="O245" s="91"/>
      <c r="P245" s="91"/>
      <c r="Q245" s="12"/>
    </row>
    <row r="246" spans="2:17" s="2" customFormat="1" ht="15.75" hidden="1" x14ac:dyDescent="0.25">
      <c r="B246" s="22"/>
      <c r="C246" s="88"/>
      <c r="D246" s="88"/>
      <c r="E246" s="88"/>
      <c r="F246" s="10"/>
      <c r="G246" s="88"/>
      <c r="H246" s="22"/>
      <c r="I246" s="89"/>
      <c r="J246" s="89"/>
      <c r="K246" s="90"/>
      <c r="L246" s="89"/>
      <c r="M246" s="90"/>
      <c r="N246" s="11"/>
      <c r="O246" s="91"/>
      <c r="P246" s="91"/>
      <c r="Q246" s="12"/>
    </row>
    <row r="247" spans="2:17" s="2" customFormat="1" ht="15.75" hidden="1" x14ac:dyDescent="0.25">
      <c r="B247" s="22"/>
      <c r="C247" s="88"/>
      <c r="D247" s="88"/>
      <c r="E247" s="88"/>
      <c r="F247" s="10"/>
      <c r="G247" s="88"/>
      <c r="H247" s="22"/>
      <c r="I247" s="89"/>
      <c r="J247" s="89"/>
      <c r="K247" s="90"/>
      <c r="L247" s="89"/>
      <c r="M247" s="90"/>
      <c r="N247" s="11"/>
      <c r="O247" s="91"/>
      <c r="P247" s="91"/>
      <c r="Q247" s="12"/>
    </row>
    <row r="248" spans="2:17" s="2" customFormat="1" ht="15.75" hidden="1" x14ac:dyDescent="0.25">
      <c r="B248" s="22"/>
      <c r="C248" s="88"/>
      <c r="D248" s="88"/>
      <c r="E248" s="88"/>
      <c r="F248" s="10"/>
      <c r="G248" s="88"/>
      <c r="H248" s="22"/>
      <c r="I248" s="89"/>
      <c r="J248" s="89"/>
      <c r="K248" s="90"/>
      <c r="L248" s="89"/>
      <c r="M248" s="90"/>
      <c r="N248" s="11"/>
      <c r="O248" s="91"/>
      <c r="P248" s="91"/>
      <c r="Q248" s="12"/>
    </row>
    <row r="249" spans="2:17" s="2" customFormat="1" ht="15.75" hidden="1" x14ac:dyDescent="0.25">
      <c r="B249" s="22"/>
      <c r="C249" s="88"/>
      <c r="D249" s="88"/>
      <c r="E249" s="88"/>
      <c r="F249" s="10"/>
      <c r="G249" s="88"/>
      <c r="H249" s="22"/>
      <c r="I249" s="89"/>
      <c r="J249" s="89"/>
      <c r="K249" s="90"/>
      <c r="L249" s="89"/>
      <c r="M249" s="90"/>
      <c r="N249" s="11"/>
      <c r="O249" s="91"/>
      <c r="P249" s="91"/>
      <c r="Q249" s="12"/>
    </row>
    <row r="250" spans="2:17" s="2" customFormat="1" ht="15.75" hidden="1" x14ac:dyDescent="0.25">
      <c r="B250" s="22"/>
      <c r="C250" s="88"/>
      <c r="D250" s="88"/>
      <c r="E250" s="88"/>
      <c r="F250" s="10"/>
      <c r="G250" s="88"/>
      <c r="H250" s="22"/>
      <c r="I250" s="89"/>
      <c r="J250" s="89"/>
      <c r="K250" s="90"/>
      <c r="L250" s="89"/>
      <c r="M250" s="90"/>
      <c r="N250" s="11"/>
      <c r="O250" s="91"/>
      <c r="P250" s="91"/>
      <c r="Q250" s="12"/>
    </row>
    <row r="251" spans="2:17" s="2" customFormat="1" ht="15.75" hidden="1" x14ac:dyDescent="0.25">
      <c r="B251" s="22"/>
      <c r="C251" s="88"/>
      <c r="D251" s="88"/>
      <c r="E251" s="88"/>
      <c r="F251" s="10"/>
      <c r="G251" s="88"/>
      <c r="H251" s="22"/>
      <c r="I251" s="89"/>
      <c r="J251" s="89"/>
      <c r="K251" s="90"/>
      <c r="L251" s="89"/>
      <c r="M251" s="90"/>
      <c r="N251" s="11"/>
      <c r="O251" s="91"/>
      <c r="P251" s="91"/>
      <c r="Q251" s="12"/>
    </row>
    <row r="252" spans="2:17" s="2" customFormat="1" ht="15.75" hidden="1" x14ac:dyDescent="0.25">
      <c r="B252" s="22"/>
      <c r="C252" s="88"/>
      <c r="D252" s="88"/>
      <c r="E252" s="88"/>
      <c r="F252" s="10"/>
      <c r="G252" s="88"/>
      <c r="H252" s="22"/>
      <c r="I252" s="89"/>
      <c r="J252" s="89"/>
      <c r="K252" s="90"/>
      <c r="L252" s="89"/>
      <c r="M252" s="90"/>
      <c r="N252" s="11"/>
      <c r="O252" s="91"/>
      <c r="P252" s="91"/>
      <c r="Q252" s="12"/>
    </row>
    <row r="253" spans="2:17" s="2" customFormat="1" ht="15.75" hidden="1" x14ac:dyDescent="0.25">
      <c r="B253" s="22"/>
      <c r="C253" s="88"/>
      <c r="D253" s="88"/>
      <c r="E253" s="88"/>
      <c r="F253" s="10"/>
      <c r="G253" s="88"/>
      <c r="H253" s="22"/>
      <c r="I253" s="89"/>
      <c r="J253" s="89"/>
      <c r="K253" s="90"/>
      <c r="L253" s="89"/>
      <c r="M253" s="90"/>
      <c r="N253" s="11"/>
      <c r="O253" s="91"/>
      <c r="P253" s="91"/>
      <c r="Q253" s="12"/>
    </row>
    <row r="254" spans="2:17" s="2" customFormat="1" ht="15.75" hidden="1" x14ac:dyDescent="0.25">
      <c r="B254" s="22"/>
      <c r="C254" s="88"/>
      <c r="D254" s="88"/>
      <c r="E254" s="88"/>
      <c r="F254" s="10"/>
      <c r="G254" s="88"/>
      <c r="H254" s="22"/>
      <c r="I254" s="89"/>
      <c r="J254" s="89"/>
      <c r="K254" s="90"/>
      <c r="L254" s="89"/>
      <c r="M254" s="90"/>
      <c r="N254" s="11"/>
      <c r="O254" s="91"/>
      <c r="P254" s="91"/>
      <c r="Q254" s="12"/>
    </row>
    <row r="255" spans="2:17" s="2" customFormat="1" ht="15.75" hidden="1" x14ac:dyDescent="0.25">
      <c r="B255" s="22"/>
      <c r="C255" s="88"/>
      <c r="D255" s="88"/>
      <c r="E255" s="88"/>
      <c r="F255" s="10"/>
      <c r="G255" s="88"/>
      <c r="H255" s="22"/>
      <c r="I255" s="89"/>
      <c r="J255" s="89"/>
      <c r="K255" s="90"/>
      <c r="L255" s="89"/>
      <c r="M255" s="90"/>
      <c r="N255" s="11"/>
      <c r="O255" s="91"/>
      <c r="P255" s="91"/>
      <c r="Q255" s="12"/>
    </row>
    <row r="256" spans="2:17" s="2" customFormat="1" ht="15.75" hidden="1" x14ac:dyDescent="0.25">
      <c r="B256" s="22"/>
      <c r="C256" s="88"/>
      <c r="D256" s="88"/>
      <c r="E256" s="88"/>
      <c r="F256" s="10"/>
      <c r="G256" s="88"/>
      <c r="H256" s="22"/>
      <c r="I256" s="89"/>
      <c r="J256" s="89"/>
      <c r="K256" s="90"/>
      <c r="L256" s="89"/>
      <c r="M256" s="90"/>
      <c r="N256" s="11"/>
      <c r="O256" s="91"/>
      <c r="P256" s="91"/>
      <c r="Q256" s="12"/>
    </row>
    <row r="257" spans="2:17" s="2" customFormat="1" ht="15.75" hidden="1" x14ac:dyDescent="0.25">
      <c r="B257" s="22"/>
      <c r="C257" s="88"/>
      <c r="D257" s="88"/>
      <c r="E257" s="88"/>
      <c r="F257" s="10"/>
      <c r="G257" s="88"/>
      <c r="H257" s="22"/>
      <c r="I257" s="89"/>
      <c r="J257" s="89"/>
      <c r="K257" s="90"/>
      <c r="L257" s="89"/>
      <c r="M257" s="90"/>
      <c r="N257" s="11"/>
      <c r="O257" s="91"/>
      <c r="P257" s="91"/>
      <c r="Q257" s="12"/>
    </row>
    <row r="258" spans="2:17" s="2" customFormat="1" ht="15.75" hidden="1" x14ac:dyDescent="0.25">
      <c r="B258" s="22"/>
      <c r="C258" s="88"/>
      <c r="D258" s="88"/>
      <c r="E258" s="88"/>
      <c r="F258" s="10"/>
      <c r="G258" s="88"/>
      <c r="H258" s="22"/>
      <c r="I258" s="89"/>
      <c r="J258" s="89"/>
      <c r="K258" s="90"/>
      <c r="L258" s="89"/>
      <c r="M258" s="90"/>
      <c r="N258" s="11"/>
      <c r="O258" s="91"/>
      <c r="P258" s="91"/>
      <c r="Q258" s="12"/>
    </row>
    <row r="259" spans="2:17" s="2" customFormat="1" ht="15.75" hidden="1" x14ac:dyDescent="0.25">
      <c r="B259" s="22"/>
      <c r="C259" s="88"/>
      <c r="D259" s="88"/>
      <c r="E259" s="88"/>
      <c r="F259" s="10"/>
      <c r="G259" s="88"/>
      <c r="H259" s="22"/>
      <c r="I259" s="89"/>
      <c r="J259" s="89"/>
      <c r="K259" s="90"/>
      <c r="L259" s="89"/>
      <c r="M259" s="90"/>
      <c r="N259" s="11"/>
      <c r="O259" s="91"/>
      <c r="P259" s="91"/>
      <c r="Q259" s="12"/>
    </row>
    <row r="260" spans="2:17" s="2" customFormat="1" ht="15.75" hidden="1" x14ac:dyDescent="0.25">
      <c r="B260" s="22"/>
      <c r="C260" s="88"/>
      <c r="D260" s="88"/>
      <c r="E260" s="88"/>
      <c r="F260" s="10"/>
      <c r="G260" s="88"/>
      <c r="H260" s="22"/>
      <c r="I260" s="89"/>
      <c r="J260" s="89"/>
      <c r="K260" s="90"/>
      <c r="L260" s="89"/>
      <c r="M260" s="90"/>
      <c r="N260" s="11"/>
      <c r="O260" s="91"/>
      <c r="P260" s="91"/>
      <c r="Q260" s="12"/>
    </row>
    <row r="261" spans="2:17" s="2" customFormat="1" ht="15.75" hidden="1" x14ac:dyDescent="0.25">
      <c r="B261" s="22"/>
      <c r="C261" s="88"/>
      <c r="D261" s="88"/>
      <c r="E261" s="88"/>
      <c r="F261" s="10"/>
      <c r="G261" s="88"/>
      <c r="H261" s="22"/>
      <c r="I261" s="89"/>
      <c r="J261" s="89"/>
      <c r="K261" s="90"/>
      <c r="L261" s="89"/>
      <c r="M261" s="90"/>
      <c r="N261" s="11"/>
      <c r="O261" s="91"/>
      <c r="P261" s="91"/>
      <c r="Q261" s="12"/>
    </row>
    <row r="262" spans="2:17" s="2" customFormat="1" ht="15.75" hidden="1" x14ac:dyDescent="0.25">
      <c r="B262" s="22"/>
      <c r="C262" s="88"/>
      <c r="D262" s="88"/>
      <c r="E262" s="88"/>
      <c r="F262" s="10"/>
      <c r="G262" s="88"/>
      <c r="H262" s="22"/>
      <c r="I262" s="89"/>
      <c r="J262" s="89"/>
      <c r="K262" s="90"/>
      <c r="L262" s="89"/>
      <c r="M262" s="90"/>
      <c r="N262" s="11"/>
      <c r="O262" s="91"/>
      <c r="P262" s="91"/>
      <c r="Q262" s="12"/>
    </row>
    <row r="263" spans="2:17" s="2" customFormat="1" ht="15.75" hidden="1" x14ac:dyDescent="0.25">
      <c r="B263" s="22"/>
      <c r="C263" s="88"/>
      <c r="D263" s="88"/>
      <c r="E263" s="88"/>
      <c r="F263" s="10"/>
      <c r="G263" s="88"/>
      <c r="H263" s="22"/>
      <c r="I263" s="89"/>
      <c r="J263" s="89"/>
      <c r="K263" s="90"/>
      <c r="L263" s="89"/>
      <c r="M263" s="90"/>
      <c r="N263" s="11"/>
      <c r="O263" s="91"/>
      <c r="P263" s="91"/>
      <c r="Q263" s="12"/>
    </row>
    <row r="264" spans="2:17" s="2" customFormat="1" ht="15.75" hidden="1" x14ac:dyDescent="0.25">
      <c r="B264" s="22"/>
      <c r="C264" s="88"/>
      <c r="D264" s="88"/>
      <c r="E264" s="88"/>
      <c r="F264" s="10"/>
      <c r="G264" s="88"/>
      <c r="H264" s="22"/>
      <c r="I264" s="89"/>
      <c r="J264" s="89"/>
      <c r="K264" s="90"/>
      <c r="L264" s="89"/>
      <c r="M264" s="90"/>
      <c r="N264" s="11"/>
      <c r="O264" s="91"/>
      <c r="P264" s="91"/>
      <c r="Q264" s="12"/>
    </row>
    <row r="265" spans="2:17" s="2" customFormat="1" ht="15.75" hidden="1" x14ac:dyDescent="0.25">
      <c r="B265" s="22"/>
      <c r="C265" s="88"/>
      <c r="D265" s="88"/>
      <c r="E265" s="88"/>
      <c r="F265" s="10"/>
      <c r="G265" s="88"/>
      <c r="H265" s="22"/>
      <c r="I265" s="89"/>
      <c r="J265" s="89"/>
      <c r="K265" s="90"/>
      <c r="L265" s="89"/>
      <c r="M265" s="90"/>
      <c r="N265" s="11"/>
      <c r="O265" s="91"/>
      <c r="P265" s="91"/>
      <c r="Q265" s="12"/>
    </row>
    <row r="266" spans="2:17" s="2" customFormat="1" ht="15.75" hidden="1" x14ac:dyDescent="0.25">
      <c r="B266" s="22"/>
      <c r="C266" s="88"/>
      <c r="D266" s="88"/>
      <c r="E266" s="88"/>
      <c r="F266" s="10"/>
      <c r="G266" s="88"/>
      <c r="H266" s="22"/>
      <c r="I266" s="89"/>
      <c r="J266" s="89"/>
      <c r="K266" s="90"/>
      <c r="L266" s="89"/>
      <c r="M266" s="90"/>
      <c r="N266" s="11"/>
      <c r="O266" s="91"/>
      <c r="P266" s="91"/>
      <c r="Q266" s="12"/>
    </row>
    <row r="267" spans="2:17" s="2" customFormat="1" ht="15.75" hidden="1" x14ac:dyDescent="0.25">
      <c r="B267" s="22"/>
      <c r="C267" s="88"/>
      <c r="D267" s="88"/>
      <c r="E267" s="88"/>
      <c r="F267" s="10"/>
      <c r="G267" s="88"/>
      <c r="H267" s="22"/>
      <c r="I267" s="89"/>
      <c r="J267" s="89"/>
      <c r="K267" s="90"/>
      <c r="L267" s="89"/>
      <c r="M267" s="90"/>
      <c r="N267" s="11"/>
      <c r="O267" s="91"/>
      <c r="P267" s="91"/>
      <c r="Q267" s="12"/>
    </row>
    <row r="268" spans="2:17" s="2" customFormat="1" ht="15.75" hidden="1" x14ac:dyDescent="0.25">
      <c r="B268" s="22"/>
      <c r="C268" s="88"/>
      <c r="D268" s="88"/>
      <c r="E268" s="88"/>
      <c r="F268" s="10"/>
      <c r="G268" s="88"/>
      <c r="H268" s="22"/>
      <c r="I268" s="89"/>
      <c r="J268" s="89"/>
      <c r="K268" s="90"/>
      <c r="L268" s="89"/>
      <c r="M268" s="90"/>
      <c r="N268" s="11"/>
      <c r="O268" s="91"/>
      <c r="P268" s="91"/>
      <c r="Q268" s="12"/>
    </row>
    <row r="269" spans="2:17" s="2" customFormat="1" ht="15.75" hidden="1" x14ac:dyDescent="0.25">
      <c r="B269" s="22"/>
      <c r="C269" s="88"/>
      <c r="D269" s="88"/>
      <c r="E269" s="88"/>
      <c r="F269" s="10"/>
      <c r="G269" s="88"/>
      <c r="H269" s="22"/>
      <c r="I269" s="89"/>
      <c r="J269" s="89"/>
      <c r="K269" s="90"/>
      <c r="L269" s="89"/>
      <c r="M269" s="90"/>
      <c r="N269" s="11"/>
      <c r="O269" s="91"/>
      <c r="P269" s="91"/>
      <c r="Q269" s="12"/>
    </row>
    <row r="270" spans="2:17" s="2" customFormat="1" ht="15.75" hidden="1" x14ac:dyDescent="0.25">
      <c r="B270" s="22"/>
      <c r="C270" s="88"/>
      <c r="D270" s="88"/>
      <c r="E270" s="88"/>
      <c r="F270" s="10"/>
      <c r="G270" s="88"/>
      <c r="H270" s="22"/>
      <c r="I270" s="89"/>
      <c r="J270" s="89"/>
      <c r="K270" s="90"/>
      <c r="L270" s="93"/>
      <c r="M270" s="90"/>
      <c r="N270" s="11"/>
      <c r="O270" s="91"/>
      <c r="P270" s="91"/>
      <c r="Q270" s="12"/>
    </row>
    <row r="271" spans="2:17" s="2" customFormat="1" ht="15.75" hidden="1" x14ac:dyDescent="0.25">
      <c r="B271" s="22"/>
      <c r="C271" s="88"/>
      <c r="D271" s="88"/>
      <c r="E271" s="88"/>
      <c r="F271" s="10"/>
      <c r="G271" s="88"/>
      <c r="H271" s="22"/>
      <c r="I271" s="89"/>
      <c r="J271" s="89"/>
      <c r="K271" s="90"/>
      <c r="L271" s="89"/>
      <c r="M271" s="90"/>
      <c r="N271" s="11"/>
      <c r="O271" s="91"/>
      <c r="P271" s="91"/>
      <c r="Q271" s="12"/>
    </row>
    <row r="272" spans="2:17" s="2" customFormat="1" ht="15.75" hidden="1" x14ac:dyDescent="0.25">
      <c r="B272" s="22"/>
      <c r="C272" s="88"/>
      <c r="D272" s="88"/>
      <c r="E272" s="88"/>
      <c r="F272" s="10"/>
      <c r="G272" s="88"/>
      <c r="H272" s="22"/>
      <c r="I272" s="89"/>
      <c r="J272" s="89"/>
      <c r="K272" s="90"/>
      <c r="L272" s="89"/>
      <c r="M272" s="90"/>
      <c r="N272" s="11"/>
      <c r="O272" s="91"/>
      <c r="P272" s="91"/>
      <c r="Q272" s="12"/>
    </row>
    <row r="273" spans="2:17" s="2" customFormat="1" ht="15.75" hidden="1" x14ac:dyDescent="0.25">
      <c r="B273" s="22"/>
      <c r="C273" s="88"/>
      <c r="D273" s="88"/>
      <c r="E273" s="88"/>
      <c r="F273" s="10"/>
      <c r="G273" s="88"/>
      <c r="H273" s="22"/>
      <c r="I273" s="89"/>
      <c r="J273" s="89"/>
      <c r="K273" s="90"/>
      <c r="L273" s="89"/>
      <c r="M273" s="90"/>
      <c r="N273" s="11"/>
      <c r="O273" s="91"/>
      <c r="P273" s="91"/>
      <c r="Q273" s="12"/>
    </row>
    <row r="274" spans="2:17" s="2" customFormat="1" ht="15.75" hidden="1" x14ac:dyDescent="0.25">
      <c r="B274" s="22"/>
      <c r="C274" s="88"/>
      <c r="D274" s="88"/>
      <c r="E274" s="88"/>
      <c r="F274" s="10"/>
      <c r="G274" s="88"/>
      <c r="H274" s="22"/>
      <c r="I274" s="89"/>
      <c r="J274" s="89"/>
      <c r="K274" s="90"/>
      <c r="L274" s="89"/>
      <c r="M274" s="90"/>
      <c r="N274" s="11"/>
      <c r="O274" s="91"/>
      <c r="P274" s="91"/>
      <c r="Q274" s="12"/>
    </row>
    <row r="275" spans="2:17" s="2" customFormat="1" ht="15.75" hidden="1" x14ac:dyDescent="0.25">
      <c r="B275" s="22"/>
      <c r="C275" s="88"/>
      <c r="D275" s="88"/>
      <c r="E275" s="88"/>
      <c r="F275" s="10"/>
      <c r="G275" s="88"/>
      <c r="H275" s="22"/>
      <c r="I275" s="89"/>
      <c r="J275" s="89"/>
      <c r="K275" s="90"/>
      <c r="L275" s="89"/>
      <c r="M275" s="90"/>
      <c r="N275" s="11"/>
      <c r="O275" s="91"/>
      <c r="P275" s="91"/>
      <c r="Q275" s="12"/>
    </row>
    <row r="276" spans="2:17" s="2" customFormat="1" ht="15.75" hidden="1" x14ac:dyDescent="0.25">
      <c r="B276" s="22"/>
      <c r="C276" s="88"/>
      <c r="D276" s="88"/>
      <c r="E276" s="88"/>
      <c r="F276" s="10"/>
      <c r="G276" s="88"/>
      <c r="H276" s="22"/>
      <c r="I276" s="89"/>
      <c r="J276" s="89"/>
      <c r="K276" s="90"/>
      <c r="L276" s="89"/>
      <c r="M276" s="90"/>
      <c r="N276" s="11"/>
      <c r="O276" s="91"/>
      <c r="P276" s="91"/>
      <c r="Q276" s="12"/>
    </row>
    <row r="277" spans="2:17" s="2" customFormat="1" ht="15.75" hidden="1" x14ac:dyDescent="0.25">
      <c r="B277" s="22"/>
      <c r="C277" s="88"/>
      <c r="D277" s="88"/>
      <c r="E277" s="88"/>
      <c r="F277" s="10"/>
      <c r="G277" s="88"/>
      <c r="H277" s="22"/>
      <c r="I277" s="89"/>
      <c r="J277" s="89"/>
      <c r="K277" s="90"/>
      <c r="L277" s="89"/>
      <c r="M277" s="90"/>
      <c r="N277" s="11"/>
      <c r="O277" s="91"/>
      <c r="P277" s="91"/>
      <c r="Q277" s="12"/>
    </row>
    <row r="278" spans="2:17" s="2" customFormat="1" ht="15.75" x14ac:dyDescent="0.25">
      <c r="C278" s="3"/>
      <c r="D278" s="3"/>
      <c r="E278" s="3"/>
      <c r="F278" s="3"/>
      <c r="G278" s="21"/>
      <c r="H278" s="3"/>
      <c r="I278" s="18"/>
      <c r="J278" s="18"/>
      <c r="K278" s="16"/>
      <c r="L278" s="18"/>
      <c r="M278" s="16"/>
      <c r="N278" s="19"/>
      <c r="O278" s="19"/>
      <c r="P278" s="19"/>
      <c r="Q278" s="8"/>
    </row>
    <row r="279" spans="2:17" s="2" customFormat="1" ht="15.75" x14ac:dyDescent="0.25">
      <c r="C279" s="3"/>
      <c r="D279" s="3"/>
      <c r="E279" s="3"/>
      <c r="F279" s="3"/>
      <c r="G279" s="21"/>
      <c r="H279" s="3"/>
      <c r="I279" s="18"/>
      <c r="J279" s="18"/>
      <c r="K279" s="16"/>
      <c r="L279" s="18"/>
      <c r="M279" s="16"/>
      <c r="N279" s="19"/>
      <c r="O279" s="19"/>
      <c r="P279" s="19"/>
      <c r="Q279" s="8"/>
    </row>
    <row r="280" spans="2:17" s="2" customFormat="1" ht="15.75" x14ac:dyDescent="0.25">
      <c r="C280" s="3"/>
      <c r="D280" s="3"/>
      <c r="E280" s="3"/>
      <c r="F280" s="3"/>
      <c r="G280" s="21"/>
      <c r="H280" s="3"/>
      <c r="I280" s="18"/>
      <c r="J280" s="18"/>
      <c r="K280" s="16"/>
      <c r="L280" s="18"/>
      <c r="M280" s="16"/>
      <c r="N280" s="19"/>
      <c r="O280" s="19"/>
      <c r="P280" s="19"/>
      <c r="Q280" s="8"/>
    </row>
    <row r="281" spans="2:17" s="2" customFormat="1" ht="15.75" x14ac:dyDescent="0.25">
      <c r="C281" s="3"/>
      <c r="D281" s="3"/>
      <c r="E281" s="3"/>
      <c r="F281" s="3"/>
      <c r="G281" s="21"/>
      <c r="H281" s="3"/>
      <c r="I281" s="18"/>
      <c r="J281" s="18"/>
      <c r="K281" s="16"/>
      <c r="L281" s="18"/>
      <c r="M281" s="16"/>
      <c r="N281" s="19"/>
      <c r="O281" s="19"/>
      <c r="P281" s="19"/>
      <c r="Q281" s="8"/>
    </row>
    <row r="282" spans="2:17" s="2" customFormat="1" ht="15.75" x14ac:dyDescent="0.25">
      <c r="C282" s="3"/>
      <c r="D282" s="3"/>
      <c r="E282" s="3"/>
      <c r="F282" s="3"/>
      <c r="G282" s="21"/>
      <c r="H282" s="3"/>
      <c r="I282" s="18"/>
      <c r="J282" s="18"/>
      <c r="K282" s="16"/>
      <c r="L282" s="18"/>
      <c r="M282" s="16"/>
      <c r="N282" s="19"/>
      <c r="O282" s="19"/>
      <c r="P282" s="19"/>
      <c r="Q282" s="8"/>
    </row>
    <row r="283" spans="2:17" s="2" customFormat="1" ht="15.75" x14ac:dyDescent="0.25">
      <c r="C283" s="3"/>
      <c r="D283" s="3"/>
      <c r="E283" s="3"/>
      <c r="F283" s="3"/>
      <c r="G283" s="21"/>
      <c r="H283" s="3"/>
      <c r="I283" s="18"/>
      <c r="J283" s="18"/>
      <c r="K283" s="16"/>
      <c r="L283" s="18"/>
      <c r="M283" s="16"/>
      <c r="N283" s="19"/>
      <c r="O283" s="19"/>
      <c r="P283" s="19"/>
      <c r="Q283" s="8"/>
    </row>
    <row r="284" spans="2:17" s="2" customFormat="1" ht="15.75" x14ac:dyDescent="0.25">
      <c r="C284" s="3"/>
      <c r="D284" s="3"/>
      <c r="E284" s="3"/>
      <c r="F284" s="3"/>
      <c r="G284" s="21"/>
      <c r="H284" s="3"/>
      <c r="I284" s="18"/>
      <c r="J284" s="18"/>
      <c r="K284" s="16"/>
      <c r="L284" s="18"/>
      <c r="M284" s="16"/>
      <c r="N284" s="19"/>
      <c r="O284" s="19"/>
      <c r="P284" s="19"/>
      <c r="Q284" s="8"/>
    </row>
    <row r="285" spans="2:17" s="2" customFormat="1" ht="15.75" x14ac:dyDescent="0.25">
      <c r="C285" s="3"/>
      <c r="D285" s="3"/>
      <c r="E285" s="3"/>
      <c r="F285" s="3"/>
      <c r="G285" s="21"/>
      <c r="H285" s="3"/>
      <c r="I285" s="18"/>
      <c r="J285" s="18"/>
      <c r="K285" s="16"/>
      <c r="L285" s="18"/>
      <c r="M285" s="16"/>
      <c r="N285" s="19"/>
      <c r="O285" s="19"/>
      <c r="P285" s="19"/>
      <c r="Q285" s="8"/>
    </row>
    <row r="286" spans="2:17" s="2" customFormat="1" ht="15.75" x14ac:dyDescent="0.25">
      <c r="C286" s="3"/>
      <c r="D286" s="3"/>
      <c r="E286" s="3"/>
      <c r="F286" s="3"/>
      <c r="G286" s="21"/>
      <c r="H286" s="3"/>
      <c r="I286" s="18"/>
      <c r="J286" s="18"/>
      <c r="K286" s="16"/>
      <c r="L286" s="18"/>
      <c r="M286" s="16"/>
      <c r="N286" s="19"/>
      <c r="O286" s="19"/>
      <c r="P286" s="19"/>
      <c r="Q286" s="8"/>
    </row>
    <row r="287" spans="2:17" s="2" customFormat="1" ht="15.75" x14ac:dyDescent="0.25">
      <c r="C287" s="3"/>
      <c r="D287" s="3"/>
      <c r="E287" s="3"/>
      <c r="F287" s="3"/>
      <c r="G287" s="21"/>
      <c r="H287" s="3"/>
      <c r="I287" s="18"/>
      <c r="J287" s="18"/>
      <c r="K287" s="16"/>
      <c r="L287" s="18"/>
      <c r="M287" s="16"/>
      <c r="N287" s="19"/>
      <c r="O287" s="19"/>
      <c r="P287" s="19"/>
      <c r="Q287" s="8"/>
    </row>
    <row r="288" spans="2:17" s="2" customFormat="1" ht="15.75" x14ac:dyDescent="0.25">
      <c r="C288" s="3"/>
      <c r="D288" s="3"/>
      <c r="E288" s="3"/>
      <c r="F288" s="3"/>
      <c r="G288" s="21"/>
      <c r="H288" s="3"/>
      <c r="I288" s="18"/>
      <c r="J288" s="18"/>
      <c r="K288" s="16"/>
      <c r="L288" s="18"/>
      <c r="M288" s="16"/>
      <c r="N288" s="19"/>
      <c r="O288" s="19"/>
      <c r="P288" s="19"/>
      <c r="Q288" s="8"/>
    </row>
    <row r="289" spans="3:17" s="2" customFormat="1" ht="15.75" x14ac:dyDescent="0.25">
      <c r="C289" s="3"/>
      <c r="D289" s="3"/>
      <c r="E289" s="3"/>
      <c r="F289" s="3"/>
      <c r="G289" s="21"/>
      <c r="H289" s="3"/>
      <c r="I289" s="18"/>
      <c r="J289" s="18"/>
      <c r="K289" s="16"/>
      <c r="L289" s="18"/>
      <c r="M289" s="16"/>
      <c r="N289" s="19"/>
      <c r="O289" s="19"/>
      <c r="P289" s="19"/>
      <c r="Q289" s="8"/>
    </row>
    <row r="290" spans="3:17" s="2" customFormat="1" ht="15.75" x14ac:dyDescent="0.25">
      <c r="C290" s="3"/>
      <c r="D290" s="3"/>
      <c r="E290" s="3"/>
      <c r="F290" s="3"/>
      <c r="G290" s="21"/>
      <c r="H290" s="3"/>
      <c r="I290" s="18"/>
      <c r="J290" s="18"/>
      <c r="K290" s="16"/>
      <c r="L290" s="18"/>
      <c r="M290" s="16"/>
      <c r="N290" s="19"/>
      <c r="O290" s="19"/>
      <c r="P290" s="19"/>
      <c r="Q290" s="8"/>
    </row>
    <row r="291" spans="3:17" s="2" customFormat="1" ht="15.75" x14ac:dyDescent="0.25">
      <c r="C291" s="3"/>
      <c r="D291" s="3"/>
      <c r="E291" s="3"/>
      <c r="F291" s="3"/>
      <c r="G291" s="21"/>
      <c r="H291" s="3"/>
      <c r="I291" s="18"/>
      <c r="J291" s="18"/>
      <c r="K291" s="16"/>
      <c r="L291" s="18"/>
      <c r="M291" s="16"/>
      <c r="N291" s="19"/>
      <c r="O291" s="19"/>
      <c r="P291" s="19"/>
      <c r="Q291" s="8"/>
    </row>
    <row r="292" spans="3:17" s="2" customFormat="1" ht="15.75" x14ac:dyDescent="0.25">
      <c r="C292" s="3"/>
      <c r="D292" s="3"/>
      <c r="E292" s="3"/>
      <c r="F292" s="3"/>
      <c r="G292" s="21"/>
      <c r="H292" s="3"/>
      <c r="I292" s="18"/>
      <c r="J292" s="18"/>
      <c r="K292" s="16"/>
      <c r="L292" s="18"/>
      <c r="M292" s="16"/>
      <c r="N292" s="19"/>
      <c r="O292" s="19"/>
      <c r="P292" s="19"/>
      <c r="Q292" s="8"/>
    </row>
    <row r="293" spans="3:17" s="2" customFormat="1" ht="15.75" x14ac:dyDescent="0.25">
      <c r="C293" s="3"/>
      <c r="D293" s="3"/>
      <c r="E293" s="3"/>
      <c r="F293" s="3"/>
      <c r="G293" s="21"/>
      <c r="H293" s="3"/>
      <c r="I293" s="18"/>
      <c r="J293" s="18"/>
      <c r="K293" s="16"/>
      <c r="L293" s="18"/>
      <c r="M293" s="16"/>
      <c r="N293" s="19"/>
      <c r="O293" s="19"/>
      <c r="P293" s="19"/>
      <c r="Q293" s="8"/>
    </row>
    <row r="294" spans="3:17" s="2" customFormat="1" ht="15.75" x14ac:dyDescent="0.25">
      <c r="C294" s="3"/>
      <c r="D294" s="3"/>
      <c r="E294" s="3"/>
      <c r="F294" s="3"/>
      <c r="G294" s="21"/>
      <c r="H294" s="3"/>
      <c r="I294" s="18"/>
      <c r="J294" s="18"/>
      <c r="K294" s="16"/>
      <c r="L294" s="18"/>
      <c r="M294" s="16"/>
      <c r="N294" s="19"/>
      <c r="O294" s="19"/>
      <c r="P294" s="19"/>
      <c r="Q294" s="8"/>
    </row>
    <row r="295" spans="3:17" s="2" customFormat="1" ht="15.75" x14ac:dyDescent="0.25">
      <c r="C295" s="3"/>
      <c r="D295" s="3"/>
      <c r="E295" s="3"/>
      <c r="F295" s="3"/>
      <c r="G295" s="21"/>
      <c r="H295" s="3"/>
      <c r="I295" s="18"/>
      <c r="J295" s="18"/>
      <c r="K295" s="16"/>
      <c r="L295" s="18"/>
      <c r="M295" s="16"/>
      <c r="N295" s="19"/>
      <c r="O295" s="19"/>
      <c r="P295" s="19"/>
      <c r="Q295" s="8"/>
    </row>
    <row r="296" spans="3:17" s="2" customFormat="1" ht="15.75" x14ac:dyDescent="0.25">
      <c r="C296" s="3"/>
      <c r="D296" s="3"/>
      <c r="E296" s="3"/>
      <c r="F296" s="3"/>
      <c r="G296" s="21"/>
      <c r="H296" s="3"/>
      <c r="I296" s="18"/>
      <c r="J296" s="18"/>
      <c r="K296" s="16"/>
      <c r="L296" s="18"/>
      <c r="M296" s="16"/>
      <c r="N296" s="19"/>
      <c r="O296" s="19"/>
      <c r="P296" s="19"/>
      <c r="Q296" s="8"/>
    </row>
    <row r="297" spans="3:17" s="2" customFormat="1" ht="15.75" x14ac:dyDescent="0.25">
      <c r="C297" s="3"/>
      <c r="D297" s="3"/>
      <c r="E297" s="3"/>
      <c r="F297" s="3"/>
      <c r="G297" s="21"/>
      <c r="H297" s="3"/>
      <c r="I297" s="18"/>
      <c r="J297" s="18"/>
      <c r="K297" s="16"/>
      <c r="L297" s="18"/>
      <c r="M297" s="16"/>
      <c r="N297" s="19"/>
      <c r="O297" s="19"/>
      <c r="P297" s="19"/>
      <c r="Q297" s="8"/>
    </row>
    <row r="298" spans="3:17" s="2" customFormat="1" ht="15.75" x14ac:dyDescent="0.25">
      <c r="C298" s="3"/>
      <c r="D298" s="3"/>
      <c r="E298" s="3"/>
      <c r="F298" s="3"/>
      <c r="G298" s="21"/>
      <c r="H298" s="3"/>
      <c r="I298" s="18"/>
      <c r="J298" s="18"/>
      <c r="K298" s="16"/>
      <c r="L298" s="18"/>
      <c r="M298" s="16"/>
      <c r="N298" s="19"/>
      <c r="O298" s="19"/>
      <c r="P298" s="19"/>
      <c r="Q298" s="8"/>
    </row>
    <row r="299" spans="3:17" s="2" customFormat="1" ht="15.75" x14ac:dyDescent="0.25">
      <c r="C299" s="3"/>
      <c r="D299" s="3"/>
      <c r="E299" s="3"/>
      <c r="F299" s="3"/>
      <c r="G299" s="21"/>
      <c r="H299" s="3"/>
      <c r="I299" s="18"/>
      <c r="J299" s="18"/>
      <c r="K299" s="16"/>
      <c r="L299" s="18"/>
      <c r="M299" s="16"/>
      <c r="N299" s="19"/>
      <c r="O299" s="19"/>
      <c r="P299" s="19"/>
      <c r="Q299" s="8"/>
    </row>
    <row r="300" spans="3:17" s="2" customFormat="1" ht="15.75" x14ac:dyDescent="0.25">
      <c r="C300" s="3"/>
      <c r="D300" s="3"/>
      <c r="E300" s="3"/>
      <c r="F300" s="3"/>
      <c r="G300" s="21"/>
      <c r="H300" s="3"/>
      <c r="I300" s="18"/>
      <c r="J300" s="18"/>
      <c r="K300" s="16"/>
      <c r="L300" s="18"/>
      <c r="M300" s="16"/>
      <c r="N300" s="19"/>
      <c r="O300" s="19"/>
      <c r="P300" s="19"/>
      <c r="Q300" s="8"/>
    </row>
    <row r="301" spans="3:17" s="2" customFormat="1" ht="15.75" x14ac:dyDescent="0.25">
      <c r="C301" s="3"/>
      <c r="D301" s="3"/>
      <c r="E301" s="3"/>
      <c r="F301" s="3"/>
      <c r="G301" s="21"/>
      <c r="H301" s="3"/>
      <c r="I301" s="18"/>
      <c r="J301" s="18"/>
      <c r="K301" s="16"/>
      <c r="L301" s="18"/>
      <c r="M301" s="16"/>
      <c r="N301" s="19"/>
      <c r="O301" s="19"/>
      <c r="P301" s="19"/>
      <c r="Q301" s="8"/>
    </row>
    <row r="302" spans="3:17" s="2" customFormat="1" ht="15.75" x14ac:dyDescent="0.25">
      <c r="C302" s="3"/>
      <c r="D302" s="3"/>
      <c r="E302" s="3"/>
      <c r="F302" s="3"/>
      <c r="G302" s="21"/>
      <c r="H302" s="3"/>
      <c r="I302" s="18"/>
      <c r="J302" s="18"/>
      <c r="K302" s="16"/>
      <c r="L302" s="18"/>
      <c r="M302" s="16"/>
      <c r="N302" s="19"/>
      <c r="O302" s="19"/>
      <c r="P302" s="19"/>
      <c r="Q302" s="8"/>
    </row>
    <row r="303" spans="3:17" s="2" customFormat="1" ht="15.75" x14ac:dyDescent="0.25">
      <c r="C303" s="3"/>
      <c r="D303" s="3"/>
      <c r="E303" s="3"/>
      <c r="F303" s="3"/>
      <c r="G303" s="21"/>
      <c r="H303" s="3"/>
      <c r="I303" s="18"/>
      <c r="J303" s="18"/>
      <c r="K303" s="16"/>
      <c r="L303" s="18"/>
      <c r="M303" s="16"/>
      <c r="N303" s="19"/>
      <c r="O303" s="19"/>
      <c r="P303" s="19"/>
      <c r="Q303" s="8"/>
    </row>
    <row r="304" spans="3:17" s="2" customFormat="1" ht="15.75" x14ac:dyDescent="0.25">
      <c r="C304" s="3"/>
      <c r="D304" s="3"/>
      <c r="E304" s="3"/>
      <c r="F304" s="3"/>
      <c r="G304" s="21"/>
      <c r="H304" s="3"/>
      <c r="I304" s="18"/>
      <c r="J304" s="18"/>
      <c r="K304" s="16"/>
      <c r="L304" s="18"/>
      <c r="M304" s="16"/>
      <c r="N304" s="19"/>
      <c r="O304" s="19"/>
      <c r="P304" s="19"/>
      <c r="Q304" s="8"/>
    </row>
    <row r="305" spans="3:17" s="2" customFormat="1" ht="15.75" x14ac:dyDescent="0.25">
      <c r="C305" s="3"/>
      <c r="D305" s="3"/>
      <c r="E305" s="3"/>
      <c r="F305" s="3"/>
      <c r="G305" s="21"/>
      <c r="H305" s="3"/>
      <c r="I305" s="18"/>
      <c r="J305" s="18"/>
      <c r="K305" s="16"/>
      <c r="L305" s="18"/>
      <c r="M305" s="16"/>
      <c r="N305" s="19"/>
      <c r="O305" s="19"/>
      <c r="P305" s="19"/>
      <c r="Q305" s="8"/>
    </row>
    <row r="306" spans="3:17" s="2" customFormat="1" ht="15.75" x14ac:dyDescent="0.25">
      <c r="C306" s="3"/>
      <c r="D306" s="3"/>
      <c r="E306" s="3"/>
      <c r="F306" s="3"/>
      <c r="G306" s="21"/>
      <c r="H306" s="3"/>
      <c r="I306" s="18"/>
      <c r="J306" s="18"/>
      <c r="K306" s="16"/>
      <c r="L306" s="18"/>
      <c r="M306" s="16"/>
      <c r="N306" s="19"/>
      <c r="O306" s="19"/>
      <c r="P306" s="19"/>
      <c r="Q306" s="8"/>
    </row>
    <row r="307" spans="3:17" s="2" customFormat="1" ht="15.75" x14ac:dyDescent="0.25">
      <c r="C307" s="3"/>
      <c r="D307" s="3"/>
      <c r="E307" s="3"/>
      <c r="F307" s="3"/>
      <c r="G307" s="21"/>
      <c r="H307" s="3"/>
      <c r="I307" s="18"/>
      <c r="J307" s="18"/>
      <c r="K307" s="16"/>
      <c r="L307" s="18"/>
      <c r="M307" s="16"/>
      <c r="N307" s="19"/>
      <c r="O307" s="19"/>
      <c r="P307" s="19"/>
      <c r="Q307" s="8"/>
    </row>
    <row r="308" spans="3:17" s="2" customFormat="1" ht="15.75" x14ac:dyDescent="0.25">
      <c r="C308" s="3"/>
      <c r="D308" s="3"/>
      <c r="E308" s="3"/>
      <c r="F308" s="3"/>
      <c r="G308" s="21"/>
      <c r="H308" s="3"/>
      <c r="I308" s="18"/>
      <c r="J308" s="18"/>
      <c r="K308" s="16"/>
      <c r="L308" s="18"/>
      <c r="M308" s="16"/>
      <c r="N308" s="19"/>
      <c r="O308" s="19"/>
      <c r="P308" s="19"/>
      <c r="Q308" s="8"/>
    </row>
    <row r="309" spans="3:17" s="2" customFormat="1" ht="15.75" x14ac:dyDescent="0.25">
      <c r="C309" s="3"/>
      <c r="D309" s="3"/>
      <c r="E309" s="3"/>
      <c r="F309" s="3"/>
      <c r="G309" s="21"/>
      <c r="H309" s="3"/>
      <c r="I309" s="18"/>
      <c r="J309" s="18"/>
      <c r="K309" s="16"/>
      <c r="L309" s="18"/>
      <c r="M309" s="16"/>
      <c r="N309" s="19"/>
      <c r="O309" s="19"/>
      <c r="P309" s="19"/>
      <c r="Q309" s="8"/>
    </row>
    <row r="310" spans="3:17" s="2" customFormat="1" ht="15.75" x14ac:dyDescent="0.25">
      <c r="C310" s="3"/>
      <c r="D310" s="3"/>
      <c r="E310" s="3"/>
      <c r="F310" s="3"/>
      <c r="G310" s="21"/>
      <c r="H310" s="3"/>
      <c r="I310" s="18"/>
      <c r="J310" s="18"/>
      <c r="K310" s="16"/>
      <c r="L310" s="18"/>
      <c r="M310" s="16"/>
      <c r="N310" s="19"/>
      <c r="O310" s="19"/>
      <c r="P310" s="19"/>
      <c r="Q310" s="8"/>
    </row>
    <row r="311" spans="3:17" s="2" customFormat="1" ht="15.75" x14ac:dyDescent="0.25">
      <c r="C311" s="3"/>
      <c r="D311" s="3"/>
      <c r="E311" s="3"/>
      <c r="F311" s="3"/>
      <c r="G311" s="21"/>
      <c r="H311" s="3"/>
      <c r="I311" s="18"/>
      <c r="J311" s="18"/>
      <c r="K311" s="16"/>
      <c r="L311" s="18"/>
      <c r="M311" s="16"/>
      <c r="N311" s="19"/>
      <c r="O311" s="19"/>
      <c r="P311" s="19"/>
      <c r="Q311" s="8"/>
    </row>
    <row r="312" spans="3:17" s="2" customFormat="1" ht="15.75" x14ac:dyDescent="0.25">
      <c r="C312" s="3"/>
      <c r="D312" s="3"/>
      <c r="E312" s="3"/>
      <c r="F312" s="3"/>
      <c r="G312" s="21"/>
      <c r="H312" s="3"/>
      <c r="I312" s="18"/>
      <c r="J312" s="18"/>
      <c r="K312" s="16"/>
      <c r="L312" s="18"/>
      <c r="M312" s="16"/>
      <c r="N312" s="19"/>
      <c r="O312" s="19"/>
      <c r="P312" s="19"/>
      <c r="Q312" s="8"/>
    </row>
    <row r="313" spans="3:17" s="2" customFormat="1" ht="15.75" x14ac:dyDescent="0.25">
      <c r="C313" s="3"/>
      <c r="D313" s="3"/>
      <c r="E313" s="3"/>
      <c r="F313" s="3"/>
      <c r="G313" s="21"/>
      <c r="H313" s="3"/>
      <c r="I313" s="18"/>
      <c r="J313" s="18"/>
      <c r="K313" s="16"/>
      <c r="L313" s="18"/>
      <c r="M313" s="16"/>
      <c r="N313" s="19"/>
      <c r="O313" s="19"/>
      <c r="P313" s="19"/>
      <c r="Q313" s="8"/>
    </row>
    <row r="314" spans="3:17" s="2" customFormat="1" ht="15.75" x14ac:dyDescent="0.25">
      <c r="C314" s="3"/>
      <c r="D314" s="3"/>
      <c r="E314" s="3"/>
      <c r="F314" s="3"/>
      <c r="G314" s="21"/>
      <c r="H314" s="3"/>
      <c r="I314" s="18"/>
      <c r="J314" s="18"/>
      <c r="K314" s="16"/>
      <c r="L314" s="18"/>
      <c r="M314" s="16"/>
      <c r="N314" s="19"/>
      <c r="O314" s="19"/>
      <c r="P314" s="19"/>
      <c r="Q314" s="8"/>
    </row>
    <row r="315" spans="3:17" s="2" customFormat="1" ht="15.75" x14ac:dyDescent="0.25">
      <c r="C315" s="3"/>
      <c r="D315" s="3"/>
      <c r="E315" s="3"/>
      <c r="F315" s="3"/>
      <c r="G315" s="21"/>
      <c r="H315" s="3"/>
      <c r="I315" s="18"/>
      <c r="J315" s="18"/>
      <c r="K315" s="16"/>
      <c r="L315" s="18"/>
      <c r="M315" s="16"/>
      <c r="N315" s="19"/>
      <c r="O315" s="19"/>
      <c r="P315" s="19"/>
      <c r="Q315" s="8"/>
    </row>
    <row r="316" spans="3:17" s="2" customFormat="1" ht="15.75" x14ac:dyDescent="0.25">
      <c r="C316" s="3"/>
      <c r="D316" s="3"/>
      <c r="E316" s="3"/>
      <c r="F316" s="3"/>
      <c r="G316" s="21"/>
      <c r="H316" s="3"/>
      <c r="I316" s="18"/>
      <c r="J316" s="18"/>
      <c r="K316" s="16"/>
      <c r="L316" s="18"/>
      <c r="M316" s="16"/>
      <c r="N316" s="19"/>
      <c r="O316" s="19"/>
      <c r="P316" s="19"/>
      <c r="Q316" s="8"/>
    </row>
    <row r="317" spans="3:17" s="2" customFormat="1" ht="15.75" x14ac:dyDescent="0.25">
      <c r="C317" s="3"/>
      <c r="D317" s="3"/>
      <c r="E317" s="3"/>
      <c r="F317" s="3"/>
      <c r="G317" s="21"/>
      <c r="H317" s="3"/>
      <c r="I317" s="18"/>
      <c r="J317" s="18"/>
      <c r="K317" s="16"/>
      <c r="L317" s="18"/>
      <c r="M317" s="16"/>
      <c r="N317" s="19"/>
      <c r="O317" s="19"/>
      <c r="P317" s="19"/>
      <c r="Q317" s="8"/>
    </row>
    <row r="318" spans="3:17" s="2" customFormat="1" ht="15.75" x14ac:dyDescent="0.25">
      <c r="C318" s="3"/>
      <c r="D318" s="3"/>
      <c r="E318" s="3"/>
      <c r="F318" s="3"/>
      <c r="G318" s="21"/>
      <c r="H318" s="3"/>
      <c r="I318" s="18"/>
      <c r="J318" s="18"/>
      <c r="K318" s="16"/>
      <c r="L318" s="18"/>
      <c r="M318" s="16"/>
      <c r="N318" s="19"/>
      <c r="O318" s="19"/>
      <c r="P318" s="19"/>
      <c r="Q318" s="8"/>
    </row>
    <row r="319" spans="3:17" s="2" customFormat="1" ht="15.75" x14ac:dyDescent="0.25">
      <c r="C319" s="3"/>
      <c r="D319" s="3"/>
      <c r="E319" s="3"/>
      <c r="F319" s="3"/>
      <c r="G319" s="21"/>
      <c r="H319" s="3"/>
      <c r="I319" s="18"/>
      <c r="J319" s="18"/>
      <c r="K319" s="16"/>
      <c r="L319" s="18"/>
      <c r="M319" s="16"/>
      <c r="N319" s="19"/>
      <c r="O319" s="19"/>
      <c r="P319" s="19"/>
      <c r="Q319" s="8"/>
    </row>
    <row r="320" spans="3:17" s="2" customFormat="1" ht="15.75" x14ac:dyDescent="0.25">
      <c r="C320" s="3"/>
      <c r="D320" s="3"/>
      <c r="E320" s="3"/>
      <c r="F320" s="3"/>
      <c r="G320" s="21"/>
      <c r="H320" s="3"/>
      <c r="I320" s="18"/>
      <c r="J320" s="18"/>
      <c r="K320" s="16"/>
      <c r="L320" s="18"/>
      <c r="M320" s="16"/>
      <c r="N320" s="19"/>
      <c r="O320" s="19"/>
      <c r="P320" s="19"/>
      <c r="Q320" s="8"/>
    </row>
    <row r="321" spans="3:19" s="2" customFormat="1" ht="15.75" x14ac:dyDescent="0.25">
      <c r="C321" s="3"/>
      <c r="D321" s="3"/>
      <c r="E321" s="3"/>
      <c r="F321" s="3"/>
      <c r="G321" s="21"/>
      <c r="H321" s="3"/>
      <c r="I321" s="18"/>
      <c r="J321" s="18"/>
      <c r="K321" s="16"/>
      <c r="L321" s="18"/>
      <c r="M321" s="16"/>
      <c r="N321" s="19"/>
      <c r="O321" s="19"/>
      <c r="P321" s="19"/>
      <c r="Q321" s="8"/>
    </row>
    <row r="322" spans="3:19" s="2" customFormat="1" ht="15.75" x14ac:dyDescent="0.25">
      <c r="C322" s="3"/>
      <c r="D322" s="3"/>
      <c r="E322" s="3"/>
      <c r="F322" s="3"/>
      <c r="G322" s="21"/>
      <c r="H322" s="3"/>
      <c r="I322" s="18"/>
      <c r="J322" s="18"/>
      <c r="K322" s="16"/>
      <c r="L322" s="18"/>
      <c r="M322" s="16"/>
      <c r="N322" s="19"/>
      <c r="O322" s="19"/>
      <c r="P322" s="19"/>
      <c r="Q322" s="8"/>
    </row>
    <row r="323" spans="3:19" s="2" customFormat="1" ht="15.75" x14ac:dyDescent="0.25">
      <c r="C323" s="3"/>
      <c r="D323" s="3"/>
      <c r="E323" s="3"/>
      <c r="F323" s="3"/>
      <c r="G323" s="21"/>
      <c r="H323" s="3"/>
      <c r="I323" s="18"/>
      <c r="J323" s="18"/>
      <c r="K323" s="16"/>
      <c r="L323" s="18"/>
      <c r="M323" s="16"/>
      <c r="N323" s="19"/>
      <c r="O323" s="19"/>
      <c r="P323" s="19"/>
      <c r="Q323" s="8"/>
    </row>
    <row r="324" spans="3:19" s="2" customFormat="1" ht="15.75" x14ac:dyDescent="0.25">
      <c r="C324" s="3"/>
      <c r="D324" s="3"/>
      <c r="E324" s="3"/>
      <c r="F324" s="3"/>
      <c r="G324" s="21"/>
      <c r="H324" s="3"/>
      <c r="I324" s="18"/>
      <c r="J324" s="18"/>
      <c r="K324" s="16"/>
      <c r="L324" s="18"/>
      <c r="M324" s="16"/>
      <c r="N324" s="19"/>
      <c r="O324" s="19"/>
      <c r="P324" s="19"/>
      <c r="Q324" s="8"/>
    </row>
    <row r="325" spans="3:19" s="2" customFormat="1" ht="15.75" x14ac:dyDescent="0.25">
      <c r="C325" s="3"/>
      <c r="D325" s="3"/>
      <c r="E325" s="3"/>
      <c r="F325" s="3"/>
      <c r="G325" s="21"/>
      <c r="H325" s="3"/>
      <c r="I325" s="18"/>
      <c r="J325" s="18"/>
      <c r="K325" s="16"/>
      <c r="L325" s="18"/>
      <c r="M325" s="16"/>
      <c r="N325" s="19"/>
      <c r="O325" s="19"/>
      <c r="P325" s="19"/>
      <c r="Q325" s="8"/>
      <c r="S325" s="2" t="e">
        <f>(#REF!/2)-#REF!</f>
        <v>#REF!</v>
      </c>
    </row>
    <row r="326" spans="3:19" s="2" customFormat="1" ht="15.75" x14ac:dyDescent="0.25">
      <c r="C326" s="3"/>
      <c r="D326" s="3"/>
      <c r="E326" s="3"/>
      <c r="F326" s="3"/>
      <c r="G326" s="21"/>
      <c r="H326" s="3"/>
      <c r="I326" s="18"/>
      <c r="J326" s="18"/>
      <c r="K326" s="16"/>
      <c r="L326" s="18"/>
      <c r="M326" s="16"/>
      <c r="N326" s="19"/>
      <c r="O326" s="19"/>
      <c r="P326" s="19"/>
      <c r="Q326" s="8"/>
    </row>
    <row r="327" spans="3:19" s="2" customFormat="1" ht="15.75" x14ac:dyDescent="0.25">
      <c r="C327" s="3"/>
      <c r="D327" s="3"/>
      <c r="E327" s="3"/>
      <c r="F327" s="3"/>
      <c r="G327" s="21"/>
      <c r="H327" s="3"/>
      <c r="I327" s="18"/>
      <c r="J327" s="18"/>
      <c r="K327" s="16"/>
      <c r="L327" s="18"/>
      <c r="M327" s="16"/>
      <c r="N327" s="19"/>
      <c r="O327" s="19"/>
      <c r="P327" s="19"/>
      <c r="Q327" s="8"/>
    </row>
    <row r="328" spans="3:19" s="2" customFormat="1" ht="15.75" x14ac:dyDescent="0.25">
      <c r="C328" s="3"/>
      <c r="D328" s="3"/>
      <c r="E328" s="3"/>
      <c r="F328" s="3"/>
      <c r="G328" s="21"/>
      <c r="H328" s="3"/>
      <c r="I328" s="18"/>
      <c r="J328" s="18"/>
      <c r="K328" s="16"/>
      <c r="L328" s="18"/>
      <c r="M328" s="16"/>
      <c r="N328" s="19"/>
      <c r="O328" s="19"/>
      <c r="P328" s="19"/>
      <c r="Q328" s="8"/>
    </row>
    <row r="329" spans="3:19" s="2" customFormat="1" ht="15.75" x14ac:dyDescent="0.25">
      <c r="C329" s="3"/>
      <c r="D329" s="3"/>
      <c r="E329" s="3"/>
      <c r="F329" s="3"/>
      <c r="G329" s="21"/>
      <c r="H329" s="3"/>
      <c r="I329" s="18"/>
      <c r="J329" s="18"/>
      <c r="K329" s="16"/>
      <c r="L329" s="18"/>
      <c r="M329" s="16"/>
      <c r="N329" s="19"/>
      <c r="O329" s="19"/>
      <c r="P329" s="19"/>
      <c r="Q329" s="8"/>
    </row>
    <row r="330" spans="3:19" s="2" customFormat="1" ht="15.75" x14ac:dyDescent="0.25">
      <c r="C330" s="3"/>
      <c r="D330" s="3"/>
      <c r="E330" s="3"/>
      <c r="F330" s="3"/>
      <c r="G330" s="21"/>
      <c r="H330" s="3"/>
      <c r="I330" s="18"/>
      <c r="J330" s="18"/>
      <c r="K330" s="16"/>
      <c r="L330" s="18"/>
      <c r="M330" s="16"/>
      <c r="N330" s="19"/>
      <c r="O330" s="19"/>
      <c r="P330" s="19"/>
      <c r="Q330" s="8"/>
    </row>
    <row r="331" spans="3:19" s="2" customFormat="1" ht="15.75" x14ac:dyDescent="0.25">
      <c r="C331" s="3"/>
      <c r="D331" s="3"/>
      <c r="E331" s="3"/>
      <c r="F331" s="3"/>
      <c r="G331" s="21"/>
      <c r="H331" s="3"/>
      <c r="I331" s="18"/>
      <c r="J331" s="18"/>
      <c r="K331" s="16"/>
      <c r="L331" s="18"/>
      <c r="M331" s="16"/>
      <c r="N331" s="19"/>
      <c r="O331" s="19"/>
      <c r="P331" s="19"/>
      <c r="Q331" s="8"/>
    </row>
    <row r="332" spans="3:19" s="2" customFormat="1" ht="15.75" x14ac:dyDescent="0.25">
      <c r="C332" s="3"/>
      <c r="D332" s="3"/>
      <c r="E332" s="3"/>
      <c r="F332" s="3"/>
      <c r="G332" s="21"/>
      <c r="H332" s="3"/>
      <c r="I332" s="18"/>
      <c r="J332" s="18"/>
      <c r="K332" s="16"/>
      <c r="L332" s="18"/>
      <c r="M332" s="16"/>
      <c r="N332" s="19"/>
      <c r="O332" s="19"/>
      <c r="P332" s="19"/>
      <c r="Q332" s="8"/>
    </row>
    <row r="333" spans="3:19" s="2" customFormat="1" ht="15.75" x14ac:dyDescent="0.25">
      <c r="C333" s="3"/>
      <c r="D333" s="3"/>
      <c r="E333" s="3"/>
      <c r="F333" s="3"/>
      <c r="G333" s="21"/>
      <c r="H333" s="3"/>
      <c r="I333" s="18"/>
      <c r="J333" s="18"/>
      <c r="K333" s="16"/>
      <c r="L333" s="18"/>
      <c r="M333" s="16"/>
      <c r="N333" s="19"/>
      <c r="O333" s="19"/>
      <c r="P333" s="19"/>
      <c r="Q333" s="8"/>
    </row>
    <row r="334" spans="3:19" s="2" customFormat="1" ht="15.75" x14ac:dyDescent="0.25">
      <c r="C334" s="3"/>
      <c r="D334" s="3"/>
      <c r="E334" s="3"/>
      <c r="F334" s="3"/>
      <c r="G334" s="21"/>
      <c r="H334" s="3"/>
      <c r="I334" s="18"/>
      <c r="J334" s="18"/>
      <c r="K334" s="16"/>
      <c r="L334" s="18"/>
      <c r="M334" s="16"/>
      <c r="N334" s="19"/>
      <c r="O334" s="19"/>
      <c r="P334" s="19"/>
      <c r="Q334" s="8"/>
    </row>
    <row r="335" spans="3:19" s="2" customFormat="1" ht="15.75" x14ac:dyDescent="0.25">
      <c r="C335" s="3"/>
      <c r="D335" s="3"/>
      <c r="E335" s="3"/>
      <c r="F335" s="3"/>
      <c r="G335" s="21"/>
      <c r="H335" s="3"/>
      <c r="I335" s="18"/>
      <c r="J335" s="18"/>
      <c r="K335" s="16"/>
      <c r="L335" s="18"/>
      <c r="M335" s="16"/>
      <c r="N335" s="19"/>
      <c r="O335" s="19"/>
      <c r="P335" s="19"/>
      <c r="Q335" s="8"/>
    </row>
    <row r="336" spans="3:19" s="2" customFormat="1" ht="15.75" x14ac:dyDescent="0.25">
      <c r="C336" s="3"/>
      <c r="D336" s="3"/>
      <c r="E336" s="3"/>
      <c r="F336" s="3"/>
      <c r="G336" s="21"/>
      <c r="H336" s="3"/>
      <c r="I336" s="18"/>
      <c r="J336" s="18"/>
      <c r="K336" s="16"/>
      <c r="L336" s="18"/>
      <c r="M336" s="16"/>
      <c r="N336" s="19"/>
      <c r="O336" s="19"/>
      <c r="P336" s="19"/>
      <c r="Q336" s="8"/>
    </row>
    <row r="337" spans="3:17" s="2" customFormat="1" ht="15.75" x14ac:dyDescent="0.25">
      <c r="C337" s="3"/>
      <c r="D337" s="3"/>
      <c r="E337" s="3"/>
      <c r="F337" s="3"/>
      <c r="G337" s="21"/>
      <c r="H337" s="3"/>
      <c r="I337" s="18"/>
      <c r="J337" s="18"/>
      <c r="K337" s="16"/>
      <c r="L337" s="18"/>
      <c r="M337" s="16"/>
      <c r="N337" s="19"/>
      <c r="O337" s="19"/>
      <c r="P337" s="19"/>
      <c r="Q337" s="8"/>
    </row>
    <row r="338" spans="3:17" s="2" customFormat="1" ht="15.75" x14ac:dyDescent="0.25">
      <c r="C338" s="3"/>
      <c r="D338" s="3"/>
      <c r="E338" s="3"/>
      <c r="F338" s="3"/>
      <c r="G338" s="21"/>
      <c r="H338" s="3"/>
      <c r="I338" s="18"/>
      <c r="J338" s="18"/>
      <c r="K338" s="16"/>
      <c r="L338" s="18"/>
      <c r="M338" s="16"/>
      <c r="N338" s="19"/>
      <c r="O338" s="19"/>
      <c r="P338" s="19"/>
      <c r="Q338" s="8"/>
    </row>
    <row r="339" spans="3:17" s="2" customFormat="1" ht="15.75" x14ac:dyDescent="0.25">
      <c r="C339" s="3"/>
      <c r="D339" s="3"/>
      <c r="E339" s="3"/>
      <c r="F339" s="3"/>
      <c r="G339" s="21"/>
      <c r="H339" s="3"/>
      <c r="I339" s="18"/>
      <c r="J339" s="18"/>
      <c r="K339" s="16"/>
      <c r="L339" s="18"/>
      <c r="M339" s="16"/>
      <c r="N339" s="19"/>
      <c r="O339" s="19"/>
      <c r="P339" s="19"/>
      <c r="Q339" s="8"/>
    </row>
    <row r="340" spans="3:17" s="2" customFormat="1" ht="15.75" x14ac:dyDescent="0.25">
      <c r="C340" s="3"/>
      <c r="D340" s="3"/>
      <c r="E340" s="3"/>
      <c r="F340" s="3"/>
      <c r="G340" s="21"/>
      <c r="H340" s="3"/>
      <c r="I340" s="18"/>
      <c r="J340" s="18"/>
      <c r="K340" s="16"/>
      <c r="L340" s="18"/>
      <c r="M340" s="16"/>
      <c r="N340" s="19"/>
      <c r="O340" s="19"/>
      <c r="P340" s="19"/>
      <c r="Q340" s="8"/>
    </row>
    <row r="341" spans="3:17" s="2" customFormat="1" ht="15.75" x14ac:dyDescent="0.25">
      <c r="C341" s="3"/>
      <c r="D341" s="3"/>
      <c r="E341" s="3"/>
      <c r="F341" s="3"/>
      <c r="G341" s="21"/>
      <c r="H341" s="3"/>
      <c r="I341" s="18"/>
      <c r="J341" s="18"/>
      <c r="K341" s="16"/>
      <c r="L341" s="18"/>
      <c r="M341" s="16"/>
      <c r="N341" s="19"/>
      <c r="O341" s="19"/>
      <c r="P341" s="19"/>
      <c r="Q341" s="8"/>
    </row>
    <row r="342" spans="3:17" s="2" customFormat="1" ht="15.75" x14ac:dyDescent="0.25">
      <c r="C342" s="3"/>
      <c r="D342" s="3"/>
      <c r="E342" s="3"/>
      <c r="F342" s="3"/>
      <c r="G342" s="21"/>
      <c r="H342" s="3"/>
      <c r="I342" s="18"/>
      <c r="J342" s="18"/>
      <c r="K342" s="16"/>
      <c r="L342" s="18"/>
      <c r="M342" s="16"/>
      <c r="N342" s="19"/>
      <c r="O342" s="19"/>
      <c r="P342" s="19"/>
      <c r="Q342" s="8"/>
    </row>
    <row r="343" spans="3:17" s="2" customFormat="1" ht="15.75" x14ac:dyDescent="0.25">
      <c r="C343" s="3"/>
      <c r="D343" s="3"/>
      <c r="E343" s="3"/>
      <c r="F343" s="3"/>
      <c r="G343" s="21"/>
      <c r="H343" s="3"/>
      <c r="I343" s="18"/>
      <c r="J343" s="18"/>
      <c r="K343" s="16"/>
      <c r="L343" s="18"/>
      <c r="M343" s="16"/>
      <c r="N343" s="19"/>
      <c r="O343" s="19"/>
      <c r="P343" s="19"/>
      <c r="Q343" s="8"/>
    </row>
    <row r="344" spans="3:17" s="2" customFormat="1" ht="15.75" x14ac:dyDescent="0.25">
      <c r="C344" s="3"/>
      <c r="D344" s="3"/>
      <c r="E344" s="3"/>
      <c r="F344" s="3"/>
      <c r="G344" s="21"/>
      <c r="H344" s="3"/>
      <c r="I344" s="18"/>
      <c r="J344" s="18"/>
      <c r="K344" s="16"/>
      <c r="L344" s="18"/>
      <c r="M344" s="16"/>
      <c r="N344" s="19"/>
      <c r="O344" s="19"/>
      <c r="P344" s="19"/>
      <c r="Q344" s="8"/>
    </row>
    <row r="345" spans="3:17" s="2" customFormat="1" ht="15.75" x14ac:dyDescent="0.25">
      <c r="C345" s="3"/>
      <c r="D345" s="3"/>
      <c r="E345" s="3"/>
      <c r="F345" s="3"/>
      <c r="G345" s="21"/>
      <c r="H345" s="3"/>
      <c r="I345" s="18"/>
      <c r="J345" s="18"/>
      <c r="K345" s="16"/>
      <c r="L345" s="18"/>
      <c r="M345" s="16"/>
      <c r="N345" s="19"/>
      <c r="O345" s="19"/>
      <c r="P345" s="19"/>
      <c r="Q345" s="8"/>
    </row>
    <row r="346" spans="3:17" s="2" customFormat="1" ht="15.75" x14ac:dyDescent="0.25">
      <c r="C346" s="3"/>
      <c r="D346" s="3"/>
      <c r="E346" s="3"/>
      <c r="F346" s="3"/>
      <c r="G346" s="21"/>
      <c r="H346" s="3"/>
      <c r="I346" s="18"/>
      <c r="J346" s="18"/>
      <c r="K346" s="16"/>
      <c r="L346" s="18"/>
      <c r="M346" s="16"/>
      <c r="N346" s="19"/>
      <c r="O346" s="19"/>
      <c r="P346" s="19"/>
      <c r="Q346" s="8"/>
    </row>
    <row r="347" spans="3:17" s="2" customFormat="1" ht="15.75" x14ac:dyDescent="0.25">
      <c r="C347" s="3"/>
      <c r="D347" s="3"/>
      <c r="E347" s="3"/>
      <c r="F347" s="3"/>
      <c r="G347" s="21"/>
      <c r="H347" s="3"/>
      <c r="I347" s="18"/>
      <c r="J347" s="18"/>
      <c r="K347" s="16"/>
      <c r="L347" s="18"/>
      <c r="M347" s="16"/>
      <c r="N347" s="19"/>
      <c r="O347" s="19"/>
      <c r="P347" s="19"/>
      <c r="Q347" s="8"/>
    </row>
    <row r="348" spans="3:17" s="2" customFormat="1" ht="15.75" x14ac:dyDescent="0.25">
      <c r="C348" s="3"/>
      <c r="D348" s="3"/>
      <c r="E348" s="3"/>
      <c r="F348" s="3"/>
      <c r="G348" s="21"/>
      <c r="H348" s="3"/>
      <c r="I348" s="18"/>
      <c r="J348" s="18"/>
      <c r="K348" s="16"/>
      <c r="L348" s="18"/>
      <c r="M348" s="16"/>
      <c r="N348" s="19"/>
      <c r="O348" s="19"/>
      <c r="P348" s="19"/>
      <c r="Q348" s="8"/>
    </row>
    <row r="349" spans="3:17" s="2" customFormat="1" ht="15.75" x14ac:dyDescent="0.25">
      <c r="C349" s="3"/>
      <c r="D349" s="3"/>
      <c r="E349" s="3"/>
      <c r="F349" s="3"/>
      <c r="G349" s="21"/>
      <c r="H349" s="3"/>
      <c r="I349" s="18"/>
      <c r="J349" s="18"/>
      <c r="K349" s="16"/>
      <c r="L349" s="18"/>
      <c r="M349" s="16"/>
      <c r="N349" s="19"/>
      <c r="O349" s="19"/>
      <c r="P349" s="19"/>
      <c r="Q349" s="8"/>
    </row>
    <row r="350" spans="3:17" s="2" customFormat="1" ht="15.75" x14ac:dyDescent="0.25">
      <c r="C350" s="3"/>
      <c r="D350" s="3"/>
      <c r="E350" s="3"/>
      <c r="F350" s="3"/>
      <c r="G350" s="21"/>
      <c r="H350" s="3"/>
      <c r="I350" s="18"/>
      <c r="J350" s="18"/>
      <c r="K350" s="16"/>
      <c r="L350" s="18"/>
      <c r="M350" s="16"/>
      <c r="N350" s="19"/>
      <c r="O350" s="19"/>
      <c r="P350" s="19"/>
      <c r="Q350" s="8"/>
    </row>
    <row r="351" spans="3:17" s="2" customFormat="1" ht="15.75" x14ac:dyDescent="0.25">
      <c r="C351" s="3"/>
      <c r="D351" s="3"/>
      <c r="E351" s="3"/>
      <c r="F351" s="3"/>
      <c r="G351" s="21"/>
      <c r="H351" s="3"/>
      <c r="I351" s="18"/>
      <c r="J351" s="18"/>
      <c r="K351" s="16"/>
      <c r="L351" s="18"/>
      <c r="M351" s="16"/>
      <c r="N351" s="19"/>
      <c r="O351" s="19"/>
      <c r="P351" s="19"/>
      <c r="Q351" s="8"/>
    </row>
    <row r="352" spans="3:17" s="2" customFormat="1" ht="15.75" x14ac:dyDescent="0.25">
      <c r="C352" s="3"/>
      <c r="D352" s="3"/>
      <c r="E352" s="3"/>
      <c r="F352" s="3"/>
      <c r="G352" s="21"/>
      <c r="H352" s="3"/>
      <c r="I352" s="18"/>
      <c r="J352" s="18"/>
      <c r="K352" s="16"/>
      <c r="L352" s="18"/>
      <c r="M352" s="16"/>
      <c r="N352" s="19"/>
      <c r="O352" s="19"/>
      <c r="P352" s="19"/>
      <c r="Q352" s="8"/>
    </row>
    <row r="353" spans="3:17" s="2" customFormat="1" ht="15.75" x14ac:dyDescent="0.25">
      <c r="C353" s="3"/>
      <c r="D353" s="3"/>
      <c r="E353" s="3"/>
      <c r="F353" s="3"/>
      <c r="G353" s="21"/>
      <c r="H353" s="3"/>
      <c r="I353" s="18"/>
      <c r="J353" s="18"/>
      <c r="K353" s="16"/>
      <c r="L353" s="18"/>
      <c r="M353" s="16"/>
      <c r="N353" s="19"/>
      <c r="O353" s="19"/>
      <c r="P353" s="19"/>
      <c r="Q353" s="8"/>
    </row>
    <row r="354" spans="3:17" s="2" customFormat="1" ht="15.75" x14ac:dyDescent="0.25">
      <c r="C354" s="3"/>
      <c r="D354" s="3"/>
      <c r="E354" s="3"/>
      <c r="F354" s="3"/>
      <c r="G354" s="21"/>
      <c r="H354" s="3"/>
      <c r="I354" s="18"/>
      <c r="J354" s="18"/>
      <c r="K354" s="16"/>
      <c r="L354" s="18"/>
      <c r="M354" s="16"/>
      <c r="N354" s="19"/>
      <c r="O354" s="19"/>
      <c r="P354" s="19"/>
      <c r="Q354" s="8"/>
    </row>
    <row r="355" spans="3:17" s="2" customFormat="1" ht="15.75" x14ac:dyDescent="0.25">
      <c r="C355" s="3"/>
      <c r="D355" s="3"/>
      <c r="E355" s="3"/>
      <c r="F355" s="3"/>
      <c r="G355" s="21"/>
      <c r="H355" s="3"/>
      <c r="I355" s="18"/>
      <c r="J355" s="18"/>
      <c r="K355" s="16"/>
      <c r="L355" s="18"/>
      <c r="M355" s="16"/>
      <c r="N355" s="19"/>
      <c r="O355" s="19"/>
      <c r="P355" s="19"/>
      <c r="Q355" s="8"/>
    </row>
    <row r="356" spans="3:17" s="2" customFormat="1" ht="15.75" x14ac:dyDescent="0.25">
      <c r="C356" s="1"/>
      <c r="D356" s="1"/>
      <c r="E356" s="1"/>
      <c r="F356" s="1"/>
      <c r="G356" s="15"/>
      <c r="H356" s="1"/>
      <c r="I356" s="20"/>
      <c r="J356" s="20"/>
      <c r="K356" s="14"/>
      <c r="L356" s="20"/>
      <c r="M356" s="14"/>
      <c r="N356" s="17"/>
      <c r="O356" s="17"/>
      <c r="P356" s="17"/>
      <c r="Q356" s="7"/>
    </row>
    <row r="357" spans="3:17" s="2" customFormat="1" ht="15.75" x14ac:dyDescent="0.25">
      <c r="C357" s="1"/>
      <c r="D357" s="1"/>
      <c r="E357" s="1"/>
      <c r="F357" s="1"/>
      <c r="G357" s="15"/>
      <c r="H357" s="1"/>
      <c r="I357" s="20"/>
      <c r="J357" s="20"/>
      <c r="K357" s="14"/>
      <c r="L357" s="20"/>
      <c r="M357" s="14"/>
      <c r="N357" s="17"/>
      <c r="O357" s="17"/>
      <c r="P357" s="17"/>
      <c r="Q357" s="7"/>
    </row>
    <row r="358" spans="3:17" s="2" customFormat="1" ht="15.75" x14ac:dyDescent="0.25">
      <c r="C358" s="1"/>
      <c r="D358" s="1"/>
      <c r="E358" s="1"/>
      <c r="F358" s="1"/>
      <c r="G358" s="15"/>
      <c r="H358" s="1"/>
      <c r="I358" s="20"/>
      <c r="J358" s="20"/>
      <c r="K358" s="14"/>
      <c r="L358" s="20"/>
      <c r="M358" s="14"/>
      <c r="N358" s="17"/>
      <c r="O358" s="17"/>
      <c r="P358" s="17"/>
      <c r="Q358" s="7"/>
    </row>
    <row r="359" spans="3:17" s="2" customFormat="1" ht="15.75" x14ac:dyDescent="0.25">
      <c r="C359" s="1"/>
      <c r="D359" s="1"/>
      <c r="E359" s="1"/>
      <c r="F359" s="1"/>
      <c r="G359" s="15"/>
      <c r="H359" s="1"/>
      <c r="I359" s="20"/>
      <c r="J359" s="20"/>
      <c r="K359" s="14"/>
      <c r="L359" s="20"/>
      <c r="M359" s="14"/>
      <c r="N359" s="17"/>
      <c r="O359" s="17"/>
      <c r="P359" s="17"/>
      <c r="Q359" s="7"/>
    </row>
    <row r="360" spans="3:17" s="2" customFormat="1" ht="15.75" x14ac:dyDescent="0.25">
      <c r="C360" s="1"/>
      <c r="D360" s="1"/>
      <c r="E360" s="1"/>
      <c r="F360" s="1"/>
      <c r="G360" s="15"/>
      <c r="H360" s="1"/>
      <c r="I360" s="20"/>
      <c r="J360" s="20"/>
      <c r="K360" s="14"/>
      <c r="L360" s="20"/>
      <c r="M360" s="14"/>
      <c r="N360" s="17"/>
      <c r="O360" s="17"/>
      <c r="P360" s="17"/>
      <c r="Q360" s="7"/>
    </row>
    <row r="361" spans="3:17" s="2" customFormat="1" ht="15.75" x14ac:dyDescent="0.25">
      <c r="C361" s="1"/>
      <c r="D361" s="1"/>
      <c r="E361" s="1"/>
      <c r="F361" s="1"/>
      <c r="G361" s="15"/>
      <c r="H361" s="1"/>
      <c r="I361" s="20"/>
      <c r="J361" s="20"/>
      <c r="K361" s="14"/>
      <c r="L361" s="20"/>
      <c r="M361" s="14"/>
      <c r="N361" s="17"/>
      <c r="O361" s="17"/>
      <c r="P361" s="17"/>
      <c r="Q361" s="7"/>
    </row>
    <row r="362" spans="3:17" s="2" customFormat="1" ht="15.75" x14ac:dyDescent="0.25">
      <c r="C362" s="1"/>
      <c r="D362" s="1"/>
      <c r="E362" s="1"/>
      <c r="F362" s="1"/>
      <c r="G362" s="15"/>
      <c r="H362" s="1"/>
      <c r="I362" s="20"/>
      <c r="J362" s="20"/>
      <c r="K362" s="14"/>
      <c r="L362" s="20"/>
      <c r="M362" s="14"/>
      <c r="N362" s="17"/>
      <c r="O362" s="17"/>
      <c r="P362" s="17"/>
      <c r="Q362" s="7"/>
    </row>
    <row r="363" spans="3:17" s="2" customFormat="1" ht="15.75" x14ac:dyDescent="0.25">
      <c r="C363" s="1"/>
      <c r="D363" s="1"/>
      <c r="E363" s="1"/>
      <c r="F363" s="1"/>
      <c r="G363" s="15"/>
      <c r="H363" s="1"/>
      <c r="I363" s="20"/>
      <c r="J363" s="20"/>
      <c r="K363" s="14"/>
      <c r="L363" s="20"/>
      <c r="M363" s="14"/>
      <c r="N363" s="17"/>
      <c r="O363" s="17"/>
      <c r="P363" s="17"/>
      <c r="Q363" s="7"/>
    </row>
    <row r="364" spans="3:17" s="2" customFormat="1" ht="15.75" x14ac:dyDescent="0.25">
      <c r="C364" s="1"/>
      <c r="D364" s="1"/>
      <c r="E364" s="1"/>
      <c r="F364" s="1"/>
      <c r="G364" s="15"/>
      <c r="H364" s="1"/>
      <c r="I364" s="20"/>
      <c r="J364" s="20"/>
      <c r="K364" s="14"/>
      <c r="L364" s="20"/>
      <c r="M364" s="14"/>
      <c r="N364" s="17"/>
      <c r="O364" s="17"/>
      <c r="P364" s="17"/>
      <c r="Q364" s="7"/>
    </row>
    <row r="365" spans="3:17" s="2" customFormat="1" ht="15.75" x14ac:dyDescent="0.25">
      <c r="C365" s="1"/>
      <c r="D365" s="1"/>
      <c r="E365" s="1"/>
      <c r="F365" s="1"/>
      <c r="G365" s="15"/>
      <c r="H365" s="1"/>
      <c r="I365" s="20"/>
      <c r="J365" s="20"/>
      <c r="K365" s="14"/>
      <c r="L365" s="20"/>
      <c r="M365" s="14"/>
      <c r="N365" s="17"/>
      <c r="O365" s="17"/>
      <c r="P365" s="17"/>
      <c r="Q365" s="7"/>
    </row>
    <row r="366" spans="3:17" s="2" customFormat="1" ht="15.75" x14ac:dyDescent="0.25">
      <c r="C366" s="1"/>
      <c r="D366" s="1"/>
      <c r="E366" s="1"/>
      <c r="F366" s="1"/>
      <c r="G366" s="15"/>
      <c r="H366" s="1"/>
      <c r="I366" s="20"/>
      <c r="J366" s="20"/>
      <c r="K366" s="14"/>
      <c r="L366" s="20"/>
      <c r="M366" s="14"/>
      <c r="N366" s="17"/>
      <c r="O366" s="17"/>
      <c r="P366" s="17"/>
      <c r="Q366" s="7"/>
    </row>
    <row r="367" spans="3:17" s="2" customFormat="1" ht="15.75" x14ac:dyDescent="0.25">
      <c r="C367" s="1"/>
      <c r="D367" s="1"/>
      <c r="E367" s="1"/>
      <c r="F367" s="1"/>
      <c r="G367" s="15"/>
      <c r="H367" s="1"/>
      <c r="I367" s="20"/>
      <c r="J367" s="20"/>
      <c r="K367" s="14"/>
      <c r="L367" s="20"/>
      <c r="M367" s="14"/>
      <c r="N367" s="17"/>
      <c r="O367" s="17"/>
      <c r="P367" s="17"/>
      <c r="Q367" s="7"/>
    </row>
    <row r="368" spans="3:17" s="2" customFormat="1" ht="15.75" x14ac:dyDescent="0.25">
      <c r="C368" s="1"/>
      <c r="D368" s="1"/>
      <c r="E368" s="1"/>
      <c r="F368" s="1"/>
      <c r="G368" s="15"/>
      <c r="H368" s="1"/>
      <c r="I368" s="20"/>
      <c r="J368" s="20"/>
      <c r="K368" s="14"/>
      <c r="L368" s="20"/>
      <c r="M368" s="14"/>
      <c r="N368" s="17"/>
      <c r="O368" s="17"/>
      <c r="P368" s="17"/>
      <c r="Q368" s="7"/>
    </row>
    <row r="369" spans="3:17" s="2" customFormat="1" ht="15.75" x14ac:dyDescent="0.25">
      <c r="C369" s="1"/>
      <c r="D369" s="1"/>
      <c r="E369" s="1"/>
      <c r="F369" s="1"/>
      <c r="G369" s="15"/>
      <c r="H369" s="1"/>
      <c r="I369" s="20"/>
      <c r="J369" s="20"/>
      <c r="K369" s="14"/>
      <c r="L369" s="20"/>
      <c r="M369" s="14"/>
      <c r="N369" s="17"/>
      <c r="O369" s="17"/>
      <c r="P369" s="17"/>
      <c r="Q369" s="7"/>
    </row>
    <row r="370" spans="3:17" s="2" customFormat="1" ht="15.75" x14ac:dyDescent="0.25">
      <c r="C370" s="1"/>
      <c r="D370" s="1"/>
      <c r="E370" s="1"/>
      <c r="F370" s="1"/>
      <c r="G370" s="15"/>
      <c r="H370" s="1"/>
      <c r="I370" s="20"/>
      <c r="J370" s="20"/>
      <c r="K370" s="14"/>
      <c r="L370" s="20"/>
      <c r="M370" s="14"/>
      <c r="N370" s="17"/>
      <c r="O370" s="17"/>
      <c r="P370" s="17"/>
      <c r="Q370" s="7"/>
    </row>
    <row r="371" spans="3:17" s="2" customFormat="1" ht="15.75" x14ac:dyDescent="0.25">
      <c r="C371" s="1"/>
      <c r="D371" s="1"/>
      <c r="E371" s="1"/>
      <c r="F371" s="1"/>
      <c r="G371" s="15"/>
      <c r="H371" s="1"/>
      <c r="I371" s="20"/>
      <c r="J371" s="20"/>
      <c r="K371" s="14"/>
      <c r="L371" s="20"/>
      <c r="M371" s="14"/>
      <c r="N371" s="17"/>
      <c r="O371" s="17"/>
      <c r="P371" s="17"/>
      <c r="Q371" s="7"/>
    </row>
    <row r="372" spans="3:17" s="2" customFormat="1" ht="15.75" x14ac:dyDescent="0.25">
      <c r="C372" s="1"/>
      <c r="D372" s="1"/>
      <c r="E372" s="1"/>
      <c r="F372" s="1"/>
      <c r="G372" s="15"/>
      <c r="H372" s="1"/>
      <c r="I372" s="20"/>
      <c r="J372" s="20"/>
      <c r="K372" s="14"/>
      <c r="L372" s="20"/>
      <c r="M372" s="14"/>
      <c r="N372" s="17"/>
      <c r="O372" s="17"/>
      <c r="P372" s="17"/>
      <c r="Q372" s="7"/>
    </row>
    <row r="373" spans="3:17" s="2" customFormat="1" ht="15.75" x14ac:dyDescent="0.25">
      <c r="C373" s="1"/>
      <c r="D373" s="1"/>
      <c r="E373" s="1"/>
      <c r="F373" s="1"/>
      <c r="G373" s="15"/>
      <c r="H373" s="1"/>
      <c r="I373" s="20"/>
      <c r="J373" s="20"/>
      <c r="K373" s="14"/>
      <c r="L373" s="20"/>
      <c r="M373" s="14"/>
      <c r="N373" s="17"/>
      <c r="O373" s="17"/>
      <c r="P373" s="17"/>
      <c r="Q373" s="7"/>
    </row>
    <row r="374" spans="3:17" s="2" customFormat="1" ht="15.75" x14ac:dyDescent="0.25">
      <c r="C374" s="1"/>
      <c r="D374" s="1"/>
      <c r="E374" s="1"/>
      <c r="F374" s="1"/>
      <c r="G374" s="15"/>
      <c r="H374" s="1"/>
      <c r="I374" s="20"/>
      <c r="J374" s="20"/>
      <c r="K374" s="14"/>
      <c r="L374" s="20"/>
      <c r="M374" s="14"/>
      <c r="N374" s="17"/>
      <c r="O374" s="17"/>
      <c r="P374" s="17"/>
      <c r="Q374" s="7"/>
    </row>
    <row r="375" spans="3:17" s="2" customFormat="1" ht="15.75" x14ac:dyDescent="0.25">
      <c r="C375" s="1"/>
      <c r="D375" s="1"/>
      <c r="E375" s="1"/>
      <c r="F375" s="1"/>
      <c r="G375" s="15"/>
      <c r="H375" s="1"/>
      <c r="I375" s="20"/>
      <c r="J375" s="20"/>
      <c r="K375" s="14"/>
      <c r="L375" s="20"/>
      <c r="M375" s="14"/>
      <c r="N375" s="17"/>
      <c r="O375" s="17"/>
      <c r="P375" s="17"/>
      <c r="Q375" s="7"/>
    </row>
    <row r="376" spans="3:17" s="2" customFormat="1" ht="15.75" x14ac:dyDescent="0.25">
      <c r="C376" s="1"/>
      <c r="D376" s="1"/>
      <c r="E376" s="1"/>
      <c r="F376" s="1"/>
      <c r="G376" s="15"/>
      <c r="H376" s="1"/>
      <c r="I376" s="20"/>
      <c r="J376" s="20"/>
      <c r="K376" s="14"/>
      <c r="L376" s="20"/>
      <c r="M376" s="14"/>
      <c r="N376" s="17"/>
      <c r="O376" s="17"/>
      <c r="P376" s="17"/>
      <c r="Q376" s="7"/>
    </row>
    <row r="377" spans="3:17" s="2" customFormat="1" ht="15.75" x14ac:dyDescent="0.25">
      <c r="C377" s="1"/>
      <c r="D377" s="1"/>
      <c r="E377" s="1"/>
      <c r="F377" s="1"/>
      <c r="G377" s="15"/>
      <c r="H377" s="1"/>
      <c r="I377" s="20"/>
      <c r="J377" s="20"/>
      <c r="K377" s="14"/>
      <c r="L377" s="20"/>
      <c r="M377" s="14"/>
      <c r="N377" s="17"/>
      <c r="O377" s="17"/>
      <c r="P377" s="17"/>
      <c r="Q377" s="7"/>
    </row>
    <row r="378" spans="3:17" s="2" customFormat="1" ht="15.75" x14ac:dyDescent="0.25">
      <c r="C378" s="1"/>
      <c r="D378" s="1"/>
      <c r="E378" s="1"/>
      <c r="F378" s="1"/>
      <c r="G378" s="15"/>
      <c r="H378" s="1"/>
      <c r="I378" s="20"/>
      <c r="J378" s="20"/>
      <c r="K378" s="14"/>
      <c r="L378" s="20"/>
      <c r="M378" s="14"/>
      <c r="N378" s="17"/>
      <c r="O378" s="17"/>
      <c r="P378" s="17"/>
      <c r="Q378" s="7"/>
    </row>
    <row r="379" spans="3:17" s="2" customFormat="1" ht="15.75" x14ac:dyDescent="0.25">
      <c r="C379" s="1"/>
      <c r="D379" s="1"/>
      <c r="E379" s="1"/>
      <c r="F379" s="1"/>
      <c r="G379" s="15"/>
      <c r="H379" s="1"/>
      <c r="I379" s="20"/>
      <c r="J379" s="20"/>
      <c r="K379" s="14"/>
      <c r="L379" s="20"/>
      <c r="M379" s="14"/>
      <c r="N379" s="17"/>
      <c r="O379" s="17"/>
      <c r="P379" s="17"/>
      <c r="Q379" s="7"/>
    </row>
    <row r="380" spans="3:17" s="2" customFormat="1" ht="15.75" x14ac:dyDescent="0.25">
      <c r="C380" s="1"/>
      <c r="D380" s="1"/>
      <c r="E380" s="1"/>
      <c r="F380" s="1"/>
      <c r="G380" s="15"/>
      <c r="H380" s="1"/>
      <c r="I380" s="20"/>
      <c r="J380" s="20"/>
      <c r="K380" s="14"/>
      <c r="L380" s="20"/>
      <c r="M380" s="14"/>
      <c r="N380" s="17"/>
      <c r="O380" s="17"/>
      <c r="P380" s="17"/>
      <c r="Q380" s="7"/>
    </row>
    <row r="381" spans="3:17" s="2" customFormat="1" ht="15.75" x14ac:dyDescent="0.25">
      <c r="C381" s="1"/>
      <c r="D381" s="1"/>
      <c r="E381" s="1"/>
      <c r="F381" s="1"/>
      <c r="G381" s="15"/>
      <c r="H381" s="1"/>
      <c r="I381" s="20"/>
      <c r="J381" s="20"/>
      <c r="K381" s="14"/>
      <c r="L381" s="20"/>
      <c r="M381" s="14"/>
      <c r="N381" s="17"/>
      <c r="O381" s="17"/>
      <c r="P381" s="17"/>
      <c r="Q381" s="7"/>
    </row>
    <row r="382" spans="3:17" s="2" customFormat="1" ht="15.75" x14ac:dyDescent="0.25">
      <c r="C382" s="1"/>
      <c r="D382" s="1"/>
      <c r="E382" s="1"/>
      <c r="F382" s="1"/>
      <c r="G382" s="15"/>
      <c r="H382" s="1"/>
      <c r="I382" s="20"/>
      <c r="J382" s="20"/>
      <c r="K382" s="14"/>
      <c r="L382" s="20"/>
      <c r="M382" s="14"/>
      <c r="N382" s="17"/>
      <c r="O382" s="17"/>
      <c r="P382" s="17"/>
      <c r="Q382" s="7"/>
    </row>
    <row r="383" spans="3:17" s="2" customFormat="1" ht="15.75" x14ac:dyDescent="0.25">
      <c r="C383" s="1"/>
      <c r="D383" s="1"/>
      <c r="E383" s="1"/>
      <c r="F383" s="1"/>
      <c r="G383" s="15"/>
      <c r="H383" s="1"/>
      <c r="I383" s="20"/>
      <c r="J383" s="20"/>
      <c r="K383" s="14"/>
      <c r="L383" s="20"/>
      <c r="M383" s="14"/>
      <c r="N383" s="17"/>
      <c r="O383" s="17"/>
      <c r="P383" s="17"/>
      <c r="Q383" s="7"/>
    </row>
    <row r="384" spans="3:17" s="2" customFormat="1" ht="15.75" x14ac:dyDescent="0.25">
      <c r="C384" s="1"/>
      <c r="D384" s="1"/>
      <c r="E384" s="1"/>
      <c r="F384" s="1"/>
      <c r="G384" s="15"/>
      <c r="H384" s="1"/>
      <c r="I384" s="20"/>
      <c r="J384" s="20"/>
      <c r="K384" s="14"/>
      <c r="L384" s="20"/>
      <c r="M384" s="14"/>
      <c r="N384" s="17"/>
      <c r="O384" s="17"/>
      <c r="P384" s="17"/>
      <c r="Q384" s="7"/>
    </row>
    <row r="385" spans="3:19" s="2" customFormat="1" ht="15.75" x14ac:dyDescent="0.25">
      <c r="C385" s="1"/>
      <c r="D385" s="1"/>
      <c r="E385" s="1"/>
      <c r="F385" s="1"/>
      <c r="G385" s="15"/>
      <c r="H385" s="1"/>
      <c r="I385" s="20"/>
      <c r="J385" s="20"/>
      <c r="K385" s="14"/>
      <c r="L385" s="20"/>
      <c r="M385" s="14"/>
      <c r="N385" s="17"/>
      <c r="O385" s="17"/>
      <c r="P385" s="17"/>
      <c r="Q385" s="7"/>
    </row>
    <row r="386" spans="3:19" s="2" customFormat="1" ht="15.75" x14ac:dyDescent="0.25">
      <c r="C386" s="1"/>
      <c r="D386" s="1"/>
      <c r="E386" s="1"/>
      <c r="F386" s="1"/>
      <c r="G386" s="15"/>
      <c r="H386" s="1"/>
      <c r="I386" s="20"/>
      <c r="J386" s="20"/>
      <c r="K386" s="14"/>
      <c r="L386" s="20"/>
      <c r="M386" s="14"/>
      <c r="N386" s="17"/>
      <c r="O386" s="17"/>
      <c r="P386" s="17"/>
      <c r="Q386" s="7"/>
    </row>
    <row r="387" spans="3:19" s="2" customFormat="1" ht="15.75" x14ac:dyDescent="0.25">
      <c r="C387" s="1"/>
      <c r="D387" s="1"/>
      <c r="E387" s="1"/>
      <c r="F387" s="1"/>
      <c r="G387" s="15"/>
      <c r="H387" s="1"/>
      <c r="I387" s="20"/>
      <c r="J387" s="20"/>
      <c r="K387" s="14"/>
      <c r="L387" s="20"/>
      <c r="M387" s="14"/>
      <c r="N387" s="17"/>
      <c r="O387" s="17"/>
      <c r="P387" s="17"/>
      <c r="Q387" s="7"/>
    </row>
    <row r="388" spans="3:19" s="2" customFormat="1" ht="15.75" x14ac:dyDescent="0.25">
      <c r="C388" s="1"/>
      <c r="D388" s="1"/>
      <c r="E388" s="1"/>
      <c r="F388" s="1"/>
      <c r="G388" s="15"/>
      <c r="H388" s="1"/>
      <c r="I388" s="20"/>
      <c r="J388" s="20"/>
      <c r="K388" s="14"/>
      <c r="L388" s="20"/>
      <c r="M388" s="14"/>
      <c r="N388" s="17"/>
      <c r="O388" s="17"/>
      <c r="P388" s="17"/>
      <c r="Q388" s="7"/>
    </row>
    <row r="389" spans="3:19" s="2" customFormat="1" ht="15.75" x14ac:dyDescent="0.25">
      <c r="C389" s="1"/>
      <c r="D389" s="1"/>
      <c r="E389" s="1"/>
      <c r="F389" s="1"/>
      <c r="G389" s="15"/>
      <c r="H389" s="1"/>
      <c r="I389" s="20"/>
      <c r="J389" s="20"/>
      <c r="K389" s="14"/>
      <c r="L389" s="20"/>
      <c r="M389" s="14"/>
      <c r="N389" s="17"/>
      <c r="O389" s="17"/>
      <c r="P389" s="17"/>
      <c r="Q389" s="7"/>
    </row>
    <row r="390" spans="3:19" s="2" customFormat="1" ht="15.75" x14ac:dyDescent="0.25">
      <c r="C390" s="1"/>
      <c r="D390" s="1"/>
      <c r="E390" s="1"/>
      <c r="F390" s="1"/>
      <c r="G390" s="15"/>
      <c r="H390" s="1"/>
      <c r="I390" s="20"/>
      <c r="J390" s="20"/>
      <c r="K390" s="14"/>
      <c r="L390" s="20"/>
      <c r="M390" s="14"/>
      <c r="N390" s="17"/>
      <c r="O390" s="17"/>
      <c r="P390" s="17"/>
      <c r="Q390" s="7"/>
    </row>
    <row r="391" spans="3:19" s="2" customFormat="1" ht="15.75" x14ac:dyDescent="0.25">
      <c r="C391" s="1"/>
      <c r="D391" s="1"/>
      <c r="E391" s="1"/>
      <c r="F391" s="1"/>
      <c r="G391" s="15"/>
      <c r="H391" s="1"/>
      <c r="I391" s="20"/>
      <c r="J391" s="20"/>
      <c r="K391" s="14"/>
      <c r="L391" s="20"/>
      <c r="M391" s="14"/>
      <c r="N391" s="17"/>
      <c r="O391" s="17"/>
      <c r="P391" s="17"/>
      <c r="Q391" s="7"/>
    </row>
    <row r="392" spans="3:19" s="2" customFormat="1" ht="15.75" x14ac:dyDescent="0.25">
      <c r="C392" s="1"/>
      <c r="D392" s="1"/>
      <c r="E392" s="1"/>
      <c r="F392" s="1"/>
      <c r="G392" s="15"/>
      <c r="H392" s="1"/>
      <c r="I392" s="20"/>
      <c r="J392" s="20"/>
      <c r="K392" s="14"/>
      <c r="L392" s="20"/>
      <c r="M392" s="14"/>
      <c r="N392" s="17"/>
      <c r="O392" s="17"/>
      <c r="P392" s="17"/>
      <c r="Q392" s="7"/>
      <c r="S392" s="2" t="s">
        <v>12</v>
      </c>
    </row>
    <row r="393" spans="3:19" s="2" customFormat="1" ht="15.75" x14ac:dyDescent="0.25">
      <c r="C393" s="1"/>
      <c r="D393" s="1"/>
      <c r="E393" s="1"/>
      <c r="F393" s="1"/>
      <c r="G393" s="15"/>
      <c r="H393" s="1"/>
      <c r="I393" s="20"/>
      <c r="J393" s="20"/>
      <c r="K393" s="14"/>
      <c r="L393" s="20"/>
      <c r="M393" s="14"/>
      <c r="N393" s="17"/>
      <c r="O393" s="17"/>
      <c r="P393" s="17"/>
      <c r="Q393" s="7"/>
    </row>
    <row r="394" spans="3:19" s="2" customFormat="1" ht="15.75" x14ac:dyDescent="0.25">
      <c r="C394" s="1"/>
      <c r="D394" s="1"/>
      <c r="E394" s="1"/>
      <c r="F394" s="1"/>
      <c r="G394" s="15"/>
      <c r="H394" s="1"/>
      <c r="I394" s="20"/>
      <c r="J394" s="20"/>
      <c r="K394" s="14"/>
      <c r="L394" s="20"/>
      <c r="M394" s="14"/>
      <c r="N394" s="17"/>
      <c r="O394" s="17"/>
      <c r="P394" s="17"/>
      <c r="Q394" s="7"/>
    </row>
    <row r="395" spans="3:19" s="2" customFormat="1" ht="15.75" x14ac:dyDescent="0.25">
      <c r="C395" s="1"/>
      <c r="D395" s="1"/>
      <c r="E395" s="1"/>
      <c r="F395" s="1"/>
      <c r="G395" s="15"/>
      <c r="H395" s="1"/>
      <c r="I395" s="20"/>
      <c r="J395" s="20"/>
      <c r="K395" s="14"/>
      <c r="L395" s="20"/>
      <c r="M395" s="14"/>
      <c r="N395" s="17"/>
      <c r="O395" s="17"/>
      <c r="P395" s="17"/>
      <c r="Q395" s="7"/>
    </row>
    <row r="396" spans="3:19" s="2" customFormat="1" ht="15.75" x14ac:dyDescent="0.25">
      <c r="C396" s="1"/>
      <c r="D396" s="1"/>
      <c r="E396" s="1"/>
      <c r="F396" s="1"/>
      <c r="G396" s="15"/>
      <c r="H396" s="1"/>
      <c r="I396" s="20"/>
      <c r="J396" s="20"/>
      <c r="K396" s="14"/>
      <c r="L396" s="20"/>
      <c r="M396" s="14"/>
      <c r="N396" s="17"/>
      <c r="O396" s="17"/>
      <c r="P396" s="17"/>
      <c r="Q396" s="7"/>
    </row>
    <row r="397" spans="3:19" s="2" customFormat="1" ht="15.75" x14ac:dyDescent="0.25">
      <c r="C397" s="1"/>
      <c r="D397" s="1"/>
      <c r="E397" s="1"/>
      <c r="F397" s="1"/>
      <c r="G397" s="15"/>
      <c r="H397" s="1"/>
      <c r="I397" s="20"/>
      <c r="J397" s="20"/>
      <c r="K397" s="14"/>
      <c r="L397" s="20"/>
      <c r="M397" s="14"/>
      <c r="N397" s="17"/>
      <c r="O397" s="17"/>
      <c r="P397" s="17"/>
      <c r="Q397" s="7"/>
    </row>
    <row r="398" spans="3:19" s="2" customFormat="1" ht="15.75" x14ac:dyDescent="0.25">
      <c r="C398" s="1"/>
      <c r="D398" s="1"/>
      <c r="E398" s="1"/>
      <c r="F398" s="1"/>
      <c r="G398" s="15"/>
      <c r="H398" s="1"/>
      <c r="I398" s="20"/>
      <c r="J398" s="20"/>
      <c r="K398" s="14"/>
      <c r="L398" s="20"/>
      <c r="M398" s="14"/>
      <c r="N398" s="17"/>
      <c r="O398" s="17"/>
      <c r="P398" s="17"/>
      <c r="Q398" s="7"/>
    </row>
    <row r="399" spans="3:19" s="2" customFormat="1" ht="15.75" x14ac:dyDescent="0.25">
      <c r="C399" s="1"/>
      <c r="D399" s="1"/>
      <c r="E399" s="1"/>
      <c r="F399" s="1"/>
      <c r="G399" s="15"/>
      <c r="H399" s="1"/>
      <c r="I399" s="20"/>
      <c r="J399" s="20"/>
      <c r="K399" s="14"/>
      <c r="L399" s="20"/>
      <c r="M399" s="14"/>
      <c r="N399" s="17"/>
      <c r="O399" s="17"/>
      <c r="P399" s="17"/>
      <c r="Q399" s="7"/>
    </row>
    <row r="400" spans="3:19" s="2" customFormat="1" ht="15.75" x14ac:dyDescent="0.25">
      <c r="C400" s="1"/>
      <c r="D400" s="1"/>
      <c r="E400" s="1"/>
      <c r="F400" s="1"/>
      <c r="G400" s="15"/>
      <c r="H400" s="1"/>
      <c r="I400" s="20"/>
      <c r="J400" s="20"/>
      <c r="K400" s="14"/>
      <c r="L400" s="20"/>
      <c r="M400" s="14"/>
      <c r="N400" s="17"/>
      <c r="O400" s="17"/>
      <c r="P400" s="17"/>
      <c r="Q400" s="7"/>
    </row>
    <row r="401" spans="3:17" s="2" customFormat="1" ht="15.75" x14ac:dyDescent="0.25">
      <c r="C401" s="1"/>
      <c r="D401" s="1"/>
      <c r="E401" s="1"/>
      <c r="F401" s="1"/>
      <c r="G401" s="15"/>
      <c r="H401" s="1"/>
      <c r="I401" s="20"/>
      <c r="J401" s="20"/>
      <c r="K401" s="14"/>
      <c r="L401" s="20"/>
      <c r="M401" s="14"/>
      <c r="N401" s="17"/>
      <c r="O401" s="17"/>
      <c r="P401" s="17"/>
      <c r="Q401" s="7"/>
    </row>
    <row r="402" spans="3:17" s="2" customFormat="1" ht="15.75" x14ac:dyDescent="0.25">
      <c r="C402" s="1"/>
      <c r="D402" s="1"/>
      <c r="E402" s="1"/>
      <c r="F402" s="1"/>
      <c r="G402" s="15"/>
      <c r="H402" s="1"/>
      <c r="I402" s="20"/>
      <c r="J402" s="20"/>
      <c r="K402" s="14"/>
      <c r="L402" s="20"/>
      <c r="M402" s="14"/>
      <c r="N402" s="17"/>
      <c r="O402" s="17"/>
      <c r="P402" s="17"/>
      <c r="Q402" s="7"/>
    </row>
    <row r="403" spans="3:17" s="2" customFormat="1" ht="15.75" x14ac:dyDescent="0.25">
      <c r="C403" s="1"/>
      <c r="D403" s="1"/>
      <c r="E403" s="1"/>
      <c r="F403" s="1"/>
      <c r="G403" s="15"/>
      <c r="H403" s="1"/>
      <c r="I403" s="20"/>
      <c r="J403" s="20"/>
      <c r="K403" s="14"/>
      <c r="L403" s="20"/>
      <c r="M403" s="14"/>
      <c r="N403" s="17"/>
      <c r="O403" s="17"/>
      <c r="P403" s="17"/>
      <c r="Q403" s="7"/>
    </row>
    <row r="404" spans="3:17" s="2" customFormat="1" ht="15.75" x14ac:dyDescent="0.25">
      <c r="C404" s="1"/>
      <c r="D404" s="1"/>
      <c r="E404" s="1"/>
      <c r="F404" s="1"/>
      <c r="G404" s="15"/>
      <c r="H404" s="1"/>
      <c r="I404" s="20"/>
      <c r="J404" s="20"/>
      <c r="K404" s="14"/>
      <c r="L404" s="20"/>
      <c r="M404" s="14"/>
      <c r="N404" s="17"/>
      <c r="O404" s="17"/>
      <c r="P404" s="17"/>
      <c r="Q404" s="7"/>
    </row>
    <row r="405" spans="3:17" s="2" customFormat="1" ht="15.75" x14ac:dyDescent="0.25">
      <c r="C405" s="1"/>
      <c r="D405" s="1"/>
      <c r="E405" s="1"/>
      <c r="F405" s="1"/>
      <c r="G405" s="15"/>
      <c r="H405" s="1"/>
      <c r="I405" s="20"/>
      <c r="J405" s="20"/>
      <c r="K405" s="14"/>
      <c r="L405" s="20"/>
      <c r="M405" s="14"/>
      <c r="N405" s="17"/>
      <c r="O405" s="17"/>
      <c r="P405" s="17"/>
      <c r="Q405" s="7"/>
    </row>
    <row r="406" spans="3:17" s="2" customFormat="1" ht="15.75" x14ac:dyDescent="0.25">
      <c r="C406" s="1"/>
      <c r="D406" s="1"/>
      <c r="E406" s="1"/>
      <c r="F406" s="1"/>
      <c r="G406" s="15"/>
      <c r="H406" s="1"/>
      <c r="I406" s="20"/>
      <c r="J406" s="20"/>
      <c r="K406" s="14"/>
      <c r="L406" s="20"/>
      <c r="M406" s="14"/>
      <c r="N406" s="17"/>
      <c r="O406" s="17"/>
      <c r="P406" s="17"/>
      <c r="Q406" s="7"/>
    </row>
    <row r="407" spans="3:17" s="2" customFormat="1" ht="15.75" x14ac:dyDescent="0.25">
      <c r="C407" s="1"/>
      <c r="D407" s="1"/>
      <c r="E407" s="1"/>
      <c r="F407" s="1"/>
      <c r="G407" s="15"/>
      <c r="H407" s="1"/>
      <c r="I407" s="20"/>
      <c r="J407" s="20"/>
      <c r="K407" s="14"/>
      <c r="L407" s="20"/>
      <c r="M407" s="14"/>
      <c r="N407" s="17"/>
      <c r="O407" s="17"/>
      <c r="P407" s="17"/>
      <c r="Q407" s="7"/>
    </row>
    <row r="408" spans="3:17" s="2" customFormat="1" ht="15.75" x14ac:dyDescent="0.25">
      <c r="C408" s="1"/>
      <c r="D408" s="1"/>
      <c r="E408" s="1"/>
      <c r="F408" s="1"/>
      <c r="G408" s="15"/>
      <c r="H408" s="1"/>
      <c r="I408" s="20"/>
      <c r="J408" s="20"/>
      <c r="K408" s="14"/>
      <c r="L408" s="20"/>
      <c r="M408" s="14"/>
      <c r="N408" s="17"/>
      <c r="O408" s="17"/>
      <c r="P408" s="17"/>
      <c r="Q408" s="7"/>
    </row>
    <row r="409" spans="3:17" s="2" customFormat="1" ht="15.75" x14ac:dyDescent="0.25">
      <c r="C409" s="1"/>
      <c r="D409" s="1"/>
      <c r="E409" s="1"/>
      <c r="F409" s="1"/>
      <c r="G409" s="15"/>
      <c r="H409" s="1"/>
      <c r="I409" s="20"/>
      <c r="J409" s="20"/>
      <c r="K409" s="14"/>
      <c r="L409" s="20"/>
      <c r="M409" s="14"/>
      <c r="N409" s="17"/>
      <c r="O409" s="17"/>
      <c r="P409" s="17"/>
      <c r="Q409" s="7"/>
    </row>
    <row r="410" spans="3:17" s="2" customFormat="1" ht="15.75" x14ac:dyDescent="0.25">
      <c r="C410" s="1"/>
      <c r="D410" s="1"/>
      <c r="E410" s="1"/>
      <c r="F410" s="1"/>
      <c r="G410" s="15"/>
      <c r="H410" s="1"/>
      <c r="I410" s="20"/>
      <c r="J410" s="20"/>
      <c r="K410" s="14"/>
      <c r="L410" s="20"/>
      <c r="M410" s="14"/>
      <c r="N410" s="17"/>
      <c r="O410" s="17"/>
      <c r="P410" s="17"/>
      <c r="Q410" s="7"/>
    </row>
    <row r="411" spans="3:17" s="2" customFormat="1" ht="15.75" x14ac:dyDescent="0.25">
      <c r="C411" s="1"/>
      <c r="D411" s="1"/>
      <c r="E411" s="1"/>
      <c r="F411" s="1"/>
      <c r="G411" s="15"/>
      <c r="H411" s="1"/>
      <c r="I411" s="20"/>
      <c r="J411" s="20"/>
      <c r="K411" s="14"/>
      <c r="L411" s="20"/>
      <c r="M411" s="14"/>
      <c r="N411" s="17"/>
      <c r="O411" s="17"/>
      <c r="P411" s="17"/>
      <c r="Q411" s="7"/>
    </row>
    <row r="412" spans="3:17" s="2" customFormat="1" ht="15.75" x14ac:dyDescent="0.25">
      <c r="C412" s="1"/>
      <c r="D412" s="1"/>
      <c r="E412" s="1"/>
      <c r="F412" s="1"/>
      <c r="G412" s="15"/>
      <c r="H412" s="1"/>
      <c r="I412" s="20"/>
      <c r="J412" s="20"/>
      <c r="K412" s="14"/>
      <c r="L412" s="20"/>
      <c r="M412" s="14"/>
      <c r="N412" s="17"/>
      <c r="O412" s="17"/>
      <c r="P412" s="17"/>
      <c r="Q412" s="7"/>
    </row>
    <row r="413" spans="3:17" s="2" customFormat="1" ht="15.75" x14ac:dyDescent="0.25">
      <c r="C413" s="1"/>
      <c r="D413" s="1"/>
      <c r="E413" s="1"/>
      <c r="F413" s="1"/>
      <c r="G413" s="15"/>
      <c r="H413" s="1"/>
      <c r="I413" s="20"/>
      <c r="J413" s="20"/>
      <c r="K413" s="14"/>
      <c r="L413" s="20"/>
      <c r="M413" s="14"/>
      <c r="N413" s="17"/>
      <c r="O413" s="17"/>
      <c r="P413" s="17"/>
      <c r="Q413" s="7"/>
    </row>
    <row r="414" spans="3:17" s="2" customFormat="1" ht="15.75" x14ac:dyDescent="0.25">
      <c r="C414" s="1"/>
      <c r="D414" s="1"/>
      <c r="E414" s="1"/>
      <c r="F414" s="1"/>
      <c r="G414" s="15"/>
      <c r="H414" s="1"/>
      <c r="I414" s="20"/>
      <c r="J414" s="20"/>
      <c r="K414" s="14"/>
      <c r="L414" s="20"/>
      <c r="M414" s="14"/>
      <c r="N414" s="17"/>
      <c r="O414" s="17"/>
      <c r="P414" s="17"/>
      <c r="Q414" s="7"/>
    </row>
    <row r="415" spans="3:17" s="2" customFormat="1" ht="15.75" x14ac:dyDescent="0.25">
      <c r="C415" s="1"/>
      <c r="D415" s="1"/>
      <c r="E415" s="1"/>
      <c r="F415" s="1"/>
      <c r="G415" s="15"/>
      <c r="H415" s="1"/>
      <c r="I415" s="20"/>
      <c r="J415" s="20"/>
      <c r="K415" s="14"/>
      <c r="L415" s="20"/>
      <c r="M415" s="14"/>
      <c r="N415" s="17"/>
      <c r="O415" s="17"/>
      <c r="P415" s="17"/>
      <c r="Q415" s="7"/>
    </row>
    <row r="416" spans="3:17" s="2" customFormat="1" ht="15.75" x14ac:dyDescent="0.25">
      <c r="C416" s="1"/>
      <c r="D416" s="1"/>
      <c r="E416" s="1"/>
      <c r="F416" s="1"/>
      <c r="G416" s="15"/>
      <c r="H416" s="1"/>
      <c r="I416" s="20"/>
      <c r="J416" s="20"/>
      <c r="K416" s="14"/>
      <c r="L416" s="20"/>
      <c r="M416" s="14"/>
      <c r="N416" s="17"/>
      <c r="O416" s="17"/>
      <c r="P416" s="17"/>
      <c r="Q416" s="7"/>
    </row>
    <row r="417" spans="3:17" s="2" customFormat="1" ht="15.75" x14ac:dyDescent="0.25">
      <c r="C417" s="1"/>
      <c r="D417" s="1"/>
      <c r="E417" s="1"/>
      <c r="F417" s="1"/>
      <c r="G417" s="15"/>
      <c r="H417" s="1"/>
      <c r="I417" s="20"/>
      <c r="J417" s="20"/>
      <c r="K417" s="14"/>
      <c r="L417" s="20"/>
      <c r="M417" s="14"/>
      <c r="N417" s="17"/>
      <c r="O417" s="17"/>
      <c r="P417" s="17"/>
      <c r="Q417" s="7"/>
    </row>
    <row r="418" spans="3:17" s="2" customFormat="1" ht="15.75" x14ac:dyDescent="0.25">
      <c r="C418" s="1"/>
      <c r="D418" s="1"/>
      <c r="E418" s="1"/>
      <c r="F418" s="1"/>
      <c r="G418" s="15"/>
      <c r="H418" s="1"/>
      <c r="I418" s="20"/>
      <c r="J418" s="20"/>
      <c r="K418" s="14"/>
      <c r="L418" s="20"/>
      <c r="M418" s="14"/>
      <c r="N418" s="17"/>
      <c r="O418" s="17"/>
      <c r="P418" s="17"/>
      <c r="Q418" s="7"/>
    </row>
    <row r="419" spans="3:17" s="2" customFormat="1" ht="15.75" x14ac:dyDescent="0.25">
      <c r="C419" s="1"/>
      <c r="D419" s="1"/>
      <c r="E419" s="1"/>
      <c r="F419" s="1"/>
      <c r="G419" s="15"/>
      <c r="H419" s="1"/>
      <c r="I419" s="20"/>
      <c r="J419" s="20"/>
      <c r="K419" s="14"/>
      <c r="L419" s="20"/>
      <c r="M419" s="14"/>
      <c r="N419" s="17"/>
      <c r="O419" s="17"/>
      <c r="P419" s="17"/>
      <c r="Q419" s="7"/>
    </row>
    <row r="420" spans="3:17" s="2" customFormat="1" ht="15.75" x14ac:dyDescent="0.25">
      <c r="C420" s="1"/>
      <c r="D420" s="1"/>
      <c r="E420" s="1"/>
      <c r="F420" s="1"/>
      <c r="G420" s="15"/>
      <c r="H420" s="1"/>
      <c r="I420" s="20"/>
      <c r="J420" s="20"/>
      <c r="K420" s="14"/>
      <c r="L420" s="20"/>
      <c r="M420" s="14"/>
      <c r="N420" s="17"/>
      <c r="O420" s="17"/>
      <c r="P420" s="17"/>
      <c r="Q420" s="7"/>
    </row>
    <row r="421" spans="3:17" s="2" customFormat="1" ht="15.75" x14ac:dyDescent="0.25">
      <c r="C421" s="1"/>
      <c r="D421" s="1"/>
      <c r="E421" s="1"/>
      <c r="F421" s="1"/>
      <c r="G421" s="15"/>
      <c r="H421" s="1"/>
      <c r="I421" s="20"/>
      <c r="J421" s="20"/>
      <c r="K421" s="14"/>
      <c r="L421" s="20"/>
      <c r="M421" s="14"/>
      <c r="N421" s="17"/>
      <c r="O421" s="17"/>
      <c r="P421" s="17"/>
      <c r="Q421" s="7"/>
    </row>
    <row r="422" spans="3:17" s="2" customFormat="1" ht="15.75" x14ac:dyDescent="0.25">
      <c r="C422" s="1"/>
      <c r="D422" s="1"/>
      <c r="E422" s="1"/>
      <c r="F422" s="1"/>
      <c r="G422" s="15"/>
      <c r="H422" s="1"/>
      <c r="I422" s="20"/>
      <c r="J422" s="20"/>
      <c r="K422" s="14"/>
      <c r="L422" s="20"/>
      <c r="M422" s="14"/>
      <c r="N422" s="17"/>
      <c r="O422" s="17"/>
      <c r="P422" s="17"/>
      <c r="Q422" s="7"/>
    </row>
    <row r="423" spans="3:17" s="2" customFormat="1" ht="15.75" x14ac:dyDescent="0.25">
      <c r="C423" s="1"/>
      <c r="D423" s="1"/>
      <c r="E423" s="1"/>
      <c r="F423" s="1"/>
      <c r="G423" s="15"/>
      <c r="H423" s="1"/>
      <c r="I423" s="20"/>
      <c r="J423" s="20"/>
      <c r="K423" s="14"/>
      <c r="L423" s="20"/>
      <c r="M423" s="14"/>
      <c r="N423" s="17"/>
      <c r="O423" s="17"/>
      <c r="P423" s="17"/>
      <c r="Q423" s="7"/>
    </row>
    <row r="424" spans="3:17" s="2" customFormat="1" ht="15.75" x14ac:dyDescent="0.25">
      <c r="C424" s="1"/>
      <c r="D424" s="1"/>
      <c r="E424" s="1"/>
      <c r="F424" s="1"/>
      <c r="G424" s="15"/>
      <c r="H424" s="1"/>
      <c r="I424" s="20"/>
      <c r="J424" s="20"/>
      <c r="K424" s="14"/>
      <c r="L424" s="20"/>
      <c r="M424" s="14"/>
      <c r="N424" s="17"/>
      <c r="O424" s="17"/>
      <c r="P424" s="17"/>
      <c r="Q424" s="7"/>
    </row>
    <row r="425" spans="3:17" s="2" customFormat="1" ht="15.75" x14ac:dyDescent="0.25">
      <c r="C425" s="1"/>
      <c r="D425" s="1"/>
      <c r="E425" s="1"/>
      <c r="F425" s="1"/>
      <c r="G425" s="15"/>
      <c r="H425" s="1"/>
      <c r="I425" s="20"/>
      <c r="J425" s="20"/>
      <c r="K425" s="14"/>
      <c r="L425" s="20"/>
      <c r="M425" s="14"/>
      <c r="N425" s="17"/>
      <c r="O425" s="17"/>
      <c r="P425" s="17"/>
      <c r="Q425" s="7"/>
    </row>
    <row r="426" spans="3:17" s="2" customFormat="1" ht="15.75" x14ac:dyDescent="0.25">
      <c r="C426" s="1"/>
      <c r="D426" s="1"/>
      <c r="E426" s="1"/>
      <c r="F426" s="1"/>
      <c r="G426" s="15"/>
      <c r="H426" s="1"/>
      <c r="I426" s="20"/>
      <c r="J426" s="20"/>
      <c r="K426" s="14"/>
      <c r="L426" s="20"/>
      <c r="M426" s="14"/>
      <c r="N426" s="17"/>
      <c r="O426" s="17"/>
      <c r="P426" s="17"/>
      <c r="Q426" s="7"/>
    </row>
    <row r="427" spans="3:17" s="2" customFormat="1" ht="15.75" x14ac:dyDescent="0.25">
      <c r="C427" s="1"/>
      <c r="D427" s="1"/>
      <c r="E427" s="1"/>
      <c r="F427" s="1"/>
      <c r="G427" s="15"/>
      <c r="H427" s="1"/>
      <c r="I427" s="20"/>
      <c r="J427" s="20"/>
      <c r="K427" s="14"/>
      <c r="L427" s="20"/>
      <c r="M427" s="14"/>
      <c r="N427" s="17"/>
      <c r="O427" s="17"/>
      <c r="P427" s="17"/>
      <c r="Q427" s="7"/>
    </row>
    <row r="428" spans="3:17" s="2" customFormat="1" ht="15.75" x14ac:dyDescent="0.25">
      <c r="C428" s="1"/>
      <c r="D428" s="1"/>
      <c r="E428" s="1"/>
      <c r="F428" s="1"/>
      <c r="G428" s="15"/>
      <c r="H428" s="1"/>
      <c r="I428" s="20"/>
      <c r="J428" s="20"/>
      <c r="K428" s="14"/>
      <c r="L428" s="20"/>
      <c r="M428" s="14"/>
      <c r="N428" s="17"/>
      <c r="O428" s="17"/>
      <c r="P428" s="17"/>
      <c r="Q428" s="7"/>
    </row>
    <row r="429" spans="3:17" s="2" customFormat="1" ht="15.75" x14ac:dyDescent="0.25">
      <c r="C429" s="1"/>
      <c r="D429" s="1"/>
      <c r="E429" s="1"/>
      <c r="F429" s="1"/>
      <c r="G429" s="15"/>
      <c r="H429" s="1"/>
      <c r="I429" s="20"/>
      <c r="J429" s="20"/>
      <c r="K429" s="14"/>
      <c r="L429" s="20"/>
      <c r="M429" s="14"/>
      <c r="N429" s="17"/>
      <c r="O429" s="17"/>
      <c r="P429" s="17"/>
      <c r="Q429" s="7"/>
    </row>
    <row r="430" spans="3:17" s="2" customFormat="1" ht="15.75" x14ac:dyDescent="0.25">
      <c r="C430" s="1"/>
      <c r="D430" s="1"/>
      <c r="E430" s="1"/>
      <c r="F430" s="1"/>
      <c r="G430" s="15"/>
      <c r="H430" s="1"/>
      <c r="I430" s="20"/>
      <c r="J430" s="20"/>
      <c r="K430" s="14"/>
      <c r="L430" s="20"/>
      <c r="M430" s="14"/>
      <c r="N430" s="17"/>
      <c r="O430" s="17"/>
      <c r="P430" s="17"/>
      <c r="Q430" s="7"/>
    </row>
    <row r="431" spans="3:17" s="2" customFormat="1" ht="15.75" x14ac:dyDescent="0.25">
      <c r="C431" s="1"/>
      <c r="D431" s="1"/>
      <c r="E431" s="1"/>
      <c r="F431" s="1"/>
      <c r="G431" s="15"/>
      <c r="H431" s="1"/>
      <c r="I431" s="20"/>
      <c r="J431" s="20"/>
      <c r="K431" s="14"/>
      <c r="L431" s="20"/>
      <c r="M431" s="14"/>
      <c r="N431" s="17"/>
      <c r="O431" s="17"/>
      <c r="P431" s="17"/>
      <c r="Q431" s="7"/>
    </row>
    <row r="432" spans="3:17" s="2" customFormat="1" ht="15.75" x14ac:dyDescent="0.25">
      <c r="C432" s="1"/>
      <c r="D432" s="1"/>
      <c r="E432" s="1"/>
      <c r="F432" s="1"/>
      <c r="G432" s="15"/>
      <c r="H432" s="1"/>
      <c r="I432" s="20"/>
      <c r="J432" s="20"/>
      <c r="K432" s="14"/>
      <c r="L432" s="20"/>
      <c r="M432" s="14"/>
      <c r="N432" s="17"/>
      <c r="O432" s="17"/>
      <c r="P432" s="17"/>
      <c r="Q432" s="7"/>
    </row>
    <row r="433" spans="3:17" s="2" customFormat="1" ht="15.75" x14ac:dyDescent="0.25">
      <c r="C433" s="1"/>
      <c r="D433" s="1"/>
      <c r="E433" s="1"/>
      <c r="F433" s="1"/>
      <c r="G433" s="15"/>
      <c r="H433" s="1"/>
      <c r="I433" s="20"/>
      <c r="J433" s="20"/>
      <c r="K433" s="14"/>
      <c r="L433" s="20"/>
      <c r="M433" s="14"/>
      <c r="N433" s="17"/>
      <c r="O433" s="17"/>
      <c r="P433" s="17"/>
      <c r="Q433" s="7"/>
    </row>
    <row r="434" spans="3:17" s="2" customFormat="1" ht="15.75" x14ac:dyDescent="0.25">
      <c r="C434" s="1"/>
      <c r="D434" s="1"/>
      <c r="E434" s="1"/>
      <c r="F434" s="1"/>
      <c r="G434" s="15"/>
      <c r="H434" s="1"/>
      <c r="I434" s="20"/>
      <c r="J434" s="20"/>
      <c r="K434" s="14"/>
      <c r="L434" s="20"/>
      <c r="M434" s="14"/>
      <c r="N434" s="17"/>
      <c r="O434" s="17"/>
      <c r="P434" s="17"/>
      <c r="Q434" s="7"/>
    </row>
    <row r="435" spans="3:17" s="2" customFormat="1" ht="15.75" x14ac:dyDescent="0.25">
      <c r="C435" s="1"/>
      <c r="D435" s="1"/>
      <c r="E435" s="1"/>
      <c r="F435" s="1"/>
      <c r="G435" s="15"/>
      <c r="H435" s="1"/>
      <c r="I435" s="20"/>
      <c r="J435" s="20"/>
      <c r="K435" s="14"/>
      <c r="L435" s="20"/>
      <c r="M435" s="14"/>
      <c r="N435" s="17"/>
      <c r="O435" s="17"/>
      <c r="P435" s="17"/>
      <c r="Q435" s="7"/>
    </row>
    <row r="436" spans="3:17" s="2" customFormat="1" ht="15.75" x14ac:dyDescent="0.25">
      <c r="C436" s="1"/>
      <c r="D436" s="1"/>
      <c r="E436" s="1"/>
      <c r="F436" s="1"/>
      <c r="G436" s="15"/>
      <c r="H436" s="1"/>
      <c r="I436" s="20"/>
      <c r="J436" s="20"/>
      <c r="K436" s="14"/>
      <c r="L436" s="20"/>
      <c r="M436" s="14"/>
      <c r="N436" s="17"/>
      <c r="O436" s="17"/>
      <c r="P436" s="17"/>
      <c r="Q436" s="7"/>
    </row>
    <row r="437" spans="3:17" s="2" customFormat="1" ht="15.75" x14ac:dyDescent="0.25">
      <c r="C437" s="1"/>
      <c r="D437" s="1"/>
      <c r="E437" s="1"/>
      <c r="F437" s="1"/>
      <c r="G437" s="15"/>
      <c r="H437" s="1"/>
      <c r="I437" s="20"/>
      <c r="J437" s="20"/>
      <c r="K437" s="14"/>
      <c r="L437" s="20"/>
      <c r="M437" s="14"/>
      <c r="N437" s="17"/>
      <c r="O437" s="17"/>
      <c r="P437" s="17"/>
      <c r="Q437" s="7"/>
    </row>
    <row r="438" spans="3:17" s="2" customFormat="1" ht="15.75" x14ac:dyDescent="0.25">
      <c r="C438" s="1"/>
      <c r="D438" s="1"/>
      <c r="E438" s="1"/>
      <c r="F438" s="1"/>
      <c r="G438" s="15"/>
      <c r="H438" s="1"/>
      <c r="I438" s="20"/>
      <c r="J438" s="20"/>
      <c r="K438" s="14"/>
      <c r="L438" s="20"/>
      <c r="M438" s="14"/>
      <c r="N438" s="17"/>
      <c r="O438" s="17"/>
      <c r="P438" s="17"/>
      <c r="Q438" s="7"/>
    </row>
    <row r="439" spans="3:17" s="2" customFormat="1" ht="15.75" x14ac:dyDescent="0.25">
      <c r="C439" s="1"/>
      <c r="D439" s="1"/>
      <c r="E439" s="1"/>
      <c r="F439" s="1"/>
      <c r="G439" s="15"/>
      <c r="H439" s="1"/>
      <c r="I439" s="20"/>
      <c r="J439" s="20"/>
      <c r="K439" s="14"/>
      <c r="L439" s="20"/>
      <c r="M439" s="14"/>
      <c r="N439" s="17"/>
      <c r="O439" s="17"/>
      <c r="P439" s="17"/>
      <c r="Q439" s="7"/>
    </row>
    <row r="440" spans="3:17" s="2" customFormat="1" ht="15.75" x14ac:dyDescent="0.25">
      <c r="C440" s="1"/>
      <c r="D440" s="1"/>
      <c r="E440" s="1"/>
      <c r="F440" s="1"/>
      <c r="G440" s="15"/>
      <c r="H440" s="1"/>
      <c r="I440" s="20"/>
      <c r="J440" s="20"/>
      <c r="K440" s="14"/>
      <c r="L440" s="20"/>
      <c r="M440" s="14"/>
      <c r="N440" s="17"/>
      <c r="O440" s="17"/>
      <c r="P440" s="17"/>
      <c r="Q440" s="7"/>
    </row>
    <row r="441" spans="3:17" s="2" customFormat="1" ht="15.75" x14ac:dyDescent="0.25">
      <c r="C441" s="1"/>
      <c r="D441" s="1"/>
      <c r="E441" s="1"/>
      <c r="F441" s="1"/>
      <c r="G441" s="15"/>
      <c r="H441" s="1"/>
      <c r="I441" s="20"/>
      <c r="J441" s="20"/>
      <c r="K441" s="14"/>
      <c r="L441" s="20"/>
      <c r="M441" s="14"/>
      <c r="N441" s="17"/>
      <c r="O441" s="17"/>
      <c r="P441" s="17"/>
      <c r="Q441" s="7"/>
    </row>
    <row r="442" spans="3:17" s="2" customFormat="1" ht="15.75" x14ac:dyDescent="0.25">
      <c r="C442" s="1"/>
      <c r="D442" s="1"/>
      <c r="E442" s="1"/>
      <c r="F442" s="1"/>
      <c r="G442" s="15"/>
      <c r="H442" s="1"/>
      <c r="I442" s="20"/>
      <c r="J442" s="20"/>
      <c r="K442" s="14"/>
      <c r="L442" s="20"/>
      <c r="M442" s="14"/>
      <c r="N442" s="17"/>
      <c r="O442" s="17"/>
      <c r="P442" s="17"/>
      <c r="Q442" s="7"/>
    </row>
    <row r="443" spans="3:17" s="2" customFormat="1" ht="15.75" x14ac:dyDescent="0.25">
      <c r="C443" s="1"/>
      <c r="D443" s="1"/>
      <c r="E443" s="1"/>
      <c r="F443" s="1"/>
      <c r="G443" s="15"/>
      <c r="H443" s="1"/>
      <c r="I443" s="20"/>
      <c r="J443" s="20"/>
      <c r="K443" s="14"/>
      <c r="L443" s="20"/>
      <c r="M443" s="14"/>
      <c r="N443" s="17"/>
      <c r="O443" s="17"/>
      <c r="P443" s="17"/>
      <c r="Q443" s="7"/>
    </row>
    <row r="444" spans="3:17" s="2" customFormat="1" ht="15.75" x14ac:dyDescent="0.25">
      <c r="C444" s="1"/>
      <c r="D444" s="1"/>
      <c r="E444" s="1"/>
      <c r="F444" s="1"/>
      <c r="G444" s="15"/>
      <c r="H444" s="1"/>
      <c r="I444" s="20"/>
      <c r="J444" s="20"/>
      <c r="K444" s="14"/>
      <c r="L444" s="20"/>
      <c r="M444" s="14"/>
      <c r="N444" s="17"/>
      <c r="O444" s="17"/>
      <c r="P444" s="17"/>
      <c r="Q444" s="7"/>
    </row>
    <row r="445" spans="3:17" s="2" customFormat="1" ht="15.75" x14ac:dyDescent="0.25">
      <c r="C445" s="1"/>
      <c r="D445" s="1"/>
      <c r="E445" s="1"/>
      <c r="F445" s="1"/>
      <c r="G445" s="15"/>
      <c r="H445" s="1"/>
      <c r="I445" s="20"/>
      <c r="J445" s="20"/>
      <c r="K445" s="14"/>
      <c r="L445" s="20"/>
      <c r="M445" s="14"/>
      <c r="N445" s="17"/>
      <c r="O445" s="17"/>
      <c r="P445" s="17"/>
      <c r="Q445" s="7"/>
    </row>
    <row r="446" spans="3:17" s="2" customFormat="1" ht="15.75" x14ac:dyDescent="0.25">
      <c r="C446" s="1"/>
      <c r="D446" s="1"/>
      <c r="E446" s="1"/>
      <c r="F446" s="1"/>
      <c r="G446" s="15"/>
      <c r="H446" s="1"/>
      <c r="I446" s="20"/>
      <c r="J446" s="20"/>
      <c r="K446" s="14"/>
      <c r="L446" s="20"/>
      <c r="M446" s="14"/>
      <c r="N446" s="17"/>
      <c r="O446" s="17"/>
      <c r="P446" s="17"/>
      <c r="Q446" s="7"/>
    </row>
    <row r="447" spans="3:17" s="2" customFormat="1" ht="15.75" x14ac:dyDescent="0.25">
      <c r="C447" s="1"/>
      <c r="D447" s="1"/>
      <c r="E447" s="1"/>
      <c r="F447" s="1"/>
      <c r="G447" s="15"/>
      <c r="H447" s="1"/>
      <c r="I447" s="20"/>
      <c r="J447" s="20"/>
      <c r="K447" s="14"/>
      <c r="L447" s="20"/>
      <c r="M447" s="14"/>
      <c r="N447" s="17"/>
      <c r="O447" s="17"/>
      <c r="P447" s="17"/>
      <c r="Q447" s="7"/>
    </row>
    <row r="448" spans="3:17" s="2" customFormat="1" ht="15.75" x14ac:dyDescent="0.25">
      <c r="C448" s="1"/>
      <c r="D448" s="1"/>
      <c r="E448" s="1"/>
      <c r="F448" s="1"/>
      <c r="G448" s="15"/>
      <c r="H448" s="1"/>
      <c r="I448" s="20"/>
      <c r="J448" s="20"/>
      <c r="K448" s="14"/>
      <c r="L448" s="20"/>
      <c r="M448" s="14"/>
      <c r="N448" s="17"/>
      <c r="O448" s="17"/>
      <c r="P448" s="17"/>
      <c r="Q448" s="7"/>
    </row>
    <row r="449" spans="3:17" s="2" customFormat="1" ht="15.75" x14ac:dyDescent="0.25">
      <c r="C449" s="1"/>
      <c r="D449" s="1"/>
      <c r="E449" s="1"/>
      <c r="F449" s="1"/>
      <c r="G449" s="15"/>
      <c r="H449" s="1"/>
      <c r="I449" s="20"/>
      <c r="J449" s="20"/>
      <c r="K449" s="14"/>
      <c r="L449" s="20"/>
      <c r="M449" s="14"/>
      <c r="N449" s="17"/>
      <c r="O449" s="17"/>
      <c r="P449" s="17"/>
      <c r="Q449" s="7"/>
    </row>
    <row r="450" spans="3:17" s="2" customFormat="1" ht="15.75" x14ac:dyDescent="0.25">
      <c r="C450" s="1"/>
      <c r="D450" s="1"/>
      <c r="E450" s="1"/>
      <c r="F450" s="1"/>
      <c r="G450" s="15"/>
      <c r="H450" s="1"/>
      <c r="I450" s="20"/>
      <c r="J450" s="20"/>
      <c r="K450" s="14"/>
      <c r="L450" s="20"/>
      <c r="M450" s="14"/>
      <c r="N450" s="17"/>
      <c r="O450" s="17"/>
      <c r="P450" s="17"/>
      <c r="Q450" s="7"/>
    </row>
    <row r="451" spans="3:17" s="2" customFormat="1" ht="15.75" x14ac:dyDescent="0.25">
      <c r="C451" s="1"/>
      <c r="D451" s="1"/>
      <c r="E451" s="1"/>
      <c r="F451" s="1"/>
      <c r="G451" s="15"/>
      <c r="H451" s="1"/>
      <c r="I451" s="20"/>
      <c r="J451" s="20"/>
      <c r="K451" s="14"/>
      <c r="L451" s="20"/>
      <c r="M451" s="14"/>
      <c r="N451" s="17"/>
      <c r="O451" s="17"/>
      <c r="P451" s="17"/>
      <c r="Q451" s="7"/>
    </row>
    <row r="452" spans="3:17" s="2" customFormat="1" ht="15.75" x14ac:dyDescent="0.25">
      <c r="C452" s="1"/>
      <c r="D452" s="1"/>
      <c r="E452" s="1"/>
      <c r="F452" s="1"/>
      <c r="G452" s="15"/>
      <c r="H452" s="1"/>
      <c r="I452" s="20"/>
      <c r="J452" s="20"/>
      <c r="K452" s="14"/>
      <c r="L452" s="20"/>
      <c r="M452" s="14"/>
      <c r="N452" s="17"/>
      <c r="O452" s="17"/>
      <c r="P452" s="17"/>
      <c r="Q452" s="7"/>
    </row>
    <row r="453" spans="3:17" s="2" customFormat="1" ht="15.75" x14ac:dyDescent="0.25">
      <c r="C453" s="1"/>
      <c r="D453" s="1"/>
      <c r="E453" s="1"/>
      <c r="F453" s="1"/>
      <c r="G453" s="15"/>
      <c r="H453" s="1"/>
      <c r="I453" s="20"/>
      <c r="J453" s="20"/>
      <c r="K453" s="14"/>
      <c r="L453" s="20"/>
      <c r="M453" s="14"/>
      <c r="N453" s="17"/>
      <c r="O453" s="17"/>
      <c r="P453" s="17"/>
      <c r="Q453" s="7"/>
    </row>
    <row r="454" spans="3:17" s="2" customFormat="1" ht="15.75" x14ac:dyDescent="0.25">
      <c r="C454" s="1"/>
      <c r="D454" s="1"/>
      <c r="E454" s="1"/>
      <c r="F454" s="1"/>
      <c r="G454" s="15"/>
      <c r="H454" s="1"/>
      <c r="I454" s="20"/>
      <c r="J454" s="20"/>
      <c r="K454" s="14"/>
      <c r="L454" s="20"/>
      <c r="M454" s="14"/>
      <c r="N454" s="17"/>
      <c r="O454" s="17"/>
      <c r="P454" s="17"/>
      <c r="Q454" s="7"/>
    </row>
    <row r="455" spans="3:17" s="2" customFormat="1" ht="15.75" x14ac:dyDescent="0.25">
      <c r="C455" s="1"/>
      <c r="D455" s="1"/>
      <c r="E455" s="1"/>
      <c r="F455" s="1"/>
      <c r="G455" s="15"/>
      <c r="H455" s="1"/>
      <c r="I455" s="20"/>
      <c r="J455" s="20"/>
      <c r="K455" s="14"/>
      <c r="L455" s="20"/>
      <c r="M455" s="14"/>
      <c r="N455" s="17"/>
      <c r="O455" s="17"/>
      <c r="P455" s="17"/>
      <c r="Q455" s="7"/>
    </row>
    <row r="456" spans="3:17" s="2" customFormat="1" ht="15.75" x14ac:dyDescent="0.25">
      <c r="C456" s="1"/>
      <c r="D456" s="1"/>
      <c r="E456" s="1"/>
      <c r="F456" s="1"/>
      <c r="G456" s="15"/>
      <c r="H456" s="1"/>
      <c r="I456" s="20"/>
      <c r="J456" s="20"/>
      <c r="K456" s="14"/>
      <c r="L456" s="20"/>
      <c r="M456" s="14"/>
      <c r="N456" s="17"/>
      <c r="O456" s="17"/>
      <c r="P456" s="17"/>
      <c r="Q456" s="7"/>
    </row>
    <row r="457" spans="3:17" s="2" customFormat="1" ht="15.75" x14ac:dyDescent="0.25">
      <c r="C457" s="1"/>
      <c r="D457" s="1"/>
      <c r="E457" s="1"/>
      <c r="F457" s="1"/>
      <c r="G457" s="15"/>
      <c r="H457" s="1"/>
      <c r="I457" s="20"/>
      <c r="J457" s="20"/>
      <c r="K457" s="14"/>
      <c r="L457" s="20"/>
      <c r="M457" s="14"/>
      <c r="N457" s="17"/>
      <c r="O457" s="17"/>
      <c r="P457" s="17"/>
      <c r="Q457" s="7"/>
    </row>
    <row r="458" spans="3:17" s="2" customFormat="1" ht="15.75" x14ac:dyDescent="0.25">
      <c r="C458" s="1"/>
      <c r="D458" s="1"/>
      <c r="E458" s="1"/>
      <c r="F458" s="1"/>
      <c r="G458" s="15"/>
      <c r="H458" s="1"/>
      <c r="I458" s="20"/>
      <c r="J458" s="20"/>
      <c r="K458" s="14"/>
      <c r="L458" s="20"/>
      <c r="M458" s="14"/>
      <c r="N458" s="17"/>
      <c r="O458" s="17"/>
      <c r="P458" s="17"/>
      <c r="Q458" s="7"/>
    </row>
    <row r="459" spans="3:17" s="2" customFormat="1" ht="15.75" x14ac:dyDescent="0.25">
      <c r="C459" s="1"/>
      <c r="D459" s="1"/>
      <c r="E459" s="1"/>
      <c r="F459" s="1"/>
      <c r="G459" s="15"/>
      <c r="H459" s="1"/>
      <c r="I459" s="20"/>
      <c r="J459" s="20"/>
      <c r="K459" s="14"/>
      <c r="L459" s="20"/>
      <c r="M459" s="14"/>
      <c r="N459" s="17"/>
      <c r="O459" s="17"/>
      <c r="P459" s="17"/>
      <c r="Q459" s="7"/>
    </row>
    <row r="460" spans="3:17" s="2" customFormat="1" ht="15.75" x14ac:dyDescent="0.25">
      <c r="C460" s="1"/>
      <c r="D460" s="1"/>
      <c r="E460" s="1"/>
      <c r="F460" s="1"/>
      <c r="G460" s="15"/>
      <c r="H460" s="1"/>
      <c r="I460" s="20"/>
      <c r="J460" s="20"/>
      <c r="K460" s="14"/>
      <c r="L460" s="20"/>
      <c r="M460" s="14"/>
      <c r="N460" s="17"/>
      <c r="O460" s="17"/>
      <c r="P460" s="17"/>
      <c r="Q460" s="7"/>
    </row>
    <row r="461" spans="3:17" s="2" customFormat="1" ht="15.75" x14ac:dyDescent="0.25">
      <c r="C461" s="1"/>
      <c r="D461" s="1"/>
      <c r="E461" s="1"/>
      <c r="F461" s="1"/>
      <c r="G461" s="15"/>
      <c r="H461" s="1"/>
      <c r="I461" s="20"/>
      <c r="J461" s="20"/>
      <c r="K461" s="14"/>
      <c r="L461" s="20"/>
      <c r="M461" s="14"/>
      <c r="N461" s="17"/>
      <c r="O461" s="17"/>
      <c r="P461" s="17"/>
      <c r="Q461" s="7"/>
    </row>
    <row r="462" spans="3:17" s="2" customFormat="1" ht="15.75" x14ac:dyDescent="0.25">
      <c r="C462" s="1"/>
      <c r="D462" s="1"/>
      <c r="E462" s="1"/>
      <c r="F462" s="1"/>
      <c r="G462" s="15"/>
      <c r="H462" s="1"/>
      <c r="I462" s="20"/>
      <c r="J462" s="20"/>
      <c r="K462" s="14"/>
      <c r="L462" s="20"/>
      <c r="M462" s="14"/>
      <c r="N462" s="17"/>
      <c r="O462" s="17"/>
      <c r="P462" s="17"/>
      <c r="Q462" s="7"/>
    </row>
    <row r="463" spans="3:17" s="2" customFormat="1" ht="15.75" x14ac:dyDescent="0.25">
      <c r="C463" s="1"/>
      <c r="D463" s="1"/>
      <c r="E463" s="1"/>
      <c r="F463" s="1"/>
      <c r="G463" s="15"/>
      <c r="H463" s="1"/>
      <c r="I463" s="20"/>
      <c r="J463" s="20"/>
      <c r="K463" s="14"/>
      <c r="L463" s="20"/>
      <c r="M463" s="14"/>
      <c r="N463" s="17"/>
      <c r="O463" s="17"/>
      <c r="P463" s="17"/>
      <c r="Q463" s="7"/>
    </row>
    <row r="464" spans="3:17" s="2" customFormat="1" ht="15.75" x14ac:dyDescent="0.25">
      <c r="C464" s="1"/>
      <c r="D464" s="1"/>
      <c r="E464" s="1"/>
      <c r="F464" s="1"/>
      <c r="G464" s="15"/>
      <c r="H464" s="1"/>
      <c r="I464" s="20"/>
      <c r="J464" s="20"/>
      <c r="K464" s="14"/>
      <c r="L464" s="20"/>
      <c r="M464" s="14"/>
      <c r="N464" s="17"/>
      <c r="O464" s="17"/>
      <c r="P464" s="17"/>
      <c r="Q464" s="7"/>
    </row>
    <row r="465" spans="3:17" s="2" customFormat="1" ht="15.75" x14ac:dyDescent="0.25">
      <c r="C465" s="1"/>
      <c r="D465" s="1"/>
      <c r="E465" s="1"/>
      <c r="F465" s="1"/>
      <c r="G465" s="15"/>
      <c r="H465" s="1"/>
      <c r="I465" s="20"/>
      <c r="J465" s="20"/>
      <c r="K465" s="14"/>
      <c r="L465" s="20"/>
      <c r="M465" s="14"/>
      <c r="N465" s="17"/>
      <c r="O465" s="17"/>
      <c r="P465" s="17"/>
      <c r="Q465" s="7"/>
    </row>
    <row r="466" spans="3:17" s="2" customFormat="1" ht="15.75" x14ac:dyDescent="0.25">
      <c r="C466" s="1"/>
      <c r="D466" s="1"/>
      <c r="E466" s="1"/>
      <c r="F466" s="1"/>
      <c r="G466" s="15"/>
      <c r="H466" s="1"/>
      <c r="I466" s="20"/>
      <c r="J466" s="20"/>
      <c r="K466" s="14"/>
      <c r="L466" s="20"/>
      <c r="M466" s="14"/>
      <c r="N466" s="17"/>
      <c r="O466" s="17"/>
      <c r="P466" s="17"/>
      <c r="Q466" s="7"/>
    </row>
    <row r="467" spans="3:17" s="2" customFormat="1" ht="15.75" x14ac:dyDescent="0.25">
      <c r="C467" s="1"/>
      <c r="D467" s="1"/>
      <c r="E467" s="1"/>
      <c r="F467" s="1"/>
      <c r="G467" s="15"/>
      <c r="H467" s="1"/>
      <c r="I467" s="20"/>
      <c r="J467" s="20"/>
      <c r="K467" s="14"/>
      <c r="L467" s="20"/>
      <c r="M467" s="14"/>
      <c r="N467" s="17"/>
      <c r="O467" s="17"/>
      <c r="P467" s="17"/>
      <c r="Q467" s="7"/>
    </row>
    <row r="468" spans="3:17" s="2" customFormat="1" ht="15.75" x14ac:dyDescent="0.25">
      <c r="C468" s="1"/>
      <c r="D468" s="1"/>
      <c r="E468" s="1"/>
      <c r="F468" s="1"/>
      <c r="G468" s="15"/>
      <c r="H468" s="1"/>
      <c r="I468" s="20"/>
      <c r="J468" s="20"/>
      <c r="K468" s="14"/>
      <c r="L468" s="20"/>
      <c r="M468" s="14"/>
      <c r="N468" s="17"/>
      <c r="O468" s="17"/>
      <c r="P468" s="17"/>
      <c r="Q468" s="7"/>
    </row>
    <row r="469" spans="3:17" s="2" customFormat="1" ht="15.75" x14ac:dyDescent="0.25">
      <c r="C469" s="1"/>
      <c r="D469" s="1"/>
      <c r="E469" s="1"/>
      <c r="F469" s="1"/>
      <c r="G469" s="15"/>
      <c r="H469" s="1"/>
      <c r="I469" s="20"/>
      <c r="J469" s="20"/>
      <c r="K469" s="14"/>
      <c r="L469" s="20"/>
      <c r="M469" s="14"/>
      <c r="N469" s="17"/>
      <c r="O469" s="17"/>
      <c r="P469" s="17"/>
      <c r="Q469" s="7"/>
    </row>
    <row r="470" spans="3:17" s="2" customFormat="1" ht="15.75" x14ac:dyDescent="0.25">
      <c r="C470" s="1"/>
      <c r="D470" s="1"/>
      <c r="E470" s="1"/>
      <c r="F470" s="1"/>
      <c r="G470" s="15"/>
      <c r="H470" s="1"/>
      <c r="I470" s="20"/>
      <c r="J470" s="20"/>
      <c r="K470" s="14"/>
      <c r="L470" s="20"/>
      <c r="M470" s="14"/>
      <c r="N470" s="17"/>
      <c r="O470" s="17"/>
      <c r="P470" s="17"/>
      <c r="Q470" s="7"/>
    </row>
    <row r="471" spans="3:17" s="2" customFormat="1" ht="15.75" x14ac:dyDescent="0.25">
      <c r="C471" s="1"/>
      <c r="D471" s="1"/>
      <c r="E471" s="1"/>
      <c r="F471" s="1"/>
      <c r="G471" s="15"/>
      <c r="H471" s="1"/>
      <c r="I471" s="20"/>
      <c r="J471" s="20"/>
      <c r="K471" s="14"/>
      <c r="L471" s="20"/>
      <c r="M471" s="14"/>
      <c r="N471" s="17"/>
      <c r="O471" s="17"/>
      <c r="P471" s="17"/>
      <c r="Q471" s="7"/>
    </row>
    <row r="472" spans="3:17" s="2" customFormat="1" ht="15.75" x14ac:dyDescent="0.25">
      <c r="C472" s="1"/>
      <c r="D472" s="1"/>
      <c r="E472" s="1"/>
      <c r="F472" s="1"/>
      <c r="G472" s="15"/>
      <c r="H472" s="1"/>
      <c r="I472" s="20"/>
      <c r="J472" s="20"/>
      <c r="K472" s="14"/>
      <c r="L472" s="20"/>
      <c r="M472" s="14"/>
      <c r="N472" s="17"/>
      <c r="O472" s="17"/>
      <c r="P472" s="17"/>
      <c r="Q472" s="7"/>
    </row>
    <row r="473" spans="3:17" s="2" customFormat="1" ht="15.75" x14ac:dyDescent="0.25">
      <c r="C473" s="1"/>
      <c r="D473" s="1"/>
      <c r="E473" s="1"/>
      <c r="F473" s="1"/>
      <c r="G473" s="15"/>
      <c r="H473" s="1"/>
      <c r="I473" s="20"/>
      <c r="J473" s="20"/>
      <c r="K473" s="14"/>
      <c r="L473" s="20"/>
      <c r="M473" s="14"/>
      <c r="N473" s="17"/>
      <c r="O473" s="17"/>
      <c r="P473" s="17"/>
      <c r="Q473" s="7"/>
    </row>
    <row r="474" spans="3:17" s="2" customFormat="1" ht="15.75" x14ac:dyDescent="0.25">
      <c r="C474" s="1"/>
      <c r="D474" s="1"/>
      <c r="E474" s="1"/>
      <c r="F474" s="1"/>
      <c r="G474" s="15"/>
      <c r="H474" s="1"/>
      <c r="I474" s="20"/>
      <c r="J474" s="20"/>
      <c r="K474" s="14"/>
      <c r="L474" s="20"/>
      <c r="M474" s="14"/>
      <c r="N474" s="17"/>
      <c r="O474" s="17"/>
      <c r="P474" s="17"/>
      <c r="Q474" s="7"/>
    </row>
    <row r="475" spans="3:17" s="2" customFormat="1" ht="15.75" x14ac:dyDescent="0.25">
      <c r="C475" s="1"/>
      <c r="D475" s="1"/>
      <c r="E475" s="1"/>
      <c r="F475" s="1"/>
      <c r="G475" s="15"/>
      <c r="H475" s="1"/>
      <c r="I475" s="20"/>
      <c r="J475" s="20"/>
      <c r="K475" s="14"/>
      <c r="L475" s="20"/>
      <c r="M475" s="14"/>
      <c r="N475" s="17"/>
      <c r="O475" s="17"/>
      <c r="P475" s="17"/>
      <c r="Q475" s="7"/>
    </row>
    <row r="476" spans="3:17" s="2" customFormat="1" ht="15.75" x14ac:dyDescent="0.25">
      <c r="C476" s="1"/>
      <c r="D476" s="1"/>
      <c r="E476" s="1"/>
      <c r="F476" s="1"/>
      <c r="G476" s="15"/>
      <c r="H476" s="1"/>
      <c r="I476" s="20"/>
      <c r="J476" s="20"/>
      <c r="K476" s="14"/>
      <c r="L476" s="20"/>
      <c r="M476" s="14"/>
      <c r="N476" s="17"/>
      <c r="O476" s="17"/>
      <c r="P476" s="17"/>
      <c r="Q476" s="7"/>
    </row>
    <row r="477" spans="3:17" s="2" customFormat="1" ht="15.75" x14ac:dyDescent="0.25">
      <c r="C477" s="1"/>
      <c r="D477" s="1"/>
      <c r="E477" s="1"/>
      <c r="F477" s="1"/>
      <c r="G477" s="15"/>
      <c r="H477" s="1"/>
      <c r="I477" s="20"/>
      <c r="J477" s="20"/>
      <c r="K477" s="14"/>
      <c r="L477" s="20"/>
      <c r="M477" s="14"/>
      <c r="N477" s="17"/>
      <c r="O477" s="17"/>
      <c r="P477" s="17"/>
      <c r="Q477" s="7"/>
    </row>
    <row r="478" spans="3:17" s="2" customFormat="1" ht="15.75" x14ac:dyDescent="0.25">
      <c r="C478" s="1"/>
      <c r="D478" s="1"/>
      <c r="E478" s="1"/>
      <c r="F478" s="1"/>
      <c r="G478" s="15"/>
      <c r="H478" s="1"/>
      <c r="I478" s="20"/>
      <c r="J478" s="20"/>
      <c r="K478" s="14"/>
      <c r="L478" s="20"/>
      <c r="M478" s="14"/>
      <c r="N478" s="17"/>
      <c r="O478" s="17"/>
      <c r="P478" s="17"/>
      <c r="Q478" s="7"/>
    </row>
    <row r="479" spans="3:17" s="2" customFormat="1" ht="15.75" x14ac:dyDescent="0.25">
      <c r="C479" s="1"/>
      <c r="D479" s="1"/>
      <c r="E479" s="1"/>
      <c r="F479" s="1"/>
      <c r="G479" s="15"/>
      <c r="H479" s="1"/>
      <c r="I479" s="20"/>
      <c r="J479" s="20"/>
      <c r="K479" s="14"/>
      <c r="L479" s="20"/>
      <c r="M479" s="14"/>
      <c r="N479" s="17"/>
      <c r="O479" s="17"/>
      <c r="P479" s="17"/>
      <c r="Q479" s="7"/>
    </row>
    <row r="480" spans="3:17" s="2" customFormat="1" ht="15.75" x14ac:dyDescent="0.25">
      <c r="C480" s="1"/>
      <c r="D480" s="1"/>
      <c r="E480" s="1"/>
      <c r="F480" s="1"/>
      <c r="G480" s="15"/>
      <c r="H480" s="1"/>
      <c r="I480" s="20"/>
      <c r="J480" s="20"/>
      <c r="K480" s="14"/>
      <c r="L480" s="20"/>
      <c r="M480" s="14"/>
      <c r="N480" s="17"/>
      <c r="O480" s="17"/>
      <c r="P480" s="17"/>
      <c r="Q480" s="7"/>
    </row>
    <row r="481" spans="3:17" s="2" customFormat="1" ht="15.75" x14ac:dyDescent="0.25">
      <c r="C481" s="1"/>
      <c r="D481" s="1"/>
      <c r="E481" s="1"/>
      <c r="F481" s="1"/>
      <c r="G481" s="15"/>
      <c r="H481" s="1"/>
      <c r="I481" s="20"/>
      <c r="J481" s="20"/>
      <c r="K481" s="14"/>
      <c r="L481" s="20"/>
      <c r="M481" s="14"/>
      <c r="N481" s="17"/>
      <c r="O481" s="17"/>
      <c r="P481" s="17"/>
      <c r="Q481" s="7"/>
    </row>
    <row r="482" spans="3:17" s="2" customFormat="1" ht="15.75" x14ac:dyDescent="0.25">
      <c r="C482" s="1"/>
      <c r="D482" s="1"/>
      <c r="E482" s="1"/>
      <c r="F482" s="1"/>
      <c r="G482" s="15"/>
      <c r="H482" s="1"/>
      <c r="I482" s="20"/>
      <c r="J482" s="20"/>
      <c r="K482" s="14"/>
      <c r="L482" s="20"/>
      <c r="M482" s="14"/>
      <c r="N482" s="17"/>
      <c r="O482" s="17"/>
      <c r="P482" s="17"/>
      <c r="Q482" s="7"/>
    </row>
    <row r="483" spans="3:17" s="2" customFormat="1" ht="15.75" x14ac:dyDescent="0.25">
      <c r="C483" s="1"/>
      <c r="D483" s="1"/>
      <c r="E483" s="1"/>
      <c r="F483" s="1"/>
      <c r="G483" s="15"/>
      <c r="H483" s="1"/>
      <c r="I483" s="20"/>
      <c r="J483" s="20"/>
      <c r="K483" s="14"/>
      <c r="L483" s="20"/>
      <c r="M483" s="14"/>
      <c r="N483" s="17"/>
      <c r="O483" s="17"/>
      <c r="P483" s="17"/>
      <c r="Q483" s="7"/>
    </row>
    <row r="484" spans="3:17" s="2" customFormat="1" ht="15.75" x14ac:dyDescent="0.25">
      <c r="C484" s="1"/>
      <c r="D484" s="1"/>
      <c r="E484" s="1"/>
      <c r="F484" s="1"/>
      <c r="G484" s="15"/>
      <c r="H484" s="1"/>
      <c r="I484" s="20"/>
      <c r="J484" s="20"/>
      <c r="K484" s="14"/>
      <c r="L484" s="20"/>
      <c r="M484" s="14"/>
      <c r="N484" s="17"/>
      <c r="O484" s="17"/>
      <c r="P484" s="17"/>
      <c r="Q484" s="7"/>
    </row>
    <row r="485" spans="3:17" s="2" customFormat="1" ht="15.75" x14ac:dyDescent="0.25">
      <c r="C485" s="1"/>
      <c r="D485" s="1"/>
      <c r="E485" s="1"/>
      <c r="F485" s="1"/>
      <c r="G485" s="15"/>
      <c r="H485" s="1"/>
      <c r="I485" s="20"/>
      <c r="J485" s="20"/>
      <c r="K485" s="14"/>
      <c r="L485" s="20"/>
      <c r="M485" s="14"/>
      <c r="N485" s="17"/>
      <c r="O485" s="17"/>
      <c r="P485" s="17"/>
      <c r="Q485" s="7"/>
    </row>
    <row r="486" spans="3:17" s="2" customFormat="1" ht="15.75" x14ac:dyDescent="0.25">
      <c r="C486" s="1"/>
      <c r="D486" s="1"/>
      <c r="E486" s="1"/>
      <c r="F486" s="1"/>
      <c r="G486" s="15"/>
      <c r="H486" s="1"/>
      <c r="I486" s="20"/>
      <c r="J486" s="20"/>
      <c r="K486" s="14"/>
      <c r="L486" s="20"/>
      <c r="M486" s="14"/>
      <c r="N486" s="17"/>
      <c r="O486" s="17"/>
      <c r="P486" s="17"/>
      <c r="Q486" s="7"/>
    </row>
    <row r="487" spans="3:17" s="2" customFormat="1" ht="15.75" x14ac:dyDescent="0.25">
      <c r="C487" s="1"/>
      <c r="D487" s="1"/>
      <c r="E487" s="1"/>
      <c r="F487" s="1"/>
      <c r="G487" s="15"/>
      <c r="H487" s="1"/>
      <c r="I487" s="20"/>
      <c r="J487" s="20"/>
      <c r="K487" s="14"/>
      <c r="L487" s="20"/>
      <c r="M487" s="14"/>
      <c r="N487" s="17"/>
      <c r="O487" s="17"/>
      <c r="P487" s="17"/>
      <c r="Q487" s="7"/>
    </row>
    <row r="488" spans="3:17" s="2" customFormat="1" ht="15.75" x14ac:dyDescent="0.25">
      <c r="C488" s="1"/>
      <c r="D488" s="1"/>
      <c r="E488" s="1"/>
      <c r="F488" s="1"/>
      <c r="G488" s="15"/>
      <c r="H488" s="1"/>
      <c r="I488" s="20"/>
      <c r="J488" s="20"/>
      <c r="K488" s="14"/>
      <c r="L488" s="20"/>
      <c r="M488" s="14"/>
      <c r="N488" s="17"/>
      <c r="O488" s="17"/>
      <c r="P488" s="17"/>
      <c r="Q488" s="7"/>
    </row>
    <row r="489" spans="3:17" s="2" customFormat="1" ht="15.75" x14ac:dyDescent="0.25">
      <c r="C489" s="1"/>
      <c r="D489" s="1"/>
      <c r="E489" s="1"/>
      <c r="F489" s="1"/>
      <c r="G489" s="15"/>
      <c r="H489" s="1"/>
      <c r="I489" s="20"/>
      <c r="J489" s="20"/>
      <c r="K489" s="14"/>
      <c r="L489" s="20"/>
      <c r="M489" s="14"/>
      <c r="N489" s="17"/>
      <c r="O489" s="17"/>
      <c r="P489" s="17"/>
      <c r="Q489" s="7"/>
    </row>
    <row r="490" spans="3:17" s="2" customFormat="1" ht="15.75" x14ac:dyDescent="0.25">
      <c r="C490" s="1"/>
      <c r="D490" s="1"/>
      <c r="E490" s="1"/>
      <c r="F490" s="1"/>
      <c r="G490" s="15"/>
      <c r="H490" s="1"/>
      <c r="I490" s="20"/>
      <c r="J490" s="20"/>
      <c r="K490" s="14"/>
      <c r="L490" s="20"/>
      <c r="M490" s="14"/>
      <c r="N490" s="17"/>
      <c r="O490" s="17"/>
      <c r="P490" s="17"/>
      <c r="Q490" s="7"/>
    </row>
    <row r="491" spans="3:17" s="2" customFormat="1" ht="15.75" x14ac:dyDescent="0.25">
      <c r="C491" s="1"/>
      <c r="D491" s="1"/>
      <c r="E491" s="1"/>
      <c r="F491" s="1"/>
      <c r="G491" s="15"/>
      <c r="H491" s="1"/>
      <c r="I491" s="20"/>
      <c r="J491" s="20"/>
      <c r="K491" s="14"/>
      <c r="L491" s="20"/>
      <c r="M491" s="14"/>
      <c r="N491" s="17"/>
      <c r="O491" s="17"/>
      <c r="P491" s="17"/>
      <c r="Q491" s="7"/>
    </row>
    <row r="492" spans="3:17" s="2" customFormat="1" ht="15.75" x14ac:dyDescent="0.25">
      <c r="C492" s="1"/>
      <c r="D492" s="1"/>
      <c r="E492" s="1"/>
      <c r="F492" s="1"/>
      <c r="G492" s="15"/>
      <c r="H492" s="1"/>
      <c r="I492" s="20"/>
      <c r="J492" s="20"/>
      <c r="K492" s="14"/>
      <c r="L492" s="20"/>
      <c r="M492" s="14"/>
      <c r="N492" s="17"/>
      <c r="O492" s="17"/>
      <c r="P492" s="17"/>
      <c r="Q492" s="7"/>
    </row>
    <row r="493" spans="3:17" s="2" customFormat="1" ht="15.75" x14ac:dyDescent="0.25">
      <c r="C493" s="1"/>
      <c r="D493" s="1"/>
      <c r="E493" s="1"/>
      <c r="F493" s="1"/>
      <c r="G493" s="15"/>
      <c r="H493" s="1"/>
      <c r="I493" s="20"/>
      <c r="J493" s="20"/>
      <c r="K493" s="14"/>
      <c r="L493" s="20"/>
      <c r="M493" s="14"/>
      <c r="N493" s="17"/>
      <c r="O493" s="17"/>
      <c r="P493" s="17"/>
      <c r="Q493" s="7"/>
    </row>
    <row r="494" spans="3:17" s="2" customFormat="1" ht="15.75" x14ac:dyDescent="0.25">
      <c r="C494" s="1"/>
      <c r="D494" s="1"/>
      <c r="E494" s="1"/>
      <c r="F494" s="1"/>
      <c r="G494" s="15"/>
      <c r="H494" s="1"/>
      <c r="I494" s="20"/>
      <c r="J494" s="20"/>
      <c r="K494" s="14"/>
      <c r="L494" s="20"/>
      <c r="M494" s="14"/>
      <c r="N494" s="17"/>
      <c r="O494" s="17"/>
      <c r="P494" s="17"/>
      <c r="Q494" s="7"/>
    </row>
    <row r="495" spans="3:17" s="2" customFormat="1" ht="15.75" x14ac:dyDescent="0.25">
      <c r="C495" s="1"/>
      <c r="D495" s="1"/>
      <c r="E495" s="1"/>
      <c r="F495" s="1"/>
      <c r="G495" s="15"/>
      <c r="H495" s="1"/>
      <c r="I495" s="20"/>
      <c r="J495" s="20"/>
      <c r="K495" s="14"/>
      <c r="L495" s="20"/>
      <c r="M495" s="14"/>
      <c r="N495" s="17"/>
      <c r="O495" s="17"/>
      <c r="P495" s="17"/>
      <c r="Q495" s="7"/>
    </row>
    <row r="496" spans="3:17" s="2" customFormat="1" ht="15.75" x14ac:dyDescent="0.25">
      <c r="C496" s="1"/>
      <c r="D496" s="1"/>
      <c r="E496" s="1"/>
      <c r="F496" s="1"/>
      <c r="G496" s="15"/>
      <c r="H496" s="1"/>
      <c r="I496" s="20"/>
      <c r="J496" s="20"/>
      <c r="K496" s="14"/>
      <c r="L496" s="20"/>
      <c r="M496" s="14"/>
      <c r="N496" s="17"/>
      <c r="O496" s="17"/>
      <c r="P496" s="17"/>
      <c r="Q496" s="7"/>
    </row>
    <row r="497" spans="3:17" s="2" customFormat="1" ht="15.75" x14ac:dyDescent="0.25">
      <c r="C497" s="1"/>
      <c r="D497" s="1"/>
      <c r="E497" s="1"/>
      <c r="F497" s="1"/>
      <c r="G497" s="15"/>
      <c r="H497" s="1"/>
      <c r="I497" s="20"/>
      <c r="J497" s="20"/>
      <c r="K497" s="14"/>
      <c r="L497" s="20"/>
      <c r="M497" s="14"/>
      <c r="N497" s="17"/>
      <c r="O497" s="17"/>
      <c r="P497" s="17"/>
      <c r="Q497" s="7"/>
    </row>
    <row r="498" spans="3:17" s="2" customFormat="1" ht="15.75" x14ac:dyDescent="0.25">
      <c r="C498" s="1"/>
      <c r="D498" s="1"/>
      <c r="E498" s="1"/>
      <c r="F498" s="1"/>
      <c r="G498" s="15"/>
      <c r="H498" s="1"/>
      <c r="I498" s="20"/>
      <c r="J498" s="20"/>
      <c r="K498" s="14"/>
      <c r="L498" s="20"/>
      <c r="M498" s="14"/>
      <c r="N498" s="17"/>
      <c r="O498" s="17"/>
      <c r="P498" s="17"/>
      <c r="Q498" s="7"/>
    </row>
    <row r="499" spans="3:17" s="2" customFormat="1" ht="15.75" x14ac:dyDescent="0.25">
      <c r="C499" s="1"/>
      <c r="D499" s="1"/>
      <c r="E499" s="1"/>
      <c r="F499" s="1"/>
      <c r="G499" s="15"/>
      <c r="H499" s="1"/>
      <c r="I499" s="20"/>
      <c r="J499" s="20"/>
      <c r="K499" s="14"/>
      <c r="L499" s="20"/>
      <c r="M499" s="14"/>
      <c r="N499" s="17"/>
      <c r="O499" s="17"/>
      <c r="P499" s="17"/>
      <c r="Q499" s="7"/>
    </row>
    <row r="500" spans="3:17" s="2" customFormat="1" ht="15.75" x14ac:dyDescent="0.25">
      <c r="C500" s="1"/>
      <c r="D500" s="1"/>
      <c r="E500" s="1"/>
      <c r="F500" s="1"/>
      <c r="G500" s="15"/>
      <c r="H500" s="1"/>
      <c r="I500" s="20"/>
      <c r="J500" s="20"/>
      <c r="K500" s="14"/>
      <c r="L500" s="20"/>
      <c r="M500" s="14"/>
      <c r="N500" s="17"/>
      <c r="O500" s="17"/>
      <c r="P500" s="17"/>
      <c r="Q500" s="7"/>
    </row>
    <row r="501" spans="3:17" s="2" customFormat="1" ht="15.75" x14ac:dyDescent="0.25">
      <c r="C501" s="1"/>
      <c r="D501" s="1"/>
      <c r="E501" s="1"/>
      <c r="F501" s="1"/>
      <c r="G501" s="15"/>
      <c r="H501" s="1"/>
      <c r="I501" s="20"/>
      <c r="J501" s="20"/>
      <c r="K501" s="14"/>
      <c r="L501" s="20"/>
      <c r="M501" s="14"/>
      <c r="N501" s="17"/>
      <c r="O501" s="17"/>
      <c r="P501" s="17"/>
      <c r="Q501" s="7"/>
    </row>
    <row r="502" spans="3:17" s="2" customFormat="1" ht="15.75" x14ac:dyDescent="0.25">
      <c r="C502" s="1"/>
      <c r="D502" s="1"/>
      <c r="E502" s="1"/>
      <c r="F502" s="1"/>
      <c r="G502" s="15"/>
      <c r="H502" s="1"/>
      <c r="I502" s="20"/>
      <c r="J502" s="20"/>
      <c r="K502" s="14"/>
      <c r="L502" s="20"/>
      <c r="M502" s="14"/>
      <c r="N502" s="17"/>
      <c r="O502" s="17"/>
      <c r="P502" s="17"/>
      <c r="Q502" s="7"/>
    </row>
    <row r="503" spans="3:17" s="2" customFormat="1" ht="15.75" x14ac:dyDescent="0.25">
      <c r="C503" s="1"/>
      <c r="D503" s="1"/>
      <c r="E503" s="1"/>
      <c r="F503" s="1"/>
      <c r="G503" s="15"/>
      <c r="H503" s="1"/>
      <c r="I503" s="20"/>
      <c r="J503" s="20"/>
      <c r="K503" s="14"/>
      <c r="L503" s="20"/>
      <c r="M503" s="14"/>
      <c r="N503" s="17"/>
      <c r="O503" s="17"/>
      <c r="P503" s="17"/>
      <c r="Q503" s="7"/>
    </row>
    <row r="504" spans="3:17" s="2" customFormat="1" ht="15.75" x14ac:dyDescent="0.25">
      <c r="C504" s="1"/>
      <c r="D504" s="1"/>
      <c r="E504" s="1"/>
      <c r="F504" s="1"/>
      <c r="G504" s="15"/>
      <c r="H504" s="1"/>
      <c r="I504" s="20"/>
      <c r="J504" s="20"/>
      <c r="K504" s="14"/>
      <c r="L504" s="20"/>
      <c r="M504" s="14"/>
      <c r="N504" s="17"/>
      <c r="O504" s="17"/>
      <c r="P504" s="17"/>
      <c r="Q504" s="7"/>
    </row>
    <row r="505" spans="3:17" s="2" customFormat="1" ht="15.75" x14ac:dyDescent="0.25">
      <c r="C505" s="1"/>
      <c r="D505" s="1"/>
      <c r="E505" s="1"/>
      <c r="F505" s="1"/>
      <c r="G505" s="15"/>
      <c r="H505" s="1"/>
      <c r="I505" s="20"/>
      <c r="J505" s="20"/>
      <c r="K505" s="14"/>
      <c r="L505" s="20"/>
      <c r="M505" s="14"/>
      <c r="N505" s="17"/>
      <c r="O505" s="17"/>
      <c r="P505" s="17"/>
      <c r="Q505" s="7"/>
    </row>
    <row r="506" spans="3:17" s="2" customFormat="1" ht="15.75" x14ac:dyDescent="0.25">
      <c r="C506" s="1"/>
      <c r="D506" s="1"/>
      <c r="E506" s="1"/>
      <c r="F506" s="1"/>
      <c r="G506" s="15"/>
      <c r="H506" s="1"/>
      <c r="I506" s="20"/>
      <c r="J506" s="20"/>
      <c r="K506" s="14"/>
      <c r="L506" s="20"/>
      <c r="M506" s="14"/>
      <c r="N506" s="17"/>
      <c r="O506" s="17"/>
      <c r="P506" s="17"/>
      <c r="Q506" s="7"/>
    </row>
    <row r="507" spans="3:17" s="2" customFormat="1" ht="15.75" x14ac:dyDescent="0.25">
      <c r="C507" s="1"/>
      <c r="D507" s="1"/>
      <c r="E507" s="1"/>
      <c r="F507" s="1"/>
      <c r="G507" s="15"/>
      <c r="H507" s="1"/>
      <c r="I507" s="20"/>
      <c r="J507" s="20"/>
      <c r="K507" s="14"/>
      <c r="L507" s="20"/>
      <c r="M507" s="14"/>
      <c r="N507" s="17"/>
      <c r="O507" s="17"/>
      <c r="P507" s="17"/>
      <c r="Q507" s="7"/>
    </row>
    <row r="508" spans="3:17" s="2" customFormat="1" ht="15.75" x14ac:dyDescent="0.25">
      <c r="C508" s="1"/>
      <c r="D508" s="1"/>
      <c r="E508" s="1"/>
      <c r="F508" s="1"/>
      <c r="G508" s="15"/>
      <c r="H508" s="1"/>
      <c r="I508" s="20"/>
      <c r="J508" s="20"/>
      <c r="K508" s="14"/>
      <c r="L508" s="20"/>
      <c r="M508" s="14"/>
      <c r="N508" s="17"/>
      <c r="O508" s="17"/>
      <c r="P508" s="17"/>
      <c r="Q508" s="7"/>
    </row>
    <row r="509" spans="3:17" s="2" customFormat="1" ht="15.75" x14ac:dyDescent="0.25">
      <c r="C509" s="1"/>
      <c r="D509" s="1"/>
      <c r="E509" s="1"/>
      <c r="F509" s="1"/>
      <c r="G509" s="15"/>
      <c r="H509" s="1"/>
      <c r="I509" s="20"/>
      <c r="J509" s="20"/>
      <c r="K509" s="14"/>
      <c r="L509" s="20"/>
      <c r="M509" s="14"/>
      <c r="N509" s="17"/>
      <c r="O509" s="17"/>
      <c r="P509" s="17"/>
      <c r="Q509" s="7"/>
    </row>
    <row r="510" spans="3:17" s="2" customFormat="1" ht="15.75" x14ac:dyDescent="0.25">
      <c r="C510" s="1"/>
      <c r="D510" s="1"/>
      <c r="E510" s="1"/>
      <c r="F510" s="1"/>
      <c r="G510" s="15"/>
      <c r="H510" s="1"/>
      <c r="I510" s="20"/>
      <c r="J510" s="20"/>
      <c r="K510" s="14"/>
      <c r="L510" s="20"/>
      <c r="M510" s="14"/>
      <c r="N510" s="17"/>
      <c r="O510" s="17"/>
      <c r="P510" s="17"/>
      <c r="Q510" s="7"/>
    </row>
    <row r="511" spans="3:17" s="2" customFormat="1" ht="15.75" x14ac:dyDescent="0.25">
      <c r="C511" s="1"/>
      <c r="D511" s="1"/>
      <c r="E511" s="1"/>
      <c r="F511" s="1"/>
      <c r="G511" s="15"/>
      <c r="H511" s="1"/>
      <c r="I511" s="20"/>
      <c r="J511" s="20"/>
      <c r="K511" s="14"/>
      <c r="L511" s="20"/>
      <c r="M511" s="14"/>
      <c r="N511" s="17"/>
      <c r="O511" s="17"/>
      <c r="P511" s="17"/>
      <c r="Q511" s="7"/>
    </row>
    <row r="512" spans="3:17" s="2" customFormat="1" ht="15.75" x14ac:dyDescent="0.25">
      <c r="C512" s="1"/>
      <c r="D512" s="1"/>
      <c r="E512" s="1"/>
      <c r="F512" s="1"/>
      <c r="G512" s="15"/>
      <c r="H512" s="1"/>
      <c r="I512" s="20"/>
      <c r="J512" s="20"/>
      <c r="K512" s="14"/>
      <c r="L512" s="20"/>
      <c r="M512" s="14"/>
      <c r="N512" s="17"/>
      <c r="O512" s="17"/>
      <c r="P512" s="17"/>
      <c r="Q512" s="7"/>
    </row>
    <row r="513" spans="3:17" s="2" customFormat="1" ht="15.75" x14ac:dyDescent="0.25">
      <c r="C513" s="1"/>
      <c r="D513" s="1"/>
      <c r="E513" s="1"/>
      <c r="F513" s="1"/>
      <c r="G513" s="15"/>
      <c r="H513" s="1"/>
      <c r="I513" s="20"/>
      <c r="J513" s="20"/>
      <c r="K513" s="14"/>
      <c r="L513" s="20"/>
      <c r="M513" s="14"/>
      <c r="N513" s="17"/>
      <c r="O513" s="17"/>
      <c r="P513" s="17"/>
      <c r="Q513" s="7"/>
    </row>
    <row r="514" spans="3:17" s="2" customFormat="1" ht="15.75" x14ac:dyDescent="0.25">
      <c r="C514" s="1"/>
      <c r="D514" s="1"/>
      <c r="E514" s="1"/>
      <c r="F514" s="1"/>
      <c r="G514" s="15"/>
      <c r="H514" s="1"/>
      <c r="I514" s="20"/>
      <c r="J514" s="20"/>
      <c r="K514" s="14"/>
      <c r="L514" s="20"/>
      <c r="M514" s="14"/>
      <c r="N514" s="17"/>
      <c r="O514" s="17"/>
      <c r="P514" s="17"/>
      <c r="Q514" s="7"/>
    </row>
    <row r="515" spans="3:17" s="2" customFormat="1" ht="15.75" x14ac:dyDescent="0.25">
      <c r="C515" s="1"/>
      <c r="D515" s="1"/>
      <c r="E515" s="1"/>
      <c r="F515" s="1"/>
      <c r="G515" s="15"/>
      <c r="H515" s="1"/>
      <c r="I515" s="20"/>
      <c r="J515" s="20"/>
      <c r="K515" s="14"/>
      <c r="L515" s="20"/>
      <c r="M515" s="14"/>
      <c r="N515" s="17"/>
      <c r="O515" s="17"/>
      <c r="P515" s="17"/>
      <c r="Q515" s="7"/>
    </row>
    <row r="516" spans="3:17" s="2" customFormat="1" ht="15.75" x14ac:dyDescent="0.25">
      <c r="C516" s="1"/>
      <c r="D516" s="1"/>
      <c r="E516" s="1"/>
      <c r="F516" s="1"/>
      <c r="G516" s="15"/>
      <c r="H516" s="1"/>
      <c r="I516" s="20"/>
      <c r="J516" s="20"/>
      <c r="K516" s="14"/>
      <c r="L516" s="20"/>
      <c r="M516" s="14"/>
      <c r="N516" s="17"/>
      <c r="O516" s="17"/>
      <c r="P516" s="17"/>
      <c r="Q516" s="7"/>
    </row>
    <row r="517" spans="3:17" s="2" customFormat="1" ht="15.75" x14ac:dyDescent="0.25">
      <c r="C517" s="1"/>
      <c r="D517" s="1"/>
      <c r="E517" s="1"/>
      <c r="F517" s="1"/>
      <c r="G517" s="15"/>
      <c r="H517" s="1"/>
      <c r="I517" s="20"/>
      <c r="J517" s="20"/>
      <c r="K517" s="14"/>
      <c r="L517" s="20"/>
      <c r="M517" s="14"/>
      <c r="N517" s="17"/>
      <c r="O517" s="17"/>
      <c r="P517" s="17"/>
      <c r="Q517" s="7"/>
    </row>
    <row r="518" spans="3:17" s="2" customFormat="1" ht="15.75" x14ac:dyDescent="0.25">
      <c r="C518" s="1"/>
      <c r="D518" s="1"/>
      <c r="E518" s="1"/>
      <c r="F518" s="1"/>
      <c r="G518" s="15"/>
      <c r="H518" s="1"/>
      <c r="I518" s="20"/>
      <c r="J518" s="20"/>
      <c r="K518" s="14"/>
      <c r="L518" s="20"/>
      <c r="M518" s="14"/>
      <c r="N518" s="17"/>
      <c r="O518" s="17"/>
      <c r="P518" s="17"/>
      <c r="Q518" s="7"/>
    </row>
    <row r="519" spans="3:17" s="2" customFormat="1" ht="15.75" x14ac:dyDescent="0.25">
      <c r="C519" s="1"/>
      <c r="D519" s="1"/>
      <c r="E519" s="1"/>
      <c r="F519" s="1"/>
      <c r="G519" s="15"/>
      <c r="H519" s="1"/>
      <c r="I519" s="20"/>
      <c r="J519" s="20"/>
      <c r="K519" s="14"/>
      <c r="L519" s="20"/>
      <c r="M519" s="14"/>
      <c r="N519" s="17"/>
      <c r="O519" s="17"/>
      <c r="P519" s="17"/>
      <c r="Q519" s="7"/>
    </row>
    <row r="520" spans="3:17" s="2" customFormat="1" ht="15.75" x14ac:dyDescent="0.25">
      <c r="C520" s="1"/>
      <c r="D520" s="1"/>
      <c r="E520" s="1"/>
      <c r="F520" s="1"/>
      <c r="G520" s="15"/>
      <c r="H520" s="1"/>
      <c r="I520" s="20"/>
      <c r="J520" s="20"/>
      <c r="K520" s="14"/>
      <c r="L520" s="20"/>
      <c r="M520" s="14"/>
      <c r="N520" s="17"/>
      <c r="O520" s="17"/>
      <c r="P520" s="17"/>
      <c r="Q520" s="7"/>
    </row>
    <row r="521" spans="3:17" s="2" customFormat="1" ht="15.75" x14ac:dyDescent="0.25">
      <c r="C521" s="1"/>
      <c r="D521" s="1"/>
      <c r="E521" s="1"/>
      <c r="F521" s="1"/>
      <c r="G521" s="15"/>
      <c r="H521" s="1"/>
      <c r="I521" s="20"/>
      <c r="J521" s="20"/>
      <c r="K521" s="14"/>
      <c r="L521" s="20"/>
      <c r="M521" s="14"/>
      <c r="N521" s="17"/>
      <c r="O521" s="17"/>
      <c r="P521" s="17"/>
      <c r="Q521" s="7"/>
    </row>
    <row r="522" spans="3:17" s="2" customFormat="1" ht="15.75" x14ac:dyDescent="0.25">
      <c r="C522" s="1"/>
      <c r="D522" s="1"/>
      <c r="E522" s="1"/>
      <c r="F522" s="1"/>
      <c r="G522" s="15"/>
      <c r="H522" s="1"/>
      <c r="I522" s="20"/>
      <c r="J522" s="20"/>
      <c r="K522" s="14"/>
      <c r="L522" s="20"/>
      <c r="M522" s="14"/>
      <c r="N522" s="17"/>
      <c r="O522" s="17"/>
      <c r="P522" s="17"/>
      <c r="Q522" s="7"/>
    </row>
    <row r="523" spans="3:17" s="2" customFormat="1" ht="15.75" x14ac:dyDescent="0.25">
      <c r="C523" s="1"/>
      <c r="D523" s="1"/>
      <c r="E523" s="1"/>
      <c r="F523" s="1"/>
      <c r="G523" s="15"/>
      <c r="H523" s="1"/>
      <c r="I523" s="20"/>
      <c r="J523" s="20"/>
      <c r="K523" s="14"/>
      <c r="L523" s="20"/>
      <c r="M523" s="14"/>
      <c r="N523" s="17"/>
      <c r="O523" s="17"/>
      <c r="P523" s="17"/>
      <c r="Q523" s="7"/>
    </row>
    <row r="524" spans="3:17" s="2" customFormat="1" ht="15.75" x14ac:dyDescent="0.25">
      <c r="C524" s="1"/>
      <c r="D524" s="1"/>
      <c r="E524" s="1"/>
      <c r="F524" s="1"/>
      <c r="G524" s="15"/>
      <c r="H524" s="1"/>
      <c r="I524" s="20"/>
      <c r="J524" s="20"/>
      <c r="K524" s="14"/>
      <c r="L524" s="20"/>
      <c r="M524" s="14"/>
      <c r="N524" s="17"/>
      <c r="O524" s="17"/>
      <c r="P524" s="17"/>
      <c r="Q524" s="7"/>
    </row>
    <row r="525" spans="3:17" s="2" customFormat="1" ht="15.75" x14ac:dyDescent="0.25">
      <c r="C525" s="1"/>
      <c r="D525" s="1"/>
      <c r="E525" s="1"/>
      <c r="F525" s="1"/>
      <c r="G525" s="15"/>
      <c r="H525" s="1"/>
      <c r="I525" s="20"/>
      <c r="J525" s="20"/>
      <c r="K525" s="14"/>
      <c r="L525" s="20"/>
      <c r="M525" s="14"/>
      <c r="N525" s="17"/>
      <c r="O525" s="17"/>
      <c r="P525" s="17"/>
      <c r="Q525" s="7"/>
    </row>
    <row r="526" spans="3:17" s="2" customFormat="1" ht="15.75" x14ac:dyDescent="0.25">
      <c r="C526" s="1"/>
      <c r="D526" s="1"/>
      <c r="E526" s="1"/>
      <c r="F526" s="1"/>
      <c r="G526" s="15"/>
      <c r="H526" s="1"/>
      <c r="I526" s="20"/>
      <c r="J526" s="20"/>
      <c r="K526" s="14"/>
      <c r="L526" s="20"/>
      <c r="M526" s="14"/>
      <c r="N526" s="17"/>
      <c r="O526" s="17"/>
      <c r="P526" s="17"/>
      <c r="Q526" s="7"/>
    </row>
    <row r="527" spans="3:17" s="2" customFormat="1" ht="15.75" x14ac:dyDescent="0.25">
      <c r="C527" s="1"/>
      <c r="D527" s="1"/>
      <c r="E527" s="1"/>
      <c r="F527" s="1"/>
      <c r="G527" s="15"/>
      <c r="H527" s="1"/>
      <c r="I527" s="20"/>
      <c r="J527" s="20"/>
      <c r="K527" s="14"/>
      <c r="L527" s="20"/>
      <c r="M527" s="14"/>
      <c r="N527" s="17"/>
      <c r="O527" s="17"/>
      <c r="P527" s="17"/>
      <c r="Q527" s="7"/>
    </row>
    <row r="528" spans="3:17" s="2" customFormat="1" ht="15.75" x14ac:dyDescent="0.25">
      <c r="C528" s="1"/>
      <c r="D528" s="1"/>
      <c r="E528" s="1"/>
      <c r="F528" s="1"/>
      <c r="G528" s="15"/>
      <c r="H528" s="1"/>
      <c r="I528" s="20"/>
      <c r="J528" s="20"/>
      <c r="K528" s="14"/>
      <c r="L528" s="20"/>
      <c r="M528" s="14"/>
      <c r="N528" s="17"/>
      <c r="O528" s="17"/>
      <c r="P528" s="17"/>
      <c r="Q528" s="7"/>
    </row>
    <row r="529" spans="3:17" s="2" customFormat="1" ht="15.75" x14ac:dyDescent="0.25">
      <c r="C529" s="1"/>
      <c r="D529" s="1"/>
      <c r="E529" s="1"/>
      <c r="F529" s="1"/>
      <c r="G529" s="15"/>
      <c r="H529" s="1"/>
      <c r="I529" s="20"/>
      <c r="J529" s="20"/>
      <c r="K529" s="14"/>
      <c r="L529" s="20"/>
      <c r="M529" s="14"/>
      <c r="N529" s="17"/>
      <c r="O529" s="17"/>
      <c r="P529" s="17"/>
      <c r="Q529" s="7"/>
    </row>
    <row r="530" spans="3:17" s="2" customFormat="1" ht="15.75" x14ac:dyDescent="0.25">
      <c r="C530" s="1"/>
      <c r="D530" s="1"/>
      <c r="E530" s="1"/>
      <c r="F530" s="1"/>
      <c r="G530" s="15"/>
      <c r="H530" s="1"/>
      <c r="I530" s="20"/>
      <c r="J530" s="20"/>
      <c r="K530" s="14"/>
      <c r="L530" s="20"/>
      <c r="M530" s="14"/>
      <c r="N530" s="17"/>
      <c r="O530" s="17"/>
      <c r="P530" s="17"/>
      <c r="Q530" s="7"/>
    </row>
    <row r="531" spans="3:17" s="2" customFormat="1" ht="15.75" x14ac:dyDescent="0.25">
      <c r="C531" s="1"/>
      <c r="D531" s="1"/>
      <c r="E531" s="1"/>
      <c r="F531" s="1"/>
      <c r="G531" s="15"/>
      <c r="H531" s="1"/>
      <c r="I531" s="20"/>
      <c r="J531" s="20"/>
      <c r="K531" s="14"/>
      <c r="L531" s="20"/>
      <c r="M531" s="14"/>
      <c r="N531" s="17"/>
      <c r="O531" s="17"/>
      <c r="P531" s="17"/>
      <c r="Q531" s="7"/>
    </row>
    <row r="532" spans="3:17" s="2" customFormat="1" ht="15.75" x14ac:dyDescent="0.25">
      <c r="C532" s="1"/>
      <c r="D532" s="1"/>
      <c r="E532" s="1"/>
      <c r="F532" s="1"/>
      <c r="G532" s="15"/>
      <c r="H532" s="1"/>
      <c r="I532" s="20"/>
      <c r="J532" s="20"/>
      <c r="K532" s="14"/>
      <c r="L532" s="20"/>
      <c r="M532" s="14"/>
      <c r="N532" s="17"/>
      <c r="O532" s="17"/>
      <c r="P532" s="17"/>
      <c r="Q532" s="7"/>
    </row>
    <row r="533" spans="3:17" s="2" customFormat="1" ht="15.75" x14ac:dyDescent="0.25">
      <c r="C533" s="1"/>
      <c r="D533" s="1"/>
      <c r="E533" s="1"/>
      <c r="F533" s="1"/>
      <c r="G533" s="15"/>
      <c r="H533" s="1"/>
      <c r="I533" s="20"/>
      <c r="J533" s="20"/>
      <c r="K533" s="14"/>
      <c r="L533" s="20"/>
      <c r="M533" s="14"/>
      <c r="N533" s="17"/>
      <c r="O533" s="17"/>
      <c r="P533" s="17"/>
      <c r="Q533" s="7"/>
    </row>
    <row r="534" spans="3:17" s="2" customFormat="1" ht="15.75" x14ac:dyDescent="0.25">
      <c r="C534" s="1"/>
      <c r="D534" s="1"/>
      <c r="E534" s="1"/>
      <c r="F534" s="1"/>
      <c r="G534" s="15"/>
      <c r="H534" s="1"/>
      <c r="I534" s="20"/>
      <c r="J534" s="20"/>
      <c r="K534" s="14"/>
      <c r="L534" s="20"/>
      <c r="M534" s="14"/>
      <c r="N534" s="17"/>
      <c r="O534" s="17"/>
      <c r="P534" s="17"/>
      <c r="Q534" s="7"/>
    </row>
    <row r="535" spans="3:17" s="2" customFormat="1" ht="15.75" x14ac:dyDescent="0.25">
      <c r="C535" s="1"/>
      <c r="D535" s="1"/>
      <c r="E535" s="1"/>
      <c r="F535" s="1"/>
      <c r="G535" s="15"/>
      <c r="H535" s="1"/>
      <c r="I535" s="20"/>
      <c r="J535" s="20"/>
      <c r="K535" s="14"/>
      <c r="L535" s="20"/>
      <c r="M535" s="14"/>
      <c r="N535" s="17"/>
      <c r="O535" s="17"/>
      <c r="P535" s="17"/>
      <c r="Q535" s="7"/>
    </row>
    <row r="536" spans="3:17" s="2" customFormat="1" ht="15.75" x14ac:dyDescent="0.25">
      <c r="C536" s="1"/>
      <c r="D536" s="1"/>
      <c r="E536" s="1"/>
      <c r="F536" s="1"/>
      <c r="G536" s="15"/>
      <c r="H536" s="1"/>
      <c r="I536" s="20"/>
      <c r="J536" s="20"/>
      <c r="K536" s="14"/>
      <c r="L536" s="20"/>
      <c r="M536" s="14"/>
      <c r="N536" s="17"/>
      <c r="O536" s="17"/>
      <c r="P536" s="17"/>
      <c r="Q536" s="7"/>
    </row>
    <row r="537" spans="3:17" s="2" customFormat="1" ht="15.75" x14ac:dyDescent="0.25">
      <c r="C537" s="1"/>
      <c r="D537" s="1"/>
      <c r="E537" s="1"/>
      <c r="F537" s="1"/>
      <c r="G537" s="15"/>
      <c r="H537" s="1"/>
      <c r="I537" s="20"/>
      <c r="J537" s="20"/>
      <c r="K537" s="14"/>
      <c r="L537" s="20"/>
      <c r="M537" s="14"/>
      <c r="N537" s="17"/>
      <c r="O537" s="17"/>
      <c r="P537" s="17"/>
      <c r="Q537" s="7"/>
    </row>
    <row r="538" spans="3:17" s="2" customFormat="1" ht="15.75" x14ac:dyDescent="0.25">
      <c r="C538" s="1"/>
      <c r="D538" s="1"/>
      <c r="E538" s="1"/>
      <c r="F538" s="1"/>
      <c r="G538" s="15"/>
      <c r="H538" s="1"/>
      <c r="I538" s="20"/>
      <c r="J538" s="20"/>
      <c r="K538" s="14"/>
      <c r="L538" s="20"/>
      <c r="M538" s="14"/>
      <c r="N538" s="17"/>
      <c r="O538" s="17"/>
      <c r="P538" s="17"/>
      <c r="Q538" s="7"/>
    </row>
    <row r="539" spans="3:17" s="2" customFormat="1" ht="15.75" x14ac:dyDescent="0.25">
      <c r="C539" s="1"/>
      <c r="D539" s="1"/>
      <c r="E539" s="1"/>
      <c r="F539" s="1"/>
      <c r="G539" s="15"/>
      <c r="H539" s="1"/>
      <c r="I539" s="20"/>
      <c r="J539" s="20"/>
      <c r="K539" s="14"/>
      <c r="L539" s="20"/>
      <c r="M539" s="14"/>
      <c r="N539" s="17"/>
      <c r="O539" s="17"/>
      <c r="P539" s="17"/>
      <c r="Q539" s="7"/>
    </row>
    <row r="540" spans="3:17" s="2" customFormat="1" ht="15.75" x14ac:dyDescent="0.25">
      <c r="C540" s="1"/>
      <c r="D540" s="1"/>
      <c r="E540" s="1"/>
      <c r="F540" s="1"/>
      <c r="G540" s="15"/>
      <c r="H540" s="1"/>
      <c r="I540" s="20"/>
      <c r="J540" s="20"/>
      <c r="K540" s="14"/>
      <c r="L540" s="20"/>
      <c r="M540" s="14"/>
      <c r="N540" s="17"/>
      <c r="O540" s="17"/>
      <c r="P540" s="17"/>
      <c r="Q540" s="7"/>
    </row>
    <row r="541" spans="3:17" s="2" customFormat="1" ht="15.75" x14ac:dyDescent="0.25">
      <c r="C541" s="1"/>
      <c r="D541" s="1"/>
      <c r="E541" s="1"/>
      <c r="F541" s="1"/>
      <c r="G541" s="15"/>
      <c r="H541" s="1"/>
      <c r="I541" s="20"/>
      <c r="J541" s="20"/>
      <c r="K541" s="14"/>
      <c r="L541" s="20"/>
      <c r="M541" s="14"/>
      <c r="N541" s="17"/>
      <c r="O541" s="17"/>
      <c r="P541" s="17"/>
      <c r="Q541" s="7"/>
    </row>
    <row r="542" spans="3:17" s="2" customFormat="1" ht="15.75" x14ac:dyDescent="0.25">
      <c r="C542" s="1"/>
      <c r="D542" s="1"/>
      <c r="E542" s="1"/>
      <c r="F542" s="1"/>
      <c r="G542" s="15"/>
      <c r="H542" s="1"/>
      <c r="I542" s="20"/>
      <c r="J542" s="20"/>
      <c r="K542" s="14"/>
      <c r="L542" s="20"/>
      <c r="M542" s="14"/>
      <c r="N542" s="17"/>
      <c r="O542" s="17"/>
      <c r="P542" s="17"/>
      <c r="Q542" s="7"/>
    </row>
    <row r="543" spans="3:17" s="2" customFormat="1" ht="15.75" x14ac:dyDescent="0.25">
      <c r="C543" s="1"/>
      <c r="D543" s="1"/>
      <c r="E543" s="1"/>
      <c r="F543" s="1"/>
      <c r="G543" s="15"/>
      <c r="H543" s="1"/>
      <c r="I543" s="20"/>
      <c r="J543" s="20"/>
      <c r="K543" s="14"/>
      <c r="L543" s="20"/>
      <c r="M543" s="14"/>
      <c r="N543" s="17"/>
      <c r="O543" s="17"/>
      <c r="P543" s="17"/>
      <c r="Q543" s="7"/>
    </row>
    <row r="544" spans="3:17" s="2" customFormat="1" ht="15.75" x14ac:dyDescent="0.25">
      <c r="C544" s="1"/>
      <c r="D544" s="1"/>
      <c r="E544" s="1"/>
      <c r="F544" s="1"/>
      <c r="G544" s="15"/>
      <c r="H544" s="1"/>
      <c r="I544" s="20"/>
      <c r="J544" s="20"/>
      <c r="K544" s="14"/>
      <c r="L544" s="20"/>
      <c r="M544" s="14"/>
      <c r="N544" s="17"/>
      <c r="O544" s="17"/>
      <c r="P544" s="17"/>
      <c r="Q544" s="7"/>
    </row>
    <row r="545" spans="3:17" s="2" customFormat="1" ht="15.75" x14ac:dyDescent="0.25">
      <c r="C545" s="1"/>
      <c r="D545" s="1"/>
      <c r="E545" s="1"/>
      <c r="F545" s="1"/>
      <c r="G545" s="15"/>
      <c r="H545" s="1"/>
      <c r="I545" s="20"/>
      <c r="J545" s="20"/>
      <c r="K545" s="14"/>
      <c r="L545" s="20"/>
      <c r="M545" s="14"/>
      <c r="N545" s="17"/>
      <c r="O545" s="17"/>
      <c r="P545" s="17"/>
      <c r="Q545" s="7"/>
    </row>
    <row r="546" spans="3:17" s="2" customFormat="1" ht="15.75" x14ac:dyDescent="0.25">
      <c r="C546" s="1"/>
      <c r="D546" s="1"/>
      <c r="E546" s="1"/>
      <c r="F546" s="1"/>
      <c r="G546" s="15"/>
      <c r="H546" s="1"/>
      <c r="I546" s="20"/>
      <c r="J546" s="20"/>
      <c r="K546" s="14"/>
      <c r="L546" s="20"/>
      <c r="M546" s="14"/>
      <c r="N546" s="17"/>
      <c r="O546" s="17"/>
      <c r="P546" s="17"/>
      <c r="Q546" s="7"/>
    </row>
    <row r="547" spans="3:17" s="2" customFormat="1" ht="15.75" x14ac:dyDescent="0.25">
      <c r="C547" s="1"/>
      <c r="D547" s="1"/>
      <c r="E547" s="1"/>
      <c r="F547" s="1"/>
      <c r="G547" s="15"/>
      <c r="H547" s="1"/>
      <c r="I547" s="20"/>
      <c r="J547" s="20"/>
      <c r="K547" s="14"/>
      <c r="L547" s="20"/>
      <c r="M547" s="14"/>
      <c r="N547" s="17"/>
      <c r="O547" s="17"/>
      <c r="P547" s="17"/>
      <c r="Q547" s="7"/>
    </row>
    <row r="548" spans="3:17" s="2" customFormat="1" ht="15.75" x14ac:dyDescent="0.25">
      <c r="C548" s="1"/>
      <c r="D548" s="1"/>
      <c r="E548" s="1"/>
      <c r="F548" s="1"/>
      <c r="G548" s="15"/>
      <c r="H548" s="1"/>
      <c r="I548" s="20"/>
      <c r="J548" s="20"/>
      <c r="K548" s="14"/>
      <c r="L548" s="20"/>
      <c r="M548" s="14"/>
      <c r="N548" s="17"/>
      <c r="O548" s="17"/>
      <c r="P548" s="17"/>
      <c r="Q548" s="7"/>
    </row>
    <row r="549" spans="3:17" s="2" customFormat="1" ht="15.75" x14ac:dyDescent="0.25">
      <c r="C549" s="1"/>
      <c r="D549" s="1"/>
      <c r="E549" s="1"/>
      <c r="F549" s="1"/>
      <c r="G549" s="15"/>
      <c r="H549" s="1"/>
      <c r="I549" s="20"/>
      <c r="J549" s="20"/>
      <c r="K549" s="14"/>
      <c r="L549" s="20"/>
      <c r="M549" s="14"/>
      <c r="N549" s="17"/>
      <c r="O549" s="17"/>
      <c r="P549" s="17"/>
      <c r="Q549" s="7"/>
    </row>
    <row r="550" spans="3:17" s="2" customFormat="1" ht="15.75" x14ac:dyDescent="0.25">
      <c r="C550" s="1"/>
      <c r="D550" s="1"/>
      <c r="E550" s="1"/>
      <c r="F550" s="1"/>
      <c r="G550" s="15"/>
      <c r="H550" s="1"/>
      <c r="I550" s="20"/>
      <c r="J550" s="20"/>
      <c r="K550" s="14"/>
      <c r="L550" s="20"/>
      <c r="M550" s="14"/>
      <c r="N550" s="17"/>
      <c r="O550" s="17"/>
      <c r="P550" s="17"/>
      <c r="Q550" s="7"/>
    </row>
    <row r="551" spans="3:17" s="2" customFormat="1" ht="15.75" x14ac:dyDescent="0.25">
      <c r="C551" s="1"/>
      <c r="D551" s="1"/>
      <c r="E551" s="1"/>
      <c r="F551" s="1"/>
      <c r="G551" s="15"/>
      <c r="H551" s="1"/>
      <c r="I551" s="20"/>
      <c r="J551" s="20"/>
      <c r="K551" s="14"/>
      <c r="L551" s="20"/>
      <c r="M551" s="14"/>
      <c r="N551" s="17"/>
      <c r="O551" s="17"/>
      <c r="P551" s="17"/>
      <c r="Q551" s="7"/>
    </row>
    <row r="552" spans="3:17" s="2" customFormat="1" ht="15.75" x14ac:dyDescent="0.25">
      <c r="C552" s="1"/>
      <c r="D552" s="1"/>
      <c r="E552" s="1"/>
      <c r="F552" s="1"/>
      <c r="G552" s="15"/>
      <c r="H552" s="1"/>
      <c r="I552" s="20"/>
      <c r="J552" s="20"/>
      <c r="K552" s="14"/>
      <c r="L552" s="20"/>
      <c r="M552" s="14"/>
      <c r="N552" s="17"/>
      <c r="O552" s="17"/>
      <c r="P552" s="17"/>
      <c r="Q552" s="7"/>
    </row>
    <row r="553" spans="3:17" s="2" customFormat="1" ht="15.75" x14ac:dyDescent="0.25">
      <c r="C553" s="1"/>
      <c r="D553" s="1"/>
      <c r="E553" s="1"/>
      <c r="F553" s="1"/>
      <c r="G553" s="15"/>
      <c r="H553" s="1"/>
      <c r="I553" s="20"/>
      <c r="J553" s="20"/>
      <c r="K553" s="14"/>
      <c r="L553" s="20"/>
      <c r="M553" s="14"/>
      <c r="N553" s="17"/>
      <c r="O553" s="17"/>
      <c r="P553" s="17"/>
      <c r="Q553" s="7"/>
    </row>
    <row r="554" spans="3:17" s="2" customFormat="1" ht="15.75" x14ac:dyDescent="0.25">
      <c r="C554" s="1"/>
      <c r="D554" s="1"/>
      <c r="E554" s="1"/>
      <c r="F554" s="1"/>
      <c r="G554" s="15"/>
      <c r="H554" s="1"/>
      <c r="I554" s="20"/>
      <c r="J554" s="20"/>
      <c r="K554" s="14"/>
      <c r="L554" s="20"/>
      <c r="M554" s="14"/>
      <c r="N554" s="17"/>
      <c r="O554" s="17"/>
      <c r="P554" s="17"/>
      <c r="Q554" s="7"/>
    </row>
    <row r="555" spans="3:17" s="2" customFormat="1" ht="15.75" x14ac:dyDescent="0.25">
      <c r="C555" s="1"/>
      <c r="D555" s="1"/>
      <c r="E555" s="1"/>
      <c r="F555" s="1"/>
      <c r="G555" s="15"/>
      <c r="H555" s="1"/>
      <c r="I555" s="20"/>
      <c r="J555" s="20"/>
      <c r="K555" s="14"/>
      <c r="L555" s="20"/>
      <c r="M555" s="14"/>
      <c r="N555" s="17"/>
      <c r="O555" s="17"/>
      <c r="P555" s="17"/>
      <c r="Q555" s="7"/>
    </row>
    <row r="556" spans="3:17" s="2" customFormat="1" ht="15.75" x14ac:dyDescent="0.25">
      <c r="C556" s="1"/>
      <c r="D556" s="1"/>
      <c r="E556" s="1"/>
      <c r="F556" s="1"/>
      <c r="G556" s="15"/>
      <c r="H556" s="1"/>
      <c r="I556" s="20"/>
      <c r="J556" s="20"/>
      <c r="K556" s="14"/>
      <c r="L556" s="20"/>
      <c r="M556" s="14"/>
      <c r="N556" s="17"/>
      <c r="O556" s="17"/>
      <c r="P556" s="17"/>
      <c r="Q556" s="7"/>
    </row>
    <row r="557" spans="3:17" s="2" customFormat="1" ht="15.75" x14ac:dyDescent="0.25">
      <c r="C557" s="1"/>
      <c r="D557" s="1"/>
      <c r="E557" s="1"/>
      <c r="F557" s="1"/>
      <c r="G557" s="15"/>
      <c r="H557" s="1"/>
      <c r="I557" s="20"/>
      <c r="J557" s="20"/>
      <c r="K557" s="14"/>
      <c r="L557" s="20"/>
      <c r="M557" s="14"/>
      <c r="N557" s="17"/>
      <c r="O557" s="17"/>
      <c r="P557" s="17"/>
      <c r="Q557" s="7"/>
    </row>
    <row r="558" spans="3:17" s="2" customFormat="1" ht="15.75" x14ac:dyDescent="0.25">
      <c r="C558" s="1"/>
      <c r="D558" s="1"/>
      <c r="E558" s="1"/>
      <c r="F558" s="1"/>
      <c r="G558" s="15"/>
      <c r="H558" s="1"/>
      <c r="I558" s="20"/>
      <c r="J558" s="20"/>
      <c r="K558" s="14"/>
      <c r="L558" s="20"/>
      <c r="M558" s="14"/>
      <c r="N558" s="17"/>
      <c r="O558" s="17"/>
      <c r="P558" s="17"/>
      <c r="Q558" s="7"/>
    </row>
    <row r="559" spans="3:17" s="2" customFormat="1" ht="15.75" x14ac:dyDescent="0.25">
      <c r="C559" s="1"/>
      <c r="D559" s="1"/>
      <c r="E559" s="1"/>
      <c r="F559" s="1"/>
      <c r="G559" s="15"/>
      <c r="H559" s="1"/>
      <c r="I559" s="20"/>
      <c r="J559" s="20"/>
      <c r="K559" s="14"/>
      <c r="L559" s="20"/>
      <c r="M559" s="14"/>
      <c r="N559" s="17"/>
      <c r="O559" s="17"/>
      <c r="P559" s="17"/>
      <c r="Q559" s="7"/>
    </row>
    <row r="560" spans="3:17" s="2" customFormat="1" ht="15.75" x14ac:dyDescent="0.25">
      <c r="C560" s="1"/>
      <c r="D560" s="1"/>
      <c r="E560" s="1"/>
      <c r="F560" s="1"/>
      <c r="G560" s="15"/>
      <c r="H560" s="1"/>
      <c r="I560" s="20"/>
      <c r="J560" s="20"/>
      <c r="K560" s="14"/>
      <c r="L560" s="20"/>
      <c r="M560" s="14"/>
      <c r="N560" s="17"/>
      <c r="O560" s="17"/>
      <c r="P560" s="17"/>
      <c r="Q560" s="7"/>
    </row>
    <row r="561" spans="3:17" s="2" customFormat="1" ht="15.75" x14ac:dyDescent="0.25">
      <c r="C561" s="1"/>
      <c r="D561" s="1"/>
      <c r="E561" s="1"/>
      <c r="F561" s="1"/>
      <c r="G561" s="15"/>
      <c r="H561" s="1"/>
      <c r="I561" s="20"/>
      <c r="J561" s="20"/>
      <c r="K561" s="14"/>
      <c r="L561" s="20"/>
      <c r="M561" s="14"/>
      <c r="N561" s="17"/>
      <c r="O561" s="17"/>
      <c r="P561" s="17"/>
      <c r="Q561" s="7"/>
    </row>
    <row r="562" spans="3:17" s="2" customFormat="1" ht="15.75" x14ac:dyDescent="0.25">
      <c r="C562" s="1"/>
      <c r="D562" s="1"/>
      <c r="E562" s="1"/>
      <c r="F562" s="1"/>
      <c r="G562" s="15"/>
      <c r="H562" s="1"/>
      <c r="I562" s="20"/>
      <c r="J562" s="20"/>
      <c r="K562" s="14"/>
      <c r="L562" s="20"/>
      <c r="M562" s="14"/>
      <c r="N562" s="17"/>
      <c r="O562" s="17"/>
      <c r="P562" s="17"/>
      <c r="Q562" s="7"/>
    </row>
    <row r="563" spans="3:17" s="2" customFormat="1" ht="15.75" x14ac:dyDescent="0.25">
      <c r="C563" s="1"/>
      <c r="D563" s="1"/>
      <c r="E563" s="1"/>
      <c r="F563" s="1"/>
      <c r="G563" s="15"/>
      <c r="H563" s="1"/>
      <c r="I563" s="20"/>
      <c r="J563" s="20"/>
      <c r="K563" s="14"/>
      <c r="L563" s="20"/>
      <c r="M563" s="14"/>
      <c r="N563" s="17"/>
      <c r="O563" s="17"/>
      <c r="P563" s="17"/>
      <c r="Q563" s="7"/>
    </row>
    <row r="564" spans="3:17" s="2" customFormat="1" ht="15.75" x14ac:dyDescent="0.25">
      <c r="C564" s="1"/>
      <c r="D564" s="1"/>
      <c r="E564" s="1"/>
      <c r="F564" s="1"/>
      <c r="G564" s="15"/>
      <c r="H564" s="1"/>
      <c r="I564" s="20"/>
      <c r="J564" s="20"/>
      <c r="K564" s="14"/>
      <c r="L564" s="20"/>
      <c r="M564" s="14"/>
      <c r="N564" s="17"/>
      <c r="O564" s="17"/>
      <c r="P564" s="17"/>
      <c r="Q564" s="7"/>
    </row>
    <row r="565" spans="3:17" s="2" customFormat="1" ht="15.75" x14ac:dyDescent="0.25">
      <c r="C565" s="1"/>
      <c r="D565" s="1"/>
      <c r="E565" s="1"/>
      <c r="F565" s="1"/>
      <c r="G565" s="15"/>
      <c r="H565" s="1"/>
      <c r="I565" s="20"/>
      <c r="J565" s="20"/>
      <c r="K565" s="14"/>
      <c r="L565" s="20"/>
      <c r="M565" s="14"/>
      <c r="N565" s="17"/>
      <c r="O565" s="17"/>
      <c r="P565" s="17"/>
      <c r="Q565" s="7"/>
    </row>
    <row r="566" spans="3:17" s="2" customFormat="1" ht="15.75" x14ac:dyDescent="0.25">
      <c r="C566" s="1"/>
      <c r="D566" s="1"/>
      <c r="E566" s="1"/>
      <c r="F566" s="1"/>
      <c r="G566" s="15"/>
      <c r="H566" s="1"/>
      <c r="I566" s="20"/>
      <c r="J566" s="20"/>
      <c r="K566" s="14"/>
      <c r="L566" s="20"/>
      <c r="M566" s="14"/>
      <c r="N566" s="17"/>
      <c r="O566" s="17"/>
      <c r="P566" s="17"/>
      <c r="Q566" s="7"/>
    </row>
    <row r="567" spans="3:17" s="2" customFormat="1" ht="15.75" x14ac:dyDescent="0.25">
      <c r="C567" s="1"/>
      <c r="D567" s="1"/>
      <c r="E567" s="1"/>
      <c r="F567" s="1"/>
      <c r="G567" s="15"/>
      <c r="H567" s="1"/>
      <c r="I567" s="20"/>
      <c r="J567" s="20"/>
      <c r="K567" s="14"/>
      <c r="L567" s="20"/>
      <c r="M567" s="14"/>
      <c r="N567" s="17"/>
      <c r="O567" s="17"/>
      <c r="P567" s="17"/>
      <c r="Q567" s="7"/>
    </row>
    <row r="568" spans="3:17" s="2" customFormat="1" ht="15.75" x14ac:dyDescent="0.25">
      <c r="C568" s="1"/>
      <c r="D568" s="1"/>
      <c r="E568" s="1"/>
      <c r="F568" s="1"/>
      <c r="G568" s="15"/>
      <c r="H568" s="1"/>
      <c r="I568" s="20"/>
      <c r="J568" s="20"/>
      <c r="K568" s="14"/>
      <c r="L568" s="20"/>
      <c r="M568" s="14"/>
      <c r="N568" s="17"/>
      <c r="O568" s="17"/>
      <c r="P568" s="17"/>
      <c r="Q568" s="7"/>
    </row>
    <row r="569" spans="3:17" s="2" customFormat="1" ht="15.75" x14ac:dyDescent="0.25">
      <c r="C569" s="1"/>
      <c r="D569" s="1"/>
      <c r="E569" s="1"/>
      <c r="F569" s="1"/>
      <c r="G569" s="15"/>
      <c r="H569" s="1"/>
      <c r="I569" s="20"/>
      <c r="J569" s="20"/>
      <c r="K569" s="14"/>
      <c r="L569" s="20"/>
      <c r="M569" s="14"/>
      <c r="N569" s="17"/>
      <c r="O569" s="17"/>
      <c r="P569" s="17"/>
      <c r="Q569" s="7"/>
    </row>
    <row r="570" spans="3:17" s="2" customFormat="1" ht="15.75" x14ac:dyDescent="0.25">
      <c r="C570" s="1"/>
      <c r="D570" s="1"/>
      <c r="E570" s="1"/>
      <c r="F570" s="1"/>
      <c r="G570" s="15"/>
      <c r="H570" s="1"/>
      <c r="I570" s="20"/>
      <c r="J570" s="20"/>
      <c r="K570" s="14"/>
      <c r="L570" s="20"/>
      <c r="M570" s="14"/>
      <c r="N570" s="17"/>
      <c r="O570" s="17"/>
      <c r="P570" s="17"/>
      <c r="Q570" s="7"/>
    </row>
    <row r="571" spans="3:17" s="2" customFormat="1" ht="15.75" x14ac:dyDescent="0.25">
      <c r="C571" s="1"/>
      <c r="D571" s="1"/>
      <c r="E571" s="1"/>
      <c r="F571" s="1"/>
      <c r="G571" s="15"/>
      <c r="H571" s="1"/>
      <c r="I571" s="20"/>
      <c r="J571" s="20"/>
      <c r="K571" s="14"/>
      <c r="L571" s="20"/>
      <c r="M571" s="14"/>
      <c r="N571" s="17"/>
      <c r="O571" s="17"/>
      <c r="P571" s="17"/>
      <c r="Q571" s="7"/>
    </row>
    <row r="572" spans="3:17" s="2" customFormat="1" ht="15.75" x14ac:dyDescent="0.25">
      <c r="C572" s="1"/>
      <c r="D572" s="1"/>
      <c r="E572" s="1"/>
      <c r="F572" s="1"/>
      <c r="G572" s="15"/>
      <c r="H572" s="1"/>
      <c r="I572" s="20"/>
      <c r="J572" s="20"/>
      <c r="K572" s="14"/>
      <c r="L572" s="20"/>
      <c r="M572" s="14"/>
      <c r="N572" s="17"/>
      <c r="O572" s="17"/>
      <c r="P572" s="17"/>
      <c r="Q572" s="7"/>
    </row>
    <row r="573" spans="3:17" s="2" customFormat="1" ht="15.75" x14ac:dyDescent="0.25">
      <c r="C573" s="1"/>
      <c r="D573" s="1"/>
      <c r="E573" s="1"/>
      <c r="F573" s="1"/>
      <c r="G573" s="15"/>
      <c r="H573" s="1"/>
      <c r="I573" s="20"/>
      <c r="J573" s="20"/>
      <c r="K573" s="14"/>
      <c r="L573" s="20"/>
      <c r="M573" s="14"/>
      <c r="N573" s="17"/>
      <c r="O573" s="17"/>
      <c r="P573" s="17"/>
      <c r="Q573" s="7"/>
    </row>
    <row r="574" spans="3:17" s="2" customFormat="1" ht="15.75" x14ac:dyDescent="0.25">
      <c r="C574" s="1"/>
      <c r="D574" s="1"/>
      <c r="E574" s="1"/>
      <c r="F574" s="1"/>
      <c r="G574" s="15"/>
      <c r="H574" s="1"/>
      <c r="I574" s="20"/>
      <c r="J574" s="20"/>
      <c r="K574" s="14"/>
      <c r="L574" s="20"/>
      <c r="M574" s="14"/>
      <c r="N574" s="17"/>
      <c r="O574" s="17"/>
      <c r="P574" s="17"/>
      <c r="Q574" s="7"/>
    </row>
    <row r="575" spans="3:17" s="2" customFormat="1" ht="15.75" x14ac:dyDescent="0.25">
      <c r="C575" s="1"/>
      <c r="D575" s="1"/>
      <c r="E575" s="1"/>
      <c r="F575" s="1"/>
      <c r="G575" s="15"/>
      <c r="H575" s="1"/>
      <c r="I575" s="20"/>
      <c r="J575" s="20"/>
      <c r="K575" s="14"/>
      <c r="L575" s="20"/>
      <c r="M575" s="14"/>
      <c r="N575" s="17"/>
      <c r="O575" s="17"/>
      <c r="P575" s="17"/>
      <c r="Q575" s="7"/>
    </row>
    <row r="576" spans="3:17" s="2" customFormat="1" ht="15.75" x14ac:dyDescent="0.25">
      <c r="C576" s="1"/>
      <c r="D576" s="1"/>
      <c r="E576" s="1"/>
      <c r="F576" s="1"/>
      <c r="G576" s="15"/>
      <c r="H576" s="1"/>
      <c r="I576" s="20"/>
      <c r="J576" s="20"/>
      <c r="K576" s="14"/>
      <c r="L576" s="20"/>
      <c r="M576" s="14"/>
      <c r="N576" s="17"/>
      <c r="O576" s="17"/>
      <c r="P576" s="17"/>
      <c r="Q576" s="7"/>
    </row>
    <row r="577" spans="3:17" s="2" customFormat="1" ht="15.75" x14ac:dyDescent="0.25">
      <c r="C577" s="1"/>
      <c r="D577" s="1"/>
      <c r="E577" s="1"/>
      <c r="F577" s="1"/>
      <c r="G577" s="15"/>
      <c r="H577" s="1"/>
      <c r="I577" s="20"/>
      <c r="J577" s="20"/>
      <c r="K577" s="14"/>
      <c r="L577" s="20"/>
      <c r="M577" s="14"/>
      <c r="N577" s="17"/>
      <c r="O577" s="17"/>
      <c r="P577" s="17"/>
      <c r="Q577" s="7"/>
    </row>
    <row r="578" spans="3:17" s="2" customFormat="1" ht="15.75" x14ac:dyDescent="0.25">
      <c r="C578" s="1"/>
      <c r="D578" s="1"/>
      <c r="E578" s="1"/>
      <c r="F578" s="1"/>
      <c r="G578" s="15"/>
      <c r="H578" s="1"/>
      <c r="I578" s="20"/>
      <c r="J578" s="20"/>
      <c r="K578" s="14"/>
      <c r="L578" s="20"/>
      <c r="M578" s="14"/>
      <c r="N578" s="17"/>
      <c r="O578" s="17"/>
      <c r="P578" s="17"/>
      <c r="Q578" s="7"/>
    </row>
    <row r="579" spans="3:17" s="2" customFormat="1" ht="15.75" x14ac:dyDescent="0.25">
      <c r="C579" s="1"/>
      <c r="D579" s="1"/>
      <c r="E579" s="1"/>
      <c r="F579" s="1"/>
      <c r="G579" s="15"/>
      <c r="H579" s="1"/>
      <c r="I579" s="20"/>
      <c r="J579" s="20"/>
      <c r="K579" s="14"/>
      <c r="L579" s="20"/>
      <c r="M579" s="14"/>
      <c r="N579" s="17"/>
      <c r="O579" s="17"/>
      <c r="P579" s="17"/>
      <c r="Q579" s="7"/>
    </row>
    <row r="580" spans="3:17" s="2" customFormat="1" ht="15.75" x14ac:dyDescent="0.25">
      <c r="C580" s="1"/>
      <c r="D580" s="1"/>
      <c r="E580" s="1"/>
      <c r="F580" s="1"/>
      <c r="G580" s="15"/>
      <c r="H580" s="1"/>
      <c r="I580" s="20"/>
      <c r="J580" s="20"/>
      <c r="K580" s="14"/>
      <c r="L580" s="20"/>
      <c r="M580" s="14"/>
      <c r="N580" s="17"/>
      <c r="O580" s="17"/>
      <c r="P580" s="17"/>
      <c r="Q580" s="7"/>
    </row>
    <row r="581" spans="3:17" s="2" customFormat="1" ht="15.75" x14ac:dyDescent="0.25">
      <c r="C581" s="1"/>
      <c r="D581" s="1"/>
      <c r="E581" s="1"/>
      <c r="F581" s="1"/>
      <c r="G581" s="15"/>
      <c r="H581" s="1"/>
      <c r="I581" s="20"/>
      <c r="J581" s="20"/>
      <c r="K581" s="14"/>
      <c r="L581" s="20"/>
      <c r="M581" s="14"/>
      <c r="N581" s="17"/>
      <c r="O581" s="17"/>
      <c r="P581" s="17"/>
      <c r="Q581" s="7"/>
    </row>
    <row r="582" spans="3:17" s="2" customFormat="1" ht="15.75" x14ac:dyDescent="0.25">
      <c r="C582" s="1"/>
      <c r="D582" s="1"/>
      <c r="E582" s="1"/>
      <c r="F582" s="1"/>
      <c r="G582" s="15"/>
      <c r="H582" s="1"/>
      <c r="I582" s="20"/>
      <c r="J582" s="20"/>
      <c r="K582" s="14"/>
      <c r="L582" s="20"/>
      <c r="M582" s="14"/>
      <c r="N582" s="17"/>
      <c r="O582" s="17"/>
      <c r="P582" s="17"/>
      <c r="Q582" s="7"/>
    </row>
    <row r="583" spans="3:17" s="2" customFormat="1" ht="15.75" x14ac:dyDescent="0.25">
      <c r="C583" s="1"/>
      <c r="D583" s="1"/>
      <c r="E583" s="1"/>
      <c r="F583" s="1"/>
      <c r="G583" s="15"/>
      <c r="H583" s="1"/>
      <c r="I583" s="20"/>
      <c r="J583" s="20"/>
      <c r="K583" s="14"/>
      <c r="L583" s="20"/>
      <c r="M583" s="14"/>
      <c r="N583" s="17"/>
      <c r="O583" s="17"/>
      <c r="P583" s="17"/>
      <c r="Q583" s="7"/>
    </row>
    <row r="584" spans="3:17" s="2" customFormat="1" ht="15.75" x14ac:dyDescent="0.25">
      <c r="C584" s="1"/>
      <c r="D584" s="1"/>
      <c r="E584" s="1"/>
      <c r="F584" s="1"/>
      <c r="G584" s="15"/>
      <c r="H584" s="1"/>
      <c r="I584" s="20"/>
      <c r="J584" s="20"/>
      <c r="K584" s="14"/>
      <c r="L584" s="20"/>
      <c r="M584" s="14"/>
      <c r="N584" s="17"/>
      <c r="O584" s="17"/>
      <c r="P584" s="17"/>
      <c r="Q584" s="7"/>
    </row>
    <row r="585" spans="3:17" s="2" customFormat="1" ht="15.75" x14ac:dyDescent="0.25">
      <c r="C585" s="1"/>
      <c r="D585" s="1"/>
      <c r="E585" s="1"/>
      <c r="F585" s="1"/>
      <c r="G585" s="15"/>
      <c r="H585" s="1"/>
      <c r="I585" s="20"/>
      <c r="J585" s="20"/>
      <c r="K585" s="14"/>
      <c r="L585" s="20"/>
      <c r="M585" s="14"/>
      <c r="N585" s="17"/>
      <c r="O585" s="17"/>
      <c r="P585" s="17"/>
      <c r="Q585" s="7"/>
    </row>
    <row r="586" spans="3:17" s="2" customFormat="1" ht="15.75" x14ac:dyDescent="0.25">
      <c r="C586" s="1"/>
      <c r="D586" s="1"/>
      <c r="E586" s="1"/>
      <c r="F586" s="1"/>
      <c r="G586" s="15"/>
      <c r="H586" s="1"/>
      <c r="I586" s="20"/>
      <c r="J586" s="20"/>
      <c r="K586" s="14"/>
      <c r="L586" s="20"/>
      <c r="M586" s="14"/>
      <c r="N586" s="17"/>
      <c r="O586" s="17"/>
      <c r="P586" s="17"/>
      <c r="Q586" s="7"/>
    </row>
    <row r="587" spans="3:17" s="2" customFormat="1" ht="15.75" x14ac:dyDescent="0.25">
      <c r="C587" s="1"/>
      <c r="D587" s="1"/>
      <c r="E587" s="1"/>
      <c r="F587" s="1"/>
      <c r="G587" s="15"/>
      <c r="H587" s="1"/>
      <c r="I587" s="20"/>
      <c r="J587" s="20"/>
      <c r="K587" s="14"/>
      <c r="L587" s="20"/>
      <c r="M587" s="14"/>
      <c r="N587" s="17"/>
      <c r="O587" s="17"/>
      <c r="P587" s="17"/>
      <c r="Q587" s="7"/>
    </row>
    <row r="588" spans="3:17" s="2" customFormat="1" ht="15.75" x14ac:dyDescent="0.25">
      <c r="C588" s="1"/>
      <c r="D588" s="1"/>
      <c r="E588" s="1"/>
      <c r="F588" s="1"/>
      <c r="G588" s="15"/>
      <c r="H588" s="1"/>
      <c r="I588" s="20"/>
      <c r="J588" s="20"/>
      <c r="K588" s="14"/>
      <c r="L588" s="20"/>
      <c r="M588" s="14"/>
      <c r="N588" s="17"/>
      <c r="O588" s="17"/>
      <c r="P588" s="17"/>
      <c r="Q588" s="7"/>
    </row>
    <row r="589" spans="3:17" s="2" customFormat="1" ht="15.75" x14ac:dyDescent="0.25">
      <c r="C589" s="1"/>
      <c r="D589" s="1"/>
      <c r="E589" s="1"/>
      <c r="F589" s="1"/>
      <c r="G589" s="15"/>
      <c r="H589" s="1"/>
      <c r="I589" s="20"/>
      <c r="J589" s="20"/>
      <c r="K589" s="14"/>
      <c r="L589" s="20"/>
      <c r="M589" s="14"/>
      <c r="N589" s="17"/>
      <c r="O589" s="17"/>
      <c r="P589" s="17"/>
      <c r="Q589" s="7"/>
    </row>
    <row r="590" spans="3:17" s="2" customFormat="1" ht="15.75" x14ac:dyDescent="0.25">
      <c r="C590" s="1"/>
      <c r="D590" s="1"/>
      <c r="E590" s="1"/>
      <c r="F590" s="1"/>
      <c r="G590" s="15"/>
      <c r="H590" s="1"/>
      <c r="I590" s="20"/>
      <c r="J590" s="20"/>
      <c r="K590" s="14"/>
      <c r="L590" s="20"/>
      <c r="M590" s="14"/>
      <c r="N590" s="17"/>
      <c r="O590" s="17"/>
      <c r="P590" s="17"/>
      <c r="Q590" s="7"/>
    </row>
    <row r="591" spans="3:17" s="2" customFormat="1" ht="15.75" x14ac:dyDescent="0.25">
      <c r="C591" s="1"/>
      <c r="D591" s="1"/>
      <c r="E591" s="1"/>
      <c r="F591" s="1"/>
      <c r="G591" s="15"/>
      <c r="H591" s="1"/>
      <c r="I591" s="20"/>
      <c r="J591" s="20"/>
      <c r="K591" s="14"/>
      <c r="L591" s="20"/>
      <c r="M591" s="14"/>
      <c r="N591" s="17"/>
      <c r="O591" s="17"/>
      <c r="P591" s="17"/>
      <c r="Q591" s="7"/>
    </row>
    <row r="592" spans="3:17" s="2" customFormat="1" ht="15.75" x14ac:dyDescent="0.25">
      <c r="C592" s="1"/>
      <c r="D592" s="1"/>
      <c r="E592" s="1"/>
      <c r="F592" s="1"/>
      <c r="G592" s="15"/>
      <c r="H592" s="1"/>
      <c r="I592" s="20"/>
      <c r="J592" s="20"/>
      <c r="K592" s="14"/>
      <c r="L592" s="20"/>
      <c r="M592" s="14"/>
      <c r="N592" s="17"/>
      <c r="O592" s="17"/>
      <c r="P592" s="17"/>
      <c r="Q592" s="7"/>
    </row>
    <row r="593" spans="3:17" s="2" customFormat="1" ht="15.75" x14ac:dyDescent="0.25">
      <c r="C593" s="1"/>
      <c r="D593" s="1"/>
      <c r="E593" s="1"/>
      <c r="F593" s="1"/>
      <c r="G593" s="15"/>
      <c r="H593" s="1"/>
      <c r="I593" s="20"/>
      <c r="J593" s="20"/>
      <c r="K593" s="14"/>
      <c r="L593" s="20"/>
      <c r="M593" s="14"/>
      <c r="N593" s="17"/>
      <c r="O593" s="17"/>
      <c r="P593" s="17"/>
      <c r="Q593" s="7"/>
    </row>
    <row r="594" spans="3:17" s="2" customFormat="1" ht="15.75" x14ac:dyDescent="0.25">
      <c r="C594" s="1"/>
      <c r="D594" s="1"/>
      <c r="E594" s="1"/>
      <c r="F594" s="1"/>
      <c r="G594" s="15"/>
      <c r="H594" s="1"/>
      <c r="I594" s="20"/>
      <c r="J594" s="20"/>
      <c r="K594" s="14"/>
      <c r="L594" s="20"/>
      <c r="M594" s="14"/>
      <c r="N594" s="17"/>
      <c r="O594" s="17"/>
      <c r="P594" s="17"/>
      <c r="Q594" s="7"/>
    </row>
    <row r="595" spans="3:17" s="2" customFormat="1" ht="15.75" x14ac:dyDescent="0.25">
      <c r="C595" s="1"/>
      <c r="D595" s="1"/>
      <c r="E595" s="1"/>
      <c r="F595" s="1"/>
      <c r="G595" s="15"/>
      <c r="H595" s="1"/>
      <c r="I595" s="20"/>
      <c r="J595" s="20"/>
      <c r="K595" s="14"/>
      <c r="L595" s="20"/>
      <c r="M595" s="14"/>
      <c r="N595" s="17"/>
      <c r="O595" s="17"/>
      <c r="P595" s="17"/>
      <c r="Q595" s="7"/>
    </row>
    <row r="596" spans="3:17" s="2" customFormat="1" ht="15.75" x14ac:dyDescent="0.25">
      <c r="C596" s="1"/>
      <c r="D596" s="1"/>
      <c r="E596" s="1"/>
      <c r="F596" s="1"/>
      <c r="G596" s="15"/>
      <c r="H596" s="1"/>
      <c r="I596" s="20"/>
      <c r="J596" s="20"/>
      <c r="K596" s="14"/>
      <c r="L596" s="20"/>
      <c r="M596" s="14"/>
      <c r="N596" s="17"/>
      <c r="O596" s="17"/>
      <c r="P596" s="17"/>
      <c r="Q596" s="7"/>
    </row>
    <row r="597" spans="3:17" s="2" customFormat="1" ht="15.75" x14ac:dyDescent="0.25">
      <c r="C597" s="1"/>
      <c r="D597" s="1"/>
      <c r="E597" s="1"/>
      <c r="F597" s="1"/>
      <c r="G597" s="15"/>
      <c r="H597" s="1"/>
      <c r="I597" s="20"/>
      <c r="J597" s="20"/>
      <c r="K597" s="14"/>
      <c r="L597" s="20"/>
      <c r="M597" s="14"/>
      <c r="N597" s="17"/>
      <c r="O597" s="17"/>
      <c r="P597" s="17"/>
      <c r="Q597" s="7"/>
    </row>
    <row r="598" spans="3:17" s="2" customFormat="1" ht="15.75" x14ac:dyDescent="0.25">
      <c r="C598" s="1"/>
      <c r="D598" s="1"/>
      <c r="E598" s="1"/>
      <c r="F598" s="1"/>
      <c r="G598" s="15"/>
      <c r="H598" s="1"/>
      <c r="I598" s="20"/>
      <c r="J598" s="20"/>
      <c r="K598" s="14"/>
      <c r="L598" s="20"/>
      <c r="M598" s="14"/>
      <c r="N598" s="17"/>
      <c r="O598" s="17"/>
      <c r="P598" s="17"/>
      <c r="Q598" s="7"/>
    </row>
    <row r="599" spans="3:17" s="2" customFormat="1" ht="15.75" x14ac:dyDescent="0.25">
      <c r="C599" s="1"/>
      <c r="D599" s="1"/>
      <c r="E599" s="1"/>
      <c r="F599" s="1"/>
      <c r="G599" s="15"/>
      <c r="H599" s="1"/>
      <c r="I599" s="20"/>
      <c r="J599" s="20"/>
      <c r="K599" s="14"/>
      <c r="L599" s="20"/>
      <c r="M599" s="14"/>
      <c r="N599" s="17"/>
      <c r="O599" s="17"/>
      <c r="P599" s="17"/>
      <c r="Q599" s="7"/>
    </row>
    <row r="600" spans="3:17" s="2" customFormat="1" ht="15.75" x14ac:dyDescent="0.25">
      <c r="C600" s="1"/>
      <c r="D600" s="1"/>
      <c r="E600" s="1"/>
      <c r="F600" s="1"/>
      <c r="G600" s="15"/>
      <c r="H600" s="1"/>
      <c r="I600" s="20"/>
      <c r="J600" s="20"/>
      <c r="K600" s="14"/>
      <c r="L600" s="20"/>
      <c r="M600" s="14"/>
      <c r="N600" s="17"/>
      <c r="O600" s="17"/>
      <c r="P600" s="17"/>
      <c r="Q600" s="7"/>
    </row>
  </sheetData>
  <autoFilter ref="B4:Q277">
    <filterColumn colId="1">
      <filters>
        <filter val="Ele Butte"/>
      </filters>
    </filterColumn>
  </autoFilter>
  <mergeCells count="2">
    <mergeCell ref="F1:M1"/>
    <mergeCell ref="G3:H3"/>
  </mergeCells>
  <conditionalFormatting sqref="N129:N135 N145:N1048576 N1:N118">
    <cfRule type="cellIs" dxfId="4" priority="7" operator="between">
      <formula>-0.001</formula>
      <formula>-999999999</formula>
    </cfRule>
  </conditionalFormatting>
  <conditionalFormatting sqref="N119:N128">
    <cfRule type="cellIs" dxfId="3" priority="5" operator="between">
      <formula>-0.001</formula>
      <formula>-999999999</formula>
    </cfRule>
  </conditionalFormatting>
  <conditionalFormatting sqref="N142:N144">
    <cfRule type="cellIs" dxfId="2" priority="4" operator="between">
      <formula>-0.001</formula>
      <formula>-999999999</formula>
    </cfRule>
  </conditionalFormatting>
  <conditionalFormatting sqref="N139:N141">
    <cfRule type="cellIs" dxfId="1" priority="3" operator="between">
      <formula>-0.001</formula>
      <formula>-999999999</formula>
    </cfRule>
  </conditionalFormatting>
  <conditionalFormatting sqref="N136:N138">
    <cfRule type="cellIs" dxfId="0" priority="2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3"/>
  <sheetViews>
    <sheetView showGridLines="0" workbookViewId="0">
      <selection activeCell="C33" sqref="C33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33" t="s">
        <v>37</v>
      </c>
      <c r="C2" s="133" t="s">
        <v>2</v>
      </c>
      <c r="D2" s="135" t="s">
        <v>38</v>
      </c>
    </row>
    <row r="3" spans="2:11" ht="15.75" customHeight="1" thickBot="1" x14ac:dyDescent="0.3">
      <c r="B3" s="134"/>
      <c r="C3" s="134"/>
      <c r="D3" s="136"/>
    </row>
    <row r="4" spans="2:11" x14ac:dyDescent="0.25">
      <c r="B4" s="137" t="s">
        <v>36</v>
      </c>
      <c r="C4" s="37" t="s">
        <v>15</v>
      </c>
      <c r="D4" s="34">
        <f>SUM(SUMIF('Raw Data'!H5:H500,{"B"}, 'Raw Data'!K5:K500))/SUM(COUNTIF('Raw Data'!H5:H500,{"B"}))</f>
        <v>0.46978089513111326</v>
      </c>
      <c r="K4" s="6">
        <f>SUM('Product Margin Analysis'!D4)</f>
        <v>0.46978089513111326</v>
      </c>
    </row>
    <row r="5" spans="2:11" ht="15.75" thickBot="1" x14ac:dyDescent="0.3">
      <c r="B5" s="138"/>
      <c r="C5" s="38" t="s">
        <v>16</v>
      </c>
      <c r="D5" s="36">
        <f>SUM(SUMIF('Raw Data'!H5:H500,{"K"}, 'Raw Data'!K5:K500))/SUM(COUNTIF('Raw Data'!H5:H500,{"K"}))</f>
        <v>0.40171909757503554</v>
      </c>
    </row>
    <row r="6" spans="2:11" x14ac:dyDescent="0.25">
      <c r="B6" s="139" t="s">
        <v>35</v>
      </c>
      <c r="C6" s="37" t="s">
        <v>24</v>
      </c>
      <c r="D6" s="34">
        <f>SUM(SUMIF('Raw Data'!H5:H500,{"FP","FP-LC","FP-IR","FP-VP","FP-OP"}, 'Raw Data'!K5:K500))/SUM(COUNTIF('Raw Data'!H5:H500,{"FP","FP-LC","FP-IR","FP-VP","FP-OP"}))</f>
        <v>0.5617789068644391</v>
      </c>
    </row>
    <row r="7" spans="2:11" x14ac:dyDescent="0.25">
      <c r="B7" s="140"/>
      <c r="C7" s="32" t="s">
        <v>14</v>
      </c>
      <c r="D7" s="35">
        <f>SUM(SUMIF('Raw Data'!H5:H500,{"IR","IR-LC","IR-FP","IR-VP","IR-OP","IR-Sky"}, 'Raw Data'!K5:K500))/SUM(COUNTIF('Raw Data'!H5:H500,{"IR","IR-LC","IR-FP","IR-VP","IR-OP","IR-Sky"}))</f>
        <v>0.50727173164220551</v>
      </c>
    </row>
    <row r="8" spans="2:11" x14ac:dyDescent="0.25">
      <c r="B8" s="140"/>
      <c r="C8" s="32" t="s">
        <v>17</v>
      </c>
      <c r="D8" s="35">
        <f>SUM(SUMIF('Raw Data'!H5:H500,{"LC","LC-IR","LC-FP","LC-VP","LC-OP","LC-Sky"}, 'Raw Data'!K5:K500))/SUM(COUNTIF('Raw Data'!H5:H500,{"LC","LC-IR","LC-FP","LC-VP","LC-OP","LC-Sky"}))</f>
        <v>0.51770912332600694</v>
      </c>
    </row>
    <row r="9" spans="2:11" x14ac:dyDescent="0.25">
      <c r="B9" s="140"/>
      <c r="C9" s="32" t="s">
        <v>19</v>
      </c>
      <c r="D9" s="35">
        <f>SUM(SUMIF('Raw Data'!H5:H500,{"OP","OP-IR","OP-FP","OP-VP","OP-LC"}, 'Raw Data'!K5:K500))/SUM(COUNTIF('Raw Data'!H5:H500,{"OP","OP-IR","OP-FP","OP-VP","OP-LC"}))</f>
        <v>0.55610094195330817</v>
      </c>
    </row>
    <row r="10" spans="2:11" ht="15.75" thickBot="1" x14ac:dyDescent="0.3">
      <c r="B10" s="141"/>
      <c r="C10" s="38" t="s">
        <v>22</v>
      </c>
      <c r="D10" s="36">
        <f>SUM(SUMIF('Raw Data'!H5:H500,{"VP","VP-IR","VP-FP","VP-OP","VP-LC"}, 'Raw Data'!K5:K500))/SUM(COUNTIF('Raw Data'!H5:H500,{"VP","VP-IR","VP-FP","VP-OP","VP-LC"}))</f>
        <v>0.30644265223085521</v>
      </c>
    </row>
    <row r="11" spans="2:11" x14ac:dyDescent="0.25">
      <c r="B11" s="142" t="s">
        <v>33</v>
      </c>
      <c r="C11" s="37" t="s">
        <v>29</v>
      </c>
      <c r="D11" s="34">
        <f>SUM(SUMIF('Raw Data'!H5:H500,{"SR-206","SR-206-Sky"}, 'Raw Data'!K5:K500))/SUM(COUNTIF('Raw Data'!H5:H500,{"SR-206","SR-206-Sky"}))</f>
        <v>0.56846496526121792</v>
      </c>
    </row>
    <row r="12" spans="2:11" x14ac:dyDescent="0.25">
      <c r="B12" s="143"/>
      <c r="C12" s="32" t="s">
        <v>28</v>
      </c>
      <c r="D12" s="35">
        <f>SUM(SUMIF('Raw Data'!H5:H500,{"SR-306","SR-306-Sky"}, 'Raw Data'!K5:K500))/SUM(COUNTIF('Raw Data'!H5:H500,{"SR-306","SR-306-Sky"}))</f>
        <v>0.54384258212227088</v>
      </c>
    </row>
    <row r="13" spans="2:11" x14ac:dyDescent="0.25">
      <c r="B13" s="143"/>
      <c r="C13" s="32" t="s">
        <v>30</v>
      </c>
      <c r="D13" s="35">
        <f>SUM(SUMIF('Raw Data'!H5:H500,{"SR-406","SR-406-Sky"}, 'Raw Data'!K5:K500))/SUM(COUNTIF('Raw Data'!H5:H500,{"SR-406","SR-406-Sky"}))</f>
        <v>0.56870999999999994</v>
      </c>
    </row>
    <row r="14" spans="2:11" x14ac:dyDescent="0.25">
      <c r="B14" s="143"/>
      <c r="C14" s="32" t="s">
        <v>27</v>
      </c>
      <c r="D14" s="35">
        <f>SUM(SUMIF('Raw Data'!H5:H500,{"SR-VV"}, 'Raw Data'!K5:K500))/SUM(COUNTIF('Raw Data'!H5:H500,{"SR-VV"}))</f>
        <v>0.57252800931035441</v>
      </c>
    </row>
    <row r="15" spans="2:11" ht="15.75" thickBot="1" x14ac:dyDescent="0.3">
      <c r="B15" s="144"/>
      <c r="C15" s="38" t="s">
        <v>31</v>
      </c>
      <c r="D15" s="35">
        <f>SUM(SUMIF('Raw Data'!H6:H501,{"SCR-WO"}, 'Raw Data'!K6:K501))/SUM(COUNTIF('Raw Data'!H6:H501,{"SCR-WO"}))</f>
        <v>0.62493784471777314</v>
      </c>
    </row>
    <row r="16" spans="2:11" x14ac:dyDescent="0.25">
      <c r="B16" s="128" t="s">
        <v>34</v>
      </c>
      <c r="C16" s="37" t="s">
        <v>54</v>
      </c>
      <c r="D16" s="35">
        <f>SUM(SUMIF('Raw Data'!H4:H499,{"D"}, 'Raw Data'!K4:K499))/SUM(COUNTIF('Raw Data'!H4:H499,{"D"}))</f>
        <v>0.50985831261433201</v>
      </c>
    </row>
    <row r="17" spans="2:4" x14ac:dyDescent="0.25">
      <c r="B17" s="129"/>
      <c r="C17" s="33" t="s">
        <v>13</v>
      </c>
      <c r="D17" s="35">
        <f>SUM(SUMIF('Raw Data'!H5:H500,{"W (A)"}, 'Raw Data'!K5:K500))/SUM(COUNTIF('Raw Data'!H5:H500,{"W (A)"}))</f>
        <v>0.53157300671685748</v>
      </c>
    </row>
    <row r="18" spans="2:4" ht="15.75" thickBot="1" x14ac:dyDescent="0.3">
      <c r="B18" s="130"/>
      <c r="C18" s="38" t="s">
        <v>18</v>
      </c>
      <c r="D18" s="39">
        <f>SUM(SUMIF('Raw Data'!H5:H500,{"W"}, 'Raw Data'!K5:K500))/SUM(COUNTIF('Raw Data'!H5:H500,{"W"}))</f>
        <v>0.51252221925631458</v>
      </c>
    </row>
    <row r="19" spans="2:4" ht="15.75" customHeight="1" thickBot="1" x14ac:dyDescent="0.3">
      <c r="B19" s="131" t="s">
        <v>32</v>
      </c>
      <c r="C19" s="132"/>
      <c r="D19" s="30">
        <f>'Raw Data'!$K$3</f>
        <v>0.49001917975163811</v>
      </c>
    </row>
    <row r="20" spans="2:4" ht="15.75" thickBot="1" x14ac:dyDescent="0.3"/>
    <row r="21" spans="2:4" ht="15" customHeight="1" x14ac:dyDescent="0.25">
      <c r="B21" s="153" t="s">
        <v>37</v>
      </c>
      <c r="C21" s="135"/>
      <c r="D21" s="133" t="s">
        <v>51</v>
      </c>
    </row>
    <row r="22" spans="2:4" ht="15.75" customHeight="1" thickBot="1" x14ac:dyDescent="0.3">
      <c r="B22" s="154"/>
      <c r="C22" s="136"/>
      <c r="D22" s="134"/>
    </row>
    <row r="23" spans="2:4" ht="15.75" thickBot="1" x14ac:dyDescent="0.3">
      <c r="B23" s="151" t="s">
        <v>407</v>
      </c>
      <c r="C23" s="152"/>
      <c r="D23" s="83">
        <f>D4</f>
        <v>0.46978089513111326</v>
      </c>
    </row>
    <row r="24" spans="2:4" ht="15.75" thickBot="1" x14ac:dyDescent="0.3">
      <c r="B24" s="151" t="s">
        <v>406</v>
      </c>
      <c r="C24" s="152"/>
      <c r="D24" s="83">
        <f>D5</f>
        <v>0.40171909757503554</v>
      </c>
    </row>
    <row r="25" spans="2:4" ht="15.75" thickBot="1" x14ac:dyDescent="0.3">
      <c r="B25" s="145" t="s">
        <v>35</v>
      </c>
      <c r="C25" s="146"/>
      <c r="D25" s="83">
        <f>AVERAGE(D6:D10)</f>
        <v>0.48986067120336302</v>
      </c>
    </row>
    <row r="26" spans="2:4" ht="15.75" thickBot="1" x14ac:dyDescent="0.3">
      <c r="B26" s="147" t="s">
        <v>33</v>
      </c>
      <c r="C26" s="148"/>
      <c r="D26" s="83">
        <f>AVERAGE(D11:D15)</f>
        <v>0.57569668028232324</v>
      </c>
    </row>
    <row r="27" spans="2:4" ht="15.75" thickBot="1" x14ac:dyDescent="0.3">
      <c r="B27" s="149" t="s">
        <v>34</v>
      </c>
      <c r="C27" s="150"/>
      <c r="D27" s="83">
        <f>AVERAGE(D16:D18)</f>
        <v>0.51798451286250136</v>
      </c>
    </row>
    <row r="28" spans="2:4" ht="16.5" thickBot="1" x14ac:dyDescent="0.3">
      <c r="B28" s="131" t="s">
        <v>32</v>
      </c>
      <c r="C28" s="132"/>
      <c r="D28" s="30">
        <f>'Raw Data'!$K$3</f>
        <v>0.49001917975163811</v>
      </c>
    </row>
    <row r="29" spans="2:4" x14ac:dyDescent="0.25">
      <c r="B29" s="76"/>
    </row>
    <row r="30" spans="2:4" x14ac:dyDescent="0.25">
      <c r="B30" s="76"/>
    </row>
    <row r="31" spans="2:4" x14ac:dyDescent="0.25">
      <c r="B31" s="76"/>
    </row>
    <row r="36" spans="2:28" x14ac:dyDescent="0.25">
      <c r="B36" s="76"/>
    </row>
    <row r="37" spans="2:28" ht="15.75" thickBot="1" x14ac:dyDescent="0.3"/>
    <row r="38" spans="2:28" x14ac:dyDescent="0.25">
      <c r="F38" s="80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8"/>
    </row>
    <row r="39" spans="2:28" x14ac:dyDescent="0.25">
      <c r="F39" s="81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1"/>
    </row>
    <row r="40" spans="2:28" x14ac:dyDescent="0.25">
      <c r="F40" s="81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1"/>
    </row>
    <row r="41" spans="2:28" x14ac:dyDescent="0.25">
      <c r="F41" s="81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1"/>
    </row>
    <row r="42" spans="2:28" x14ac:dyDescent="0.25">
      <c r="F42" s="81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1"/>
    </row>
    <row r="43" spans="2:28" x14ac:dyDescent="0.25">
      <c r="F43" s="8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1"/>
    </row>
    <row r="44" spans="2:28" x14ac:dyDescent="0.25">
      <c r="F44" s="81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1"/>
    </row>
    <row r="45" spans="2:28" x14ac:dyDescent="0.25">
      <c r="F45" s="8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1"/>
    </row>
    <row r="46" spans="2:28" x14ac:dyDescent="0.25">
      <c r="F46" s="81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1"/>
    </row>
    <row r="47" spans="2:28" x14ac:dyDescent="0.25">
      <c r="F47" s="8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1"/>
    </row>
    <row r="48" spans="2:28" x14ac:dyDescent="0.25">
      <c r="F48" s="81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1"/>
    </row>
    <row r="49" spans="6:28" x14ac:dyDescent="0.25">
      <c r="F49" s="81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1"/>
    </row>
    <row r="50" spans="6:28" x14ac:dyDescent="0.25">
      <c r="F50" s="81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1"/>
    </row>
    <row r="51" spans="6:28" x14ac:dyDescent="0.25">
      <c r="F51" s="81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1"/>
    </row>
    <row r="52" spans="6:28" x14ac:dyDescent="0.25">
      <c r="F52" s="81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1"/>
    </row>
    <row r="53" spans="6:28" x14ac:dyDescent="0.25">
      <c r="F53" s="81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1"/>
    </row>
    <row r="54" spans="6:28" x14ac:dyDescent="0.25">
      <c r="F54" s="81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1"/>
    </row>
    <row r="55" spans="6:28" x14ac:dyDescent="0.25">
      <c r="F55" s="81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1"/>
    </row>
    <row r="56" spans="6:28" x14ac:dyDescent="0.25">
      <c r="F56" s="81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1"/>
    </row>
    <row r="57" spans="6:28" x14ac:dyDescent="0.25">
      <c r="F57" s="81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1"/>
    </row>
    <row r="58" spans="6:28" x14ac:dyDescent="0.25">
      <c r="F58" s="81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1"/>
    </row>
    <row r="59" spans="6:28" x14ac:dyDescent="0.25">
      <c r="F59" s="81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1"/>
    </row>
    <row r="60" spans="6:28" x14ac:dyDescent="0.25">
      <c r="F60" s="81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1"/>
    </row>
    <row r="61" spans="6:28" x14ac:dyDescent="0.25">
      <c r="F61" s="81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1"/>
    </row>
    <row r="62" spans="6:28" x14ac:dyDescent="0.25">
      <c r="F62" s="81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1"/>
    </row>
    <row r="63" spans="6:28" x14ac:dyDescent="0.25">
      <c r="F63" s="81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1"/>
    </row>
    <row r="64" spans="6:28" x14ac:dyDescent="0.25">
      <c r="F64" s="81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1"/>
    </row>
    <row r="65" spans="6:28" x14ac:dyDescent="0.25">
      <c r="F65" s="81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1"/>
    </row>
    <row r="66" spans="6:28" x14ac:dyDescent="0.25">
      <c r="F66" s="81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1"/>
    </row>
    <row r="67" spans="6:28" x14ac:dyDescent="0.25">
      <c r="F67" s="81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1"/>
    </row>
    <row r="68" spans="6:28" x14ac:dyDescent="0.25">
      <c r="F68" s="81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1"/>
    </row>
    <row r="69" spans="6:28" x14ac:dyDescent="0.25">
      <c r="F69" s="81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1"/>
    </row>
    <row r="70" spans="6:28" x14ac:dyDescent="0.25">
      <c r="F70" s="81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1"/>
    </row>
    <row r="71" spans="6:28" x14ac:dyDescent="0.25">
      <c r="F71" s="81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1"/>
    </row>
    <row r="72" spans="6:28" x14ac:dyDescent="0.25">
      <c r="F72" s="81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1"/>
    </row>
    <row r="73" spans="6:28" ht="15.75" thickBot="1" x14ac:dyDescent="0.3">
      <c r="F73" s="82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6"/>
    </row>
  </sheetData>
  <mergeCells count="16">
    <mergeCell ref="B25:C25"/>
    <mergeCell ref="B26:C26"/>
    <mergeCell ref="B27:C27"/>
    <mergeCell ref="B28:C28"/>
    <mergeCell ref="D21:D22"/>
    <mergeCell ref="B24:C24"/>
    <mergeCell ref="B21:C22"/>
    <mergeCell ref="B23:C23"/>
    <mergeCell ref="B16:B18"/>
    <mergeCell ref="B19:C19"/>
    <mergeCell ref="B2:B3"/>
    <mergeCell ref="C2:C3"/>
    <mergeCell ref="D2:D3"/>
    <mergeCell ref="B4:B5"/>
    <mergeCell ref="B6:B10"/>
    <mergeCell ref="B11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showGridLines="0" workbookViewId="0">
      <selection activeCell="D33" sqref="D33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33" t="s">
        <v>37</v>
      </c>
      <c r="C2" s="133" t="s">
        <v>2</v>
      </c>
      <c r="D2" s="135" t="s">
        <v>3</v>
      </c>
      <c r="E2" s="135" t="s">
        <v>39</v>
      </c>
    </row>
    <row r="3" spans="1:12" ht="15.75" customHeight="1" thickBot="1" x14ac:dyDescent="0.3">
      <c r="B3" s="134"/>
      <c r="C3" s="134"/>
      <c r="D3" s="136"/>
      <c r="E3" s="136"/>
    </row>
    <row r="4" spans="1:12" x14ac:dyDescent="0.25">
      <c r="A4" s="48"/>
      <c r="B4" s="137" t="s">
        <v>36</v>
      </c>
      <c r="C4" s="37" t="s">
        <v>15</v>
      </c>
      <c r="D4" s="40">
        <f>SUM(SUMIF('Raw Data'!$H$5:$H$500,{"B"}, 'Raw Data'!$I$5:$I$500))</f>
        <v>319387.93296144222</v>
      </c>
      <c r="E4" s="40">
        <f>SUM(SUMIF('Raw Data'!$H$5:$H$500,{"B"}, 'Raw Data'!$I$5:$I$500))/SUM(COUNTIF('Raw Data'!$H$5:$H$500,{"B"}))</f>
        <v>9980.8729050450693</v>
      </c>
      <c r="L4" s="6">
        <f>SUM('Product Revenue Analysis'!D4)</f>
        <v>319387.93296144222</v>
      </c>
    </row>
    <row r="5" spans="1:12" ht="15.75" thickBot="1" x14ac:dyDescent="0.3">
      <c r="A5" s="48"/>
      <c r="B5" s="138"/>
      <c r="C5" s="38" t="s">
        <v>16</v>
      </c>
      <c r="D5" s="43">
        <f>SUM(SUMIF('Raw Data'!$H$5:$H$500,{"K"}, 'Raw Data'!$I$5:$I$500))</f>
        <v>466329.26899487642</v>
      </c>
      <c r="E5" s="43">
        <f>SUM(SUMIF('Raw Data'!$H$5:$H$500,{"K"}, 'Raw Data'!$I$5:$I$500))/SUM(COUNTIF('Raw Data'!$H$5:$H$500,{"K"}))</f>
        <v>24543.645736572442</v>
      </c>
    </row>
    <row r="6" spans="1:12" x14ac:dyDescent="0.25">
      <c r="A6" s="48"/>
      <c r="B6" s="139" t="s">
        <v>35</v>
      </c>
      <c r="C6" s="37" t="s">
        <v>24</v>
      </c>
      <c r="D6" s="40">
        <f>SUM(SUMIF('Raw Data'!$H$5:$H$500,{"FP","FP-LC","FP-IR","FP-VP","FP-OP"}, 'Raw Data'!$I$5:$I$500))</f>
        <v>57535.653508230549</v>
      </c>
      <c r="E6" s="40">
        <f>SUM(SUMIF('Raw Data'!$H$5:$H$500,{"FP","FP-LC","FP-IR","FP-VP","FP-OP"}, 'Raw Data'!$I$5:$I$500))/SUM(COUNTIF('Raw Data'!$H$5:$H$500,{"FP","FP-LC","FP-IR","FP-VP","FP-OP"}))</f>
        <v>5753.5653508230553</v>
      </c>
    </row>
    <row r="7" spans="1:12" x14ac:dyDescent="0.25">
      <c r="A7" s="48"/>
      <c r="B7" s="140"/>
      <c r="C7" s="32" t="s">
        <v>14</v>
      </c>
      <c r="D7" s="42">
        <f>SUM(SUMIF('Raw Data'!$H$5:$H$500,{"IR","IR-LC","IR-FP","IR-VP","IR-OP","IR-Sky"}, 'Raw Data'!$I$5:$I$500))</f>
        <v>473680.25201548164</v>
      </c>
      <c r="E7" s="42">
        <f>SUM(SUMIF('Raw Data'!$H$5:$H$500,{"IR","IR-LC","IR-FP","IR-VP","IR-OP","IR-Sky"}, 'Raw Data'!$I$5:$I$500))/SUM(COUNTIF('Raw Data'!$H$5:$H$500,{"IR","IR-LC","IR-FP","IR-VP","IR-OP","IR-Sky"}))</f>
        <v>12802.168973391395</v>
      </c>
    </row>
    <row r="8" spans="1:12" x14ac:dyDescent="0.25">
      <c r="A8" s="48"/>
      <c r="B8" s="140"/>
      <c r="C8" s="32" t="s">
        <v>17</v>
      </c>
      <c r="D8" s="42">
        <f>SUM(SUMIF('Raw Data'!$H$5:$H$500,{"LC","LC-IR","LC-FP","LC-VP","LC-OP","LC-Sky"}, 'Raw Data'!$I$5:$I$500))</f>
        <v>181969.95847268982</v>
      </c>
      <c r="E8" s="43">
        <f>SUM(SUMIF('Raw Data'!$H$5:$H$500,{"LC","LC-IR","LC-FP","LC-VP","LC-OP","LC-Sky"}, 'Raw Data'!$I$5:$I$500))/SUM(COUNTIF('Raw Data'!$H$5:$H$500,{"LC","LC-IR","LC-FP","LC-VP","LC-OP","LC-Sky"}))</f>
        <v>6739.6280915811039</v>
      </c>
    </row>
    <row r="9" spans="1:12" x14ac:dyDescent="0.25">
      <c r="A9" s="48"/>
      <c r="B9" s="140"/>
      <c r="C9" s="32" t="s">
        <v>19</v>
      </c>
      <c r="D9" s="42">
        <f>SUM(SUMIF('Raw Data'!$H$5:$H$500,{"OP","OP-IR"}, 'Raw Data'!$I$5:$I$500))</f>
        <v>115052.69754633721</v>
      </c>
      <c r="E9" s="42">
        <f>SUM(SUMIF('Raw Data'!$H$5:$H$500,{"OP","OP-IR"}, 'Raw Data'!$I$5:$I$500))/SUM(COUNTIF('Raw Data'!$H$5:$H$500,{"OP","OP-IR"}))</f>
        <v>16436.099649476742</v>
      </c>
    </row>
    <row r="10" spans="1:12" ht="15.75" thickBot="1" x14ac:dyDescent="0.3">
      <c r="A10" s="48"/>
      <c r="B10" s="141"/>
      <c r="C10" s="38" t="s">
        <v>22</v>
      </c>
      <c r="D10" s="43">
        <f>SUM(SUMIF('Raw Data'!$H$5:$H$500,{"VP","VP-IR","VP-FP","VP-OP","VP-LC"}, 'Raw Data'!$I$5:$I$500))</f>
        <v>7776.5951332560835</v>
      </c>
      <c r="E10" s="41">
        <f>SUM(SUMIF('Raw Data'!$H$5:$H$500,{"VP","VP-IR","VP-FP","VP-OP","VP-LC"}, 'Raw Data'!$I$5:$I$500))/SUM(COUNTIF('Raw Data'!$H$5:$H$500,{"VP","VP-IR","VP-FP","VP-OP","VP-LC"}))</f>
        <v>3888.2975666280417</v>
      </c>
    </row>
    <row r="11" spans="1:12" x14ac:dyDescent="0.25">
      <c r="A11" s="48"/>
      <c r="B11" s="142" t="s">
        <v>33</v>
      </c>
      <c r="C11" s="37" t="s">
        <v>29</v>
      </c>
      <c r="D11" s="40">
        <f>SUM(SUMIF('Raw Data'!$H$5:$H$500,{"SR-206","SR-206-Sky"}, 'Raw Data'!$I$5:$I$500))</f>
        <v>95779.645692642152</v>
      </c>
      <c r="E11" s="40">
        <f>SUM(SUMIF('Raw Data'!$H$5:$H$500,{"SR-206","SR-206-Sky"}, 'Raw Data'!$I$5:$I$500))/SUM(COUNTIF('Raw Data'!$H$5:$H$500,{"SR-206","SR-206-Sky"}))</f>
        <v>19155.92913852843</v>
      </c>
    </row>
    <row r="12" spans="1:12" x14ac:dyDescent="0.25">
      <c r="A12" s="48"/>
      <c r="B12" s="143"/>
      <c r="C12" s="32" t="s">
        <v>28</v>
      </c>
      <c r="D12" s="42">
        <f>SUM(SUMIF('Raw Data'!$H$5:$H$500,{"SR-306","SR-306-Sky"}, 'Raw Data'!$I$5:$I$500))</f>
        <v>443459.99199284561</v>
      </c>
      <c r="E12" s="42">
        <f>SUM(SUMIF('Raw Data'!$H$5:$H$500,{"SR-306","SR-306-Sky"}, 'Raw Data'!$I$5:$I$500))/SUM(COUNTIF('Raw Data'!$H$5:$H$500,{"SR-306","SR-306-Sky"}))</f>
        <v>31675.713713774687</v>
      </c>
    </row>
    <row r="13" spans="1:12" x14ac:dyDescent="0.25">
      <c r="A13" s="48"/>
      <c r="B13" s="143"/>
      <c r="C13" s="32" t="s">
        <v>30</v>
      </c>
      <c r="D13" s="42">
        <f>SUM(SUMIF('Raw Data'!$H$5:$H$500,{"SR-406","SR-406-Sky"}, 'Raw Data'!$I$5:$I$500))</f>
        <v>19534.883720930233</v>
      </c>
      <c r="E13" s="42">
        <f>SUM(SUMIF('Raw Data'!$H$5:$H$500,{"SR-406","SR-406-Sky"}, 'Raw Data'!$I$5:$I$500))/SUM(COUNTIF('Raw Data'!$H$5:$H$500,{"SR-406","SR-406-Sky"}))</f>
        <v>19534.883720930233</v>
      </c>
    </row>
    <row r="14" spans="1:12" x14ac:dyDescent="0.25">
      <c r="A14" s="48"/>
      <c r="B14" s="143"/>
      <c r="C14" s="32" t="s">
        <v>27</v>
      </c>
      <c r="D14" s="42">
        <f>SUM(SUMIF('Raw Data'!$H$5:$H$500,{"SR-VV"}, 'Raw Data'!$I$5:$I$500))</f>
        <v>120603.91062308548</v>
      </c>
      <c r="E14" s="42">
        <f>SUM(SUMIF('Raw Data'!$H$5:$H$500,{"SR-VV"}, 'Raw Data'!$I$5:$I$500))/SUM(COUNTIF('Raw Data'!$H$5:$H$500,{"SR-VV"}))</f>
        <v>20100.651770514247</v>
      </c>
    </row>
    <row r="15" spans="1:12" ht="15.75" thickBot="1" x14ac:dyDescent="0.3">
      <c r="B15" s="144"/>
      <c r="C15" s="38" t="s">
        <v>31</v>
      </c>
      <c r="D15" s="43">
        <f>SUM(SUMIF('Raw Data'!$H$5:$H$500,{"SCR-WO"}, 'Raw Data'!$I$5:$I$500))</f>
        <v>23914.546360839904</v>
      </c>
      <c r="E15" s="42">
        <f>SUM(SUMIF('Raw Data'!$H$5:$H$500,{"SCR-WO"}, 'Raw Data'!$I$5:$I$500))/SUM(COUNTIF('Raw Data'!$H$5:$H$500,{"SCR-WO"}))</f>
        <v>7971.5154536133014</v>
      </c>
    </row>
    <row r="16" spans="1:12" x14ac:dyDescent="0.25">
      <c r="B16" s="128" t="s">
        <v>34</v>
      </c>
      <c r="C16" s="37" t="s">
        <v>54</v>
      </c>
      <c r="D16" s="40">
        <f>SUM(SUMIF('Raw Data'!$H$5:$H$500,{"D"}, 'Raw Data'!$I$5:$I$500))</f>
        <v>54245.484497047932</v>
      </c>
      <c r="E16" s="42">
        <f>SUM(SUMIF('Raw Data'!$H$5:$H$500,{"D"}, 'Raw Data'!$I$5:$I$500))/SUM(COUNTIF('Raw Data'!$H$5:$H$500,{"D"}))</f>
        <v>4520.457041420661</v>
      </c>
    </row>
    <row r="17" spans="2:5" x14ac:dyDescent="0.25">
      <c r="B17" s="129"/>
      <c r="C17" s="33" t="s">
        <v>13</v>
      </c>
      <c r="D17" s="42">
        <f>SUM(SUMIF('Raw Data'!$H$5:$H$500,{"W (A)"}, 'Raw Data'!$I$5:$I$500))</f>
        <v>281495.50545433699</v>
      </c>
      <c r="E17" s="42">
        <f>SUM(SUMIF('Raw Data'!$H$5:$H$500,{"W (A)"}, 'Raw Data'!$I$5:$I$500))/SUM(COUNTIF('Raw Data'!$H$5:$H$500,{"W (A)"}))</f>
        <v>10053.410909083465</v>
      </c>
    </row>
    <row r="18" spans="2:5" ht="15.75" thickBot="1" x14ac:dyDescent="0.3">
      <c r="B18" s="130"/>
      <c r="C18" s="38" t="s">
        <v>18</v>
      </c>
      <c r="D18" s="43">
        <f>SUM(SUMIF('Raw Data'!$H$5:$H$500,{"W"}, 'Raw Data'!$I$5:$I$500))</f>
        <v>254404.36859218191</v>
      </c>
      <c r="E18" s="42">
        <f>SUM(SUMIF('Raw Data'!$H$5:$H$500,{"W"}, 'Raw Data'!$I$5:$I$500))/SUM(COUNTIF('Raw Data'!$H$5:$H$500,{"W"}))</f>
        <v>14133.576032898995</v>
      </c>
    </row>
    <row r="19" spans="2:5" ht="15.75" customHeight="1" thickBot="1" x14ac:dyDescent="0.3">
      <c r="B19" s="131" t="s">
        <v>32</v>
      </c>
      <c r="C19" s="132"/>
      <c r="D19" s="47">
        <f>SUM(D4:D18)</f>
        <v>2915170.6955662244</v>
      </c>
      <c r="E19" s="47">
        <f>AVERAGE(E4:E18)</f>
        <v>13819.36107028546</v>
      </c>
    </row>
    <row r="20" spans="2:5" ht="15.75" thickBot="1" x14ac:dyDescent="0.3"/>
    <row r="21" spans="2:5" ht="15" customHeight="1" x14ac:dyDescent="0.25">
      <c r="B21" s="153" t="s">
        <v>50</v>
      </c>
      <c r="C21" s="135"/>
      <c r="D21" s="135" t="s">
        <v>3</v>
      </c>
      <c r="E21" s="135" t="s">
        <v>39</v>
      </c>
    </row>
    <row r="22" spans="2:5" ht="15.75" customHeight="1" thickBot="1" x14ac:dyDescent="0.3">
      <c r="B22" s="154"/>
      <c r="C22" s="136"/>
      <c r="D22" s="136"/>
      <c r="E22" s="136"/>
    </row>
    <row r="23" spans="2:5" ht="15.75" thickBot="1" x14ac:dyDescent="0.3">
      <c r="B23" s="151" t="s">
        <v>407</v>
      </c>
      <c r="C23" s="156"/>
      <c r="D23" s="79">
        <f>D4</f>
        <v>319387.93296144222</v>
      </c>
      <c r="E23" s="79">
        <f>E4</f>
        <v>9980.8729050450693</v>
      </c>
    </row>
    <row r="24" spans="2:5" ht="15.75" thickBot="1" x14ac:dyDescent="0.3">
      <c r="B24" s="151" t="s">
        <v>406</v>
      </c>
      <c r="C24" s="156"/>
      <c r="D24" s="79">
        <f>D5</f>
        <v>466329.26899487642</v>
      </c>
      <c r="E24" s="79">
        <f>E5</f>
        <v>24543.645736572442</v>
      </c>
    </row>
    <row r="25" spans="2:5" ht="15.75" thickBot="1" x14ac:dyDescent="0.3">
      <c r="B25" s="157" t="s">
        <v>35</v>
      </c>
      <c r="C25" s="158"/>
      <c r="D25" s="43">
        <f>SUM(D6:D10)</f>
        <v>836015.15667599521</v>
      </c>
      <c r="E25" s="43">
        <f>AVERAGE(E6:E10)</f>
        <v>9123.9519263800667</v>
      </c>
    </row>
    <row r="26" spans="2:5" ht="15.75" thickBot="1" x14ac:dyDescent="0.3">
      <c r="B26" s="147" t="s">
        <v>33</v>
      </c>
      <c r="C26" s="159"/>
      <c r="D26" s="79">
        <f>SUM(D11:D15)</f>
        <v>703292.97839034325</v>
      </c>
      <c r="E26" s="79">
        <f>AVERAGE(E11:E15)</f>
        <v>19687.73875947218</v>
      </c>
    </row>
    <row r="27" spans="2:5" ht="15.75" thickBot="1" x14ac:dyDescent="0.3">
      <c r="B27" s="149" t="s">
        <v>34</v>
      </c>
      <c r="C27" s="160"/>
      <c r="D27" s="79">
        <f>SUM(D16:D18)</f>
        <v>590145.35854356689</v>
      </c>
      <c r="E27" s="79">
        <f>AVERAGE(E16:E18)</f>
        <v>9569.1479944677067</v>
      </c>
    </row>
    <row r="28" spans="2:5" x14ac:dyDescent="0.25">
      <c r="B28" s="76"/>
      <c r="C28" s="77"/>
      <c r="D28" s="70"/>
      <c r="E28" s="70"/>
    </row>
    <row r="29" spans="2:5" x14ac:dyDescent="0.25">
      <c r="B29" s="76"/>
      <c r="C29" s="77"/>
      <c r="D29" s="70"/>
      <c r="E29" s="70"/>
    </row>
    <row r="30" spans="2:5" x14ac:dyDescent="0.25">
      <c r="B30" s="76"/>
      <c r="C30" s="77"/>
      <c r="D30" s="70"/>
      <c r="E30" s="70"/>
    </row>
    <row r="34" spans="2:5" x14ac:dyDescent="0.25">
      <c r="B34" s="76"/>
      <c r="C34" s="77"/>
      <c r="D34" s="70"/>
      <c r="E34" s="70"/>
    </row>
    <row r="35" spans="2:5" x14ac:dyDescent="0.25">
      <c r="B35" s="76"/>
      <c r="C35" s="77"/>
      <c r="D35" s="70"/>
      <c r="E35" s="70"/>
    </row>
    <row r="36" spans="2:5" x14ac:dyDescent="0.25">
      <c r="B36" s="76"/>
      <c r="C36" s="77"/>
      <c r="D36" s="70"/>
      <c r="E36" s="70"/>
    </row>
    <row r="37" spans="2:5" x14ac:dyDescent="0.25">
      <c r="B37" s="76"/>
      <c r="C37" s="77"/>
      <c r="D37" s="70"/>
      <c r="E37" s="70"/>
    </row>
    <row r="38" spans="2:5" ht="15.75" x14ac:dyDescent="0.25">
      <c r="B38" s="155"/>
      <c r="C38" s="155"/>
      <c r="D38" s="78"/>
      <c r="E38" s="78"/>
    </row>
    <row r="39" spans="2:5" x14ac:dyDescent="0.25">
      <c r="C39" s="45"/>
      <c r="D39" s="46"/>
      <c r="E39" s="46"/>
    </row>
    <row r="40" spans="2:5" x14ac:dyDescent="0.25">
      <c r="C40" s="45"/>
      <c r="D40" s="46"/>
      <c r="E40" s="46"/>
    </row>
    <row r="74" spans="7:28" ht="15.75" thickBot="1" x14ac:dyDescent="0.3"/>
    <row r="75" spans="7:28" x14ac:dyDescent="0.25">
      <c r="G75" s="80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8"/>
    </row>
    <row r="76" spans="7:28" x14ac:dyDescent="0.25">
      <c r="G76" s="81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1"/>
    </row>
    <row r="77" spans="7:28" x14ac:dyDescent="0.25">
      <c r="G77" s="81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1"/>
    </row>
    <row r="78" spans="7:28" x14ac:dyDescent="0.25">
      <c r="G78" s="81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1"/>
    </row>
    <row r="79" spans="7:28" x14ac:dyDescent="0.25">
      <c r="G79" s="81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1"/>
    </row>
    <row r="80" spans="7:28" x14ac:dyDescent="0.25">
      <c r="G80" s="81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1"/>
    </row>
    <row r="81" spans="7:28" x14ac:dyDescent="0.25">
      <c r="G81" s="81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1"/>
    </row>
    <row r="82" spans="7:28" x14ac:dyDescent="0.25">
      <c r="G82" s="81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1"/>
    </row>
    <row r="83" spans="7:28" x14ac:dyDescent="0.25">
      <c r="G83" s="81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1"/>
    </row>
    <row r="84" spans="7:28" x14ac:dyDescent="0.25">
      <c r="G84" s="81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1"/>
    </row>
    <row r="85" spans="7:28" x14ac:dyDescent="0.25">
      <c r="G85" s="81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1"/>
    </row>
    <row r="86" spans="7:28" x14ac:dyDescent="0.25">
      <c r="G86" s="81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1"/>
    </row>
    <row r="87" spans="7:28" x14ac:dyDescent="0.25">
      <c r="G87" s="81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1"/>
    </row>
    <row r="88" spans="7:28" x14ac:dyDescent="0.25">
      <c r="G88" s="81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1"/>
    </row>
    <row r="89" spans="7:28" x14ac:dyDescent="0.25">
      <c r="G89" s="81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1"/>
    </row>
    <row r="90" spans="7:28" x14ac:dyDescent="0.25">
      <c r="G90" s="81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1"/>
    </row>
    <row r="91" spans="7:28" x14ac:dyDescent="0.25">
      <c r="G91" s="81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1"/>
    </row>
    <row r="92" spans="7:28" x14ac:dyDescent="0.25">
      <c r="G92" s="81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1"/>
    </row>
    <row r="93" spans="7:28" x14ac:dyDescent="0.25">
      <c r="G93" s="81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1"/>
    </row>
    <row r="94" spans="7:28" x14ac:dyDescent="0.25">
      <c r="G94" s="81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1"/>
    </row>
    <row r="95" spans="7:28" x14ac:dyDescent="0.25">
      <c r="G95" s="81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1"/>
    </row>
    <row r="96" spans="7:28" x14ac:dyDescent="0.25">
      <c r="G96" s="81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1"/>
    </row>
    <row r="97" spans="7:28" x14ac:dyDescent="0.25">
      <c r="G97" s="81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1"/>
    </row>
    <row r="98" spans="7:28" x14ac:dyDescent="0.25">
      <c r="G98" s="81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1"/>
    </row>
    <row r="99" spans="7:28" x14ac:dyDescent="0.25">
      <c r="G99" s="81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1"/>
    </row>
    <row r="100" spans="7:28" x14ac:dyDescent="0.25">
      <c r="G100" s="81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1"/>
    </row>
    <row r="101" spans="7:28" x14ac:dyDescent="0.25">
      <c r="G101" s="81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1"/>
    </row>
    <row r="102" spans="7:28" x14ac:dyDescent="0.25">
      <c r="G102" s="81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1"/>
    </row>
    <row r="103" spans="7:28" x14ac:dyDescent="0.25">
      <c r="G103" s="81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1"/>
    </row>
    <row r="104" spans="7:28" x14ac:dyDescent="0.25">
      <c r="G104" s="81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1"/>
    </row>
    <row r="105" spans="7:28" x14ac:dyDescent="0.25">
      <c r="G105" s="81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1"/>
    </row>
    <row r="106" spans="7:28" x14ac:dyDescent="0.25">
      <c r="G106" s="81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1"/>
    </row>
    <row r="107" spans="7:28" x14ac:dyDescent="0.25">
      <c r="G107" s="81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1"/>
    </row>
    <row r="108" spans="7:28" x14ac:dyDescent="0.25">
      <c r="G108" s="81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1"/>
    </row>
    <row r="109" spans="7:28" x14ac:dyDescent="0.25">
      <c r="G109" s="81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1"/>
    </row>
    <row r="110" spans="7:28" ht="15.75" thickBot="1" x14ac:dyDescent="0.3">
      <c r="G110" s="82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6"/>
    </row>
  </sheetData>
  <mergeCells count="18">
    <mergeCell ref="B38:C38"/>
    <mergeCell ref="B23:C23"/>
    <mergeCell ref="B25:C25"/>
    <mergeCell ref="B26:C26"/>
    <mergeCell ref="B27:C27"/>
    <mergeCell ref="B24:C24"/>
    <mergeCell ref="D21:D22"/>
    <mergeCell ref="E21:E22"/>
    <mergeCell ref="B21:C22"/>
    <mergeCell ref="B16:B18"/>
    <mergeCell ref="B19:C19"/>
    <mergeCell ref="B6:B10"/>
    <mergeCell ref="B11:B15"/>
    <mergeCell ref="E2:E3"/>
    <mergeCell ref="B2:B3"/>
    <mergeCell ref="C2:C3"/>
    <mergeCell ref="D2:D3"/>
    <mergeCell ref="B4: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workbookViewId="0">
      <selection activeCell="E41" sqref="E41"/>
    </sheetView>
  </sheetViews>
  <sheetFormatPr defaultRowHeight="15" x14ac:dyDescent="0.25"/>
  <cols>
    <col min="1" max="1" width="2.42578125" customWidth="1"/>
    <col min="2" max="2" width="14.7109375" style="15" customWidth="1"/>
    <col min="3" max="3" width="12.7109375" style="15" customWidth="1"/>
    <col min="4" max="4" width="10.7109375" style="1" customWidth="1"/>
    <col min="5" max="5" width="10.7109375" style="112" customWidth="1"/>
    <col min="6" max="6" width="2.42578125" customWidth="1"/>
  </cols>
  <sheetData>
    <row r="1" spans="1:29" ht="15.75" thickBot="1" x14ac:dyDescent="0.3"/>
    <row r="2" spans="1:29" ht="15" customHeight="1" x14ac:dyDescent="0.25">
      <c r="B2" s="133" t="s">
        <v>37</v>
      </c>
      <c r="C2" s="133" t="s">
        <v>8</v>
      </c>
      <c r="D2" s="135" t="s">
        <v>21</v>
      </c>
      <c r="E2" s="161" t="s">
        <v>411</v>
      </c>
      <c r="G2" s="80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8"/>
    </row>
    <row r="3" spans="1:29" ht="15.75" customHeight="1" thickBot="1" x14ac:dyDescent="0.3">
      <c r="B3" s="165"/>
      <c r="C3" s="134"/>
      <c r="D3" s="136"/>
      <c r="E3" s="162"/>
      <c r="G3" s="81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1"/>
    </row>
    <row r="4" spans="1:29" x14ac:dyDescent="0.25">
      <c r="A4" s="48"/>
      <c r="B4" s="137" t="s">
        <v>36</v>
      </c>
      <c r="C4" s="95" t="s">
        <v>72</v>
      </c>
      <c r="D4" s="49">
        <f>SUM(SUMIF('Raw Data'!$E$5:$E$500,$C4, 'Raw Data'!$K$5:$K$500))/SUM(COUNTIF('Raw Data'!$E$5:$E$500,$C4))</f>
        <v>0.44309514893894497</v>
      </c>
      <c r="E4" s="113">
        <f>SUM(COUNTIF('Raw Data'!$E$5:$E$500,$C4))</f>
        <v>33</v>
      </c>
      <c r="G4" s="81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1"/>
    </row>
    <row r="5" spans="1:29" x14ac:dyDescent="0.25">
      <c r="B5" s="166"/>
      <c r="C5" s="96" t="s">
        <v>108</v>
      </c>
      <c r="D5" s="51">
        <f>SUM(SUMIF('Raw Data'!$E$5:$E$500,$C5, 'Raw Data'!$K$5:$K$500))/SUM(COUNTIF('Raw Data'!$E$5:$E$500,$C5))</f>
        <v>0.42083763864032037</v>
      </c>
      <c r="E5" s="69">
        <f>SUM(COUNTIF('Raw Data'!$E$5:$E$500,$C5))</f>
        <v>8</v>
      </c>
      <c r="G5" s="81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1"/>
    </row>
    <row r="6" spans="1:29" x14ac:dyDescent="0.25">
      <c r="B6" s="166"/>
      <c r="C6" s="96" t="s">
        <v>400</v>
      </c>
      <c r="D6" s="51">
        <f>SUM(SUMIF('Raw Data'!$E$5:$E$500,$C6, 'Raw Data'!$K$5:$K$500))/SUM(COUNTIF('Raw Data'!$E$5:$E$500,$C6))</f>
        <v>0.46187287595735055</v>
      </c>
      <c r="E6" s="69">
        <f>SUM(COUNTIF('Raw Data'!$E$5:$E$500,$C6))</f>
        <v>1</v>
      </c>
      <c r="G6" s="81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1"/>
    </row>
    <row r="7" spans="1:29" x14ac:dyDescent="0.25">
      <c r="B7" s="166"/>
      <c r="C7" s="97" t="s">
        <v>387</v>
      </c>
      <c r="D7" s="51">
        <f>SUM(SUMIF('Raw Data'!$E$5:$E$500,$C7, 'Raw Data'!$K$5:$K$500))/SUM(COUNTIF('Raw Data'!$E$5:$E$500,$C7))</f>
        <v>0.58644295281427328</v>
      </c>
      <c r="E7" s="69">
        <f>SUM(COUNTIF('Raw Data'!$E$5:$E$500,$C7))</f>
        <v>1</v>
      </c>
      <c r="G7" s="81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1"/>
    </row>
    <row r="8" spans="1:29" x14ac:dyDescent="0.25">
      <c r="B8" s="166"/>
      <c r="C8" s="96" t="s">
        <v>317</v>
      </c>
      <c r="D8" s="51">
        <f>SUM(SUMIF('Raw Data'!$E$5:$E$500,$C8, 'Raw Data'!$K$5:$K$500))/SUM(COUNTIF('Raw Data'!$E$5:$E$500,$C8))</f>
        <v>0.33974029896910346</v>
      </c>
      <c r="E8" s="69">
        <f>SUM(COUNTIF('Raw Data'!$E$5:$E$500,$C8))</f>
        <v>6</v>
      </c>
      <c r="G8" s="8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1"/>
    </row>
    <row r="9" spans="1:29" x14ac:dyDescent="0.25">
      <c r="B9" s="166"/>
      <c r="C9" s="102" t="s">
        <v>69</v>
      </c>
      <c r="D9" s="51" t="e">
        <f>SUM(SUMIF('Raw Data'!$E$5:$E$500,$C9, 'Raw Data'!$K$5:$K$500))/SUM(COUNTIF('Raw Data'!$E$5:$E$500,$C9))</f>
        <v>#DIV/0!</v>
      </c>
      <c r="E9" s="69">
        <f>SUM(COUNTIF('Raw Data'!$E$5:$E$500,$C9))</f>
        <v>0</v>
      </c>
      <c r="G9" s="81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1"/>
    </row>
    <row r="10" spans="1:29" ht="15.75" thickBot="1" x14ac:dyDescent="0.3">
      <c r="B10" s="138"/>
      <c r="C10" s="64" t="s">
        <v>84</v>
      </c>
      <c r="D10" s="116">
        <f>SUM(SUMIF('Raw Data'!$E$5:$E$500,$C10, 'Raw Data'!$K$5:$K$500))/SUM(COUNTIF('Raw Data'!$E$5:$E$500,$C10))</f>
        <v>0.50805009286374114</v>
      </c>
      <c r="E10" s="117">
        <f>SUM(COUNTIF('Raw Data'!$E$5:$E$500,$C10))</f>
        <v>10</v>
      </c>
      <c r="G10" s="81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1"/>
    </row>
    <row r="11" spans="1:29" x14ac:dyDescent="0.25">
      <c r="A11" s="48"/>
      <c r="B11" s="139" t="s">
        <v>40</v>
      </c>
      <c r="C11" s="95" t="s">
        <v>58</v>
      </c>
      <c r="D11" s="49">
        <f>SUM(SUMIF('Raw Data'!$E$5:$E$500,$C11, 'Raw Data'!$K$5:$K$500))/SUM(COUNTIF('Raw Data'!$E$5:$E$500,$C11))</f>
        <v>0.51648560417377509</v>
      </c>
      <c r="E11" s="113">
        <f>SUM(COUNTIF('Raw Data'!$E$5:$E$500,$C11))</f>
        <v>47</v>
      </c>
      <c r="G11" s="8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1"/>
    </row>
    <row r="12" spans="1:29" ht="15.75" customHeight="1" x14ac:dyDescent="0.25">
      <c r="A12" s="48"/>
      <c r="B12" s="140"/>
      <c r="C12" s="96" t="s">
        <v>172</v>
      </c>
      <c r="D12" s="51">
        <f>SUM(SUMIF('Raw Data'!$E$5:$E$500,$C12, 'Raw Data'!$K$5:$K$500))/SUM(COUNTIF('Raw Data'!$E$5:$E$500,$C12))</f>
        <v>0.44274687910506322</v>
      </c>
      <c r="E12" s="69">
        <f>SUM(COUNTIF('Raw Data'!$E$5:$E$500,$C12))</f>
        <v>14</v>
      </c>
      <c r="G12" s="81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1"/>
    </row>
    <row r="13" spans="1:29" ht="15.75" customHeight="1" x14ac:dyDescent="0.25">
      <c r="B13" s="140"/>
      <c r="C13" s="96" t="s">
        <v>182</v>
      </c>
      <c r="D13" s="51">
        <f>SUM(SUMIF('Raw Data'!$E$5:$E$500,$C13, 'Raw Data'!$K$5:$K$500))/SUM(COUNTIF('Raw Data'!$E$5:$E$500,$C13))</f>
        <v>0.56005360031908291</v>
      </c>
      <c r="E13" s="69">
        <f>SUM(COUNTIF('Raw Data'!$E$5:$E$500,$C13))</f>
        <v>25</v>
      </c>
      <c r="G13" s="81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1"/>
    </row>
    <row r="14" spans="1:29" ht="15.75" thickBot="1" x14ac:dyDescent="0.3">
      <c r="A14" s="48"/>
      <c r="B14" s="141"/>
      <c r="C14" s="118" t="s">
        <v>61</v>
      </c>
      <c r="D14" s="119" t="e">
        <f>SUM(SUMIF('Raw Data'!$E$5:$E$500,$C14, 'Raw Data'!$K$5:$K$500))/SUM(COUNTIF('Raw Data'!$E$5:$E$500,$C14))</f>
        <v>#DIV/0!</v>
      </c>
      <c r="E14" s="117">
        <f>SUM(COUNTIF('Raw Data'!$E$5:$E$500,$C14))</f>
        <v>0</v>
      </c>
      <c r="G14" s="8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1"/>
    </row>
    <row r="15" spans="1:29" ht="15.75" thickBot="1" x14ac:dyDescent="0.3">
      <c r="A15" s="48"/>
      <c r="B15" s="120" t="s">
        <v>55</v>
      </c>
      <c r="C15" s="121" t="s">
        <v>102</v>
      </c>
      <c r="D15" s="122">
        <f>SUM(SUMIF('Raw Data'!$E$5:$E$500,$C15, 'Raw Data'!$K$5:$K$500))/SUM(COUNTIF('Raw Data'!$E$5:$E$500,$C15))</f>
        <v>0.50226347384949876</v>
      </c>
      <c r="E15" s="123">
        <f>SUM(COUNTIF('Raw Data'!$E$5:$E$500,$C15))</f>
        <v>2</v>
      </c>
      <c r="G15" s="8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1"/>
    </row>
    <row r="16" spans="1:29" x14ac:dyDescent="0.25">
      <c r="A16" s="48"/>
      <c r="B16" s="128" t="s">
        <v>34</v>
      </c>
      <c r="C16" s="124" t="s">
        <v>76</v>
      </c>
      <c r="D16" s="49">
        <f>SUM(SUMIF('Raw Data'!$E$5:$E$500,$C16, 'Raw Data'!$K$5:$K$500))/SUM(COUNTIF('Raw Data'!$E$5:$E$500,$C16))</f>
        <v>0.51753032245683195</v>
      </c>
      <c r="E16" s="113">
        <f>SUM(COUNTIF('Raw Data'!$E$5:$E$500,$C16))</f>
        <v>40</v>
      </c>
      <c r="G16" s="81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1"/>
    </row>
    <row r="17" spans="1:29" x14ac:dyDescent="0.25">
      <c r="B17" s="129"/>
      <c r="C17" s="102" t="s">
        <v>187</v>
      </c>
      <c r="D17" s="51">
        <f>SUM(SUMIF('Raw Data'!$E$5:$E$500,$C17, 'Raw Data'!$K$5:$K$500))/SUM(COUNTIF('Raw Data'!$E$5:$E$500,$C17))</f>
        <v>0.52931760968603092</v>
      </c>
      <c r="E17" s="69">
        <f>SUM(COUNTIF('Raw Data'!$E$5:$E$500,$C17))</f>
        <v>6</v>
      </c>
      <c r="G17" s="81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1"/>
    </row>
    <row r="18" spans="1:29" ht="15.75" thickBot="1" x14ac:dyDescent="0.3">
      <c r="A18" s="48"/>
      <c r="B18" s="130"/>
      <c r="C18" s="64" t="s">
        <v>299</v>
      </c>
      <c r="D18" s="116" t="e">
        <f>SUM(SUMIF('Raw Data'!$E$5:$E$500,$C18, 'Raw Data'!$K$5:$K$500))/SUM(COUNTIF('Raw Data'!$E$5:$E$500,$C18))</f>
        <v>#DIV/0!</v>
      </c>
      <c r="E18" s="117">
        <f>SUM(COUNTIF('Raw Data'!$E$5:$E$500,$C18))</f>
        <v>0</v>
      </c>
      <c r="G18" s="81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1"/>
    </row>
    <row r="19" spans="1:29" ht="15.75" thickBot="1" x14ac:dyDescent="0.3">
      <c r="B19" s="163"/>
      <c r="C19" s="164"/>
      <c r="D19" s="100">
        <f>'Raw Data'!K3</f>
        <v>0.49001917975163811</v>
      </c>
      <c r="E19" s="114">
        <f>SUM(E4:E18)</f>
        <v>193</v>
      </c>
      <c r="G19" s="81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1"/>
    </row>
    <row r="20" spans="1:29" x14ac:dyDescent="0.25">
      <c r="B20" s="52"/>
      <c r="C20" s="45"/>
      <c r="D20" s="94"/>
      <c r="E20" s="115"/>
      <c r="G20" s="81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1"/>
    </row>
    <row r="21" spans="1:29" ht="15.75" thickBot="1" x14ac:dyDescent="0.3">
      <c r="B21" s="52"/>
      <c r="C21" s="45"/>
      <c r="D21" s="94"/>
      <c r="E21" s="115"/>
      <c r="G21" s="81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1"/>
    </row>
    <row r="22" spans="1:29" ht="15.75" thickBot="1" x14ac:dyDescent="0.3">
      <c r="B22" s="73" t="s">
        <v>36</v>
      </c>
      <c r="C22" s="45"/>
      <c r="D22" s="94"/>
      <c r="E22" s="115"/>
      <c r="G22" s="81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1"/>
    </row>
    <row r="23" spans="1:29" ht="15.75" thickBot="1" x14ac:dyDescent="0.3">
      <c r="B23" s="74" t="s">
        <v>40</v>
      </c>
      <c r="C23" s="45"/>
      <c r="D23" s="46"/>
      <c r="E23" s="115"/>
      <c r="G23" s="81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1"/>
    </row>
    <row r="24" spans="1:29" ht="15.75" thickBot="1" x14ac:dyDescent="0.3">
      <c r="B24" s="98" t="s">
        <v>55</v>
      </c>
      <c r="C24" s="45"/>
      <c r="D24" s="46"/>
      <c r="E24" s="115"/>
      <c r="G24" s="81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1"/>
    </row>
    <row r="25" spans="1:29" x14ac:dyDescent="0.25">
      <c r="B25" s="72" t="s">
        <v>34</v>
      </c>
      <c r="C25" s="45"/>
      <c r="D25" s="46"/>
      <c r="E25" s="115"/>
      <c r="G25" s="81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1"/>
    </row>
    <row r="26" spans="1:29" x14ac:dyDescent="0.25">
      <c r="B26" s="76"/>
      <c r="C26" s="45"/>
      <c r="D26" s="46"/>
      <c r="E26" s="115"/>
      <c r="G26" s="8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1"/>
    </row>
    <row r="27" spans="1:29" x14ac:dyDescent="0.25">
      <c r="B27" s="76"/>
      <c r="C27" s="45"/>
      <c r="D27" s="94"/>
      <c r="E27" s="115"/>
      <c r="G27" s="81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1"/>
    </row>
    <row r="28" spans="1:29" x14ac:dyDescent="0.25">
      <c r="B28" s="76"/>
      <c r="C28" s="45"/>
      <c r="D28" s="46"/>
      <c r="E28" s="115"/>
      <c r="G28" s="81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1"/>
    </row>
    <row r="29" spans="1:29" x14ac:dyDescent="0.25">
      <c r="B29" s="99"/>
      <c r="C29" s="45"/>
      <c r="D29" s="46"/>
      <c r="E29" s="115"/>
      <c r="G29" s="81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1"/>
    </row>
    <row r="30" spans="1:29" x14ac:dyDescent="0.25">
      <c r="C30" s="45"/>
      <c r="D30" s="46"/>
      <c r="E30" s="115"/>
      <c r="G30" s="81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1"/>
    </row>
    <row r="31" spans="1:29" x14ac:dyDescent="0.25">
      <c r="G31" s="81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1"/>
    </row>
    <row r="32" spans="1:29" ht="15.75" thickBot="1" x14ac:dyDescent="0.3">
      <c r="G32" s="82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6"/>
    </row>
    <row r="33" spans="7:29" ht="15.75" thickBot="1" x14ac:dyDescent="0.3"/>
    <row r="34" spans="7:29" x14ac:dyDescent="0.25">
      <c r="G34" s="80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8"/>
    </row>
    <row r="35" spans="7:29" x14ac:dyDescent="0.25">
      <c r="G35" s="81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1"/>
    </row>
    <row r="36" spans="7:29" x14ac:dyDescent="0.25">
      <c r="G36" s="81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1"/>
    </row>
    <row r="37" spans="7:29" x14ac:dyDescent="0.25">
      <c r="G37" s="81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1"/>
    </row>
    <row r="38" spans="7:29" x14ac:dyDescent="0.25">
      <c r="G38" s="81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1"/>
    </row>
    <row r="39" spans="7:29" x14ac:dyDescent="0.25">
      <c r="G39" s="81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1"/>
    </row>
    <row r="40" spans="7:29" x14ac:dyDescent="0.25">
      <c r="G40" s="81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1"/>
    </row>
    <row r="41" spans="7:29" x14ac:dyDescent="0.25">
      <c r="G41" s="81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1"/>
    </row>
    <row r="42" spans="7:29" x14ac:dyDescent="0.25">
      <c r="G42" s="81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1"/>
    </row>
    <row r="43" spans="7:29" x14ac:dyDescent="0.25">
      <c r="G43" s="81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1"/>
    </row>
    <row r="44" spans="7:29" x14ac:dyDescent="0.25">
      <c r="G44" s="81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1"/>
    </row>
    <row r="45" spans="7:29" x14ac:dyDescent="0.25">
      <c r="G45" s="81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1"/>
    </row>
    <row r="46" spans="7:29" x14ac:dyDescent="0.25">
      <c r="G46" s="81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1"/>
    </row>
    <row r="47" spans="7:29" x14ac:dyDescent="0.25">
      <c r="G47" s="81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1"/>
    </row>
    <row r="48" spans="7:29" x14ac:dyDescent="0.25">
      <c r="G48" s="81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1"/>
    </row>
    <row r="49" spans="7:29" x14ac:dyDescent="0.25">
      <c r="G49" s="81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1"/>
    </row>
    <row r="50" spans="7:29" x14ac:dyDescent="0.25">
      <c r="G50" s="81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1"/>
    </row>
    <row r="51" spans="7:29" x14ac:dyDescent="0.25">
      <c r="G51" s="81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1"/>
    </row>
    <row r="52" spans="7:29" x14ac:dyDescent="0.25">
      <c r="G52" s="81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1"/>
    </row>
    <row r="53" spans="7:29" x14ac:dyDescent="0.25">
      <c r="G53" s="81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1"/>
    </row>
    <row r="54" spans="7:29" x14ac:dyDescent="0.25">
      <c r="G54" s="81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1"/>
    </row>
    <row r="55" spans="7:29" x14ac:dyDescent="0.25">
      <c r="G55" s="81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1"/>
    </row>
    <row r="56" spans="7:29" x14ac:dyDescent="0.25">
      <c r="G56" s="81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1"/>
    </row>
    <row r="57" spans="7:29" x14ac:dyDescent="0.25">
      <c r="G57" s="81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1"/>
    </row>
    <row r="58" spans="7:29" x14ac:dyDescent="0.25">
      <c r="G58" s="81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1"/>
    </row>
    <row r="59" spans="7:29" x14ac:dyDescent="0.25">
      <c r="G59" s="81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1"/>
    </row>
    <row r="60" spans="7:29" x14ac:dyDescent="0.25">
      <c r="G60" s="81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1"/>
    </row>
    <row r="61" spans="7:29" x14ac:dyDescent="0.25">
      <c r="G61" s="81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1"/>
    </row>
    <row r="62" spans="7:29" x14ac:dyDescent="0.25">
      <c r="G62" s="81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1"/>
    </row>
    <row r="63" spans="7:29" x14ac:dyDescent="0.25">
      <c r="G63" s="81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1"/>
    </row>
    <row r="64" spans="7:29" ht="15.75" thickBot="1" x14ac:dyDescent="0.3">
      <c r="G64" s="82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6"/>
    </row>
  </sheetData>
  <sortState ref="A4:AB18">
    <sortCondition ref="B4:B18"/>
    <sortCondition ref="C4:C18"/>
  </sortState>
  <mergeCells count="8">
    <mergeCell ref="E2:E3"/>
    <mergeCell ref="B19:C19"/>
    <mergeCell ref="B2:B3"/>
    <mergeCell ref="C2:C3"/>
    <mergeCell ref="D2:D3"/>
    <mergeCell ref="B4:B10"/>
    <mergeCell ref="B11:B14"/>
    <mergeCell ref="B16:B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9"/>
  <sheetViews>
    <sheetView showGridLines="0" workbookViewId="0">
      <selection activeCell="Q6" sqref="Q6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54"/>
    </row>
    <row r="2" spans="1:23" ht="15" customHeight="1" x14ac:dyDescent="0.25">
      <c r="B2" s="133" t="s">
        <v>20</v>
      </c>
      <c r="C2" s="135" t="s">
        <v>41</v>
      </c>
      <c r="D2" s="135" t="s">
        <v>48</v>
      </c>
      <c r="E2" s="135" t="s">
        <v>42</v>
      </c>
      <c r="F2" s="135" t="s">
        <v>43</v>
      </c>
      <c r="G2" s="135" t="s">
        <v>44</v>
      </c>
      <c r="H2" s="135" t="s">
        <v>45</v>
      </c>
      <c r="I2" s="135" t="s">
        <v>47</v>
      </c>
      <c r="J2" s="135" t="s">
        <v>46</v>
      </c>
    </row>
    <row r="3" spans="1:23" ht="15.75" customHeight="1" thickBot="1" x14ac:dyDescent="0.3">
      <c r="B3" s="134"/>
      <c r="C3" s="136"/>
      <c r="D3" s="136"/>
      <c r="E3" s="136"/>
      <c r="F3" s="136"/>
      <c r="G3" s="136"/>
      <c r="H3" s="136"/>
      <c r="I3" s="136"/>
      <c r="J3" s="136"/>
    </row>
    <row r="4" spans="1:23" x14ac:dyDescent="0.25">
      <c r="A4" s="48"/>
      <c r="B4" s="32" t="s">
        <v>75</v>
      </c>
      <c r="C4" s="43">
        <f>SUM(SUMIF('Raw Data'!$D$5:$D$500,$B4, 'Raw Data'!$I$5:$KI$500))</f>
        <v>599299.40565053094</v>
      </c>
      <c r="D4" s="53">
        <f>SUM(COUNTIF('Raw Data'!$D$5:$D$500,$B4))</f>
        <v>43</v>
      </c>
      <c r="E4" s="43">
        <f>SUM(SUMIF('Raw Data'!$D$5:$D$500,$B4, 'Raw Data'!$I$5:$I$500))/SUM(COUNTIF('Raw Data'!$D$5:$D$500,$B4))</f>
        <v>13937.195480244905</v>
      </c>
      <c r="F4" s="50">
        <f>SUM(SUMIF('Raw Data'!$D$5:$D$500,$B4, 'Raw Data'!$K$5:$K$500))/SUM(COUNTIF('Raw Data'!$D$5:$D$500,$B4))</f>
        <v>0.48998379773270428</v>
      </c>
      <c r="G4" s="50">
        <f>SUM(SUMIF('Raw Data'!$D$5:$D$500,$B4, 'Raw Data'!$M$5:$M$500))/SUM(COUNTIF('Raw Data'!$D$5:$D$500,$B4))</f>
        <v>0.10945507048761068</v>
      </c>
      <c r="H4" s="43">
        <f>SUM(SUMIF('Raw Data'!$D$5:$D$500,$B4, 'Raw Data'!$N$5:$N$500))/SUM(COUNTIF('Raw Data'!$D$5:$D$500,$B4))</f>
        <v>596.42796949303818</v>
      </c>
      <c r="I4" s="43">
        <f>SUM(SUMIF('Raw Data'!$D$5:$D$500,$B4, 'Raw Data'!$O$5:$O$500))</f>
        <v>2573.42</v>
      </c>
      <c r="J4" s="43">
        <f>SUM(SUMIF('Raw Data'!$D$5:$D$500,$B4, 'Raw Data'!$O$5:$O$500))/SUM(COUNTIF('Raw Data'!$D$5:$D$500,$B4))</f>
        <v>59.846976744186051</v>
      </c>
    </row>
    <row r="5" spans="1:23" x14ac:dyDescent="0.25">
      <c r="A5" s="48"/>
      <c r="B5" s="32" t="s">
        <v>282</v>
      </c>
      <c r="C5" s="43">
        <f>SUM(SUMIF('Raw Data'!$D$5:$D$500,$B5, 'Raw Data'!$I$5:$KI$500))</f>
        <v>71293.667560948947</v>
      </c>
      <c r="D5" s="53">
        <f>SUM(COUNTIF('Raw Data'!$D$5:$D$500,$B5))</f>
        <v>10</v>
      </c>
      <c r="E5" s="43">
        <f>SUM(SUMIF('Raw Data'!$D$5:$D$500,$B5, 'Raw Data'!$I$5:$I$500))/SUM(COUNTIF('Raw Data'!$D$5:$D$500,$B5))</f>
        <v>7129.3667560948943</v>
      </c>
      <c r="F5" s="50">
        <f>SUM(SUMIF('Raw Data'!$D$5:$D$500,$B5, 'Raw Data'!$K$5:$K$500))/SUM(COUNTIF('Raw Data'!$D$5:$D$500,$B5))</f>
        <v>0.54565691776954928</v>
      </c>
      <c r="G5" s="50">
        <f>SUM(SUMIF('Raw Data'!$D$5:$D$500,$B5, 'Raw Data'!$M$5:$M$500))/SUM(COUNTIF('Raw Data'!$D$5:$D$500,$B5))</f>
        <v>0.13195682812390294</v>
      </c>
      <c r="H5" s="43">
        <f>SUM(SUMIF('Raw Data'!$D$5:$D$500,$B5, 'Raw Data'!$N$5:$N$500))/SUM(COUNTIF('Raw Data'!$D$5:$D$500,$B5))</f>
        <v>616.57308402073545</v>
      </c>
      <c r="I5" s="43">
        <f>SUM(SUMIF('Raw Data'!$D$5:$D$500,$B5, 'Raw Data'!$O$5:$O$500))</f>
        <v>268.83</v>
      </c>
      <c r="J5" s="43">
        <f>SUM(SUMIF('Raw Data'!$D$5:$D$500,$B5, 'Raw Data'!$O$5:$O$500))/SUM(COUNTIF('Raw Data'!$D$5:$D$500,$B5))</f>
        <v>26.882999999999999</v>
      </c>
    </row>
    <row r="6" spans="1:23" x14ac:dyDescent="0.25">
      <c r="A6" s="48"/>
      <c r="B6" s="31" t="s">
        <v>83</v>
      </c>
      <c r="C6" s="43">
        <f>SUM(SUMIF('Raw Data'!$D$5:$D$500,$B6, 'Raw Data'!$I$5:$KI$500))</f>
        <v>286278.31004298729</v>
      </c>
      <c r="D6" s="53">
        <f>SUM(COUNTIF('Raw Data'!$D$5:$D$500,$B6))</f>
        <v>13</v>
      </c>
      <c r="E6" s="43">
        <f>SUM(SUMIF('Raw Data'!$D$5:$D$500,$B6, 'Raw Data'!$I$5:$I$500))/SUM(COUNTIF('Raw Data'!$D$5:$D$500,$B6))</f>
        <v>22021.408464845175</v>
      </c>
      <c r="F6" s="50">
        <f>SUM(SUMIF('Raw Data'!$D$5:$D$500,$B6, 'Raw Data'!$K$5:$K$500))/SUM(COUNTIF('Raw Data'!$D$5:$D$500,$B6))</f>
        <v>0.41449803636637184</v>
      </c>
      <c r="G6" s="50">
        <f>SUM(SUMIF('Raw Data'!$D$5:$D$500,$B6, 'Raw Data'!$M$5:$M$500))/SUM(COUNTIF('Raw Data'!$D$5:$D$500,$B6))</f>
        <v>6.2085203678819895E-2</v>
      </c>
      <c r="H6" s="43">
        <f>SUM(SUMIF('Raw Data'!$D$5:$D$500,$B6, 'Raw Data'!$N$5:$N$500))/SUM(COUNTIF('Raw Data'!$D$5:$D$500,$B6))</f>
        <v>-36.599499772413836</v>
      </c>
      <c r="I6" s="43">
        <f>SUM(SUMIF('Raw Data'!$D$5:$D$500,$B6, 'Raw Data'!$O$5:$O$500))</f>
        <v>787.47</v>
      </c>
      <c r="J6" s="43">
        <f>SUM(SUMIF('Raw Data'!$D$5:$D$500,$B6, 'Raw Data'!$O$5:$O$500))/SUM(COUNTIF('Raw Data'!$D$5:$D$500,$B6))</f>
        <v>60.574615384615385</v>
      </c>
    </row>
    <row r="7" spans="1:23" x14ac:dyDescent="0.25">
      <c r="A7" s="48"/>
      <c r="B7" s="32" t="s">
        <v>57</v>
      </c>
      <c r="C7" s="43">
        <f>SUM(SUMIF('Raw Data'!$D$5:$D$500,$B7, 'Raw Data'!$I$5:$KI$500))</f>
        <v>511343.83437209303</v>
      </c>
      <c r="D7" s="53">
        <f>SUM(COUNTIF('Raw Data'!$D$5:$D$500,$B7))</f>
        <v>45</v>
      </c>
      <c r="E7" s="43">
        <f>SUM(SUMIF('Raw Data'!$D$5:$D$500,$B7, 'Raw Data'!$I$5:$I$500))/SUM(COUNTIF('Raw Data'!$D$5:$D$500,$B7))</f>
        <v>11363.196319379846</v>
      </c>
      <c r="F7" s="50">
        <f>SUM(SUMIF('Raw Data'!$D$5:$D$500,$B7, 'Raw Data'!$K$5:$K$500))/SUM(COUNTIF('Raw Data'!$D$5:$D$500,$B7))</f>
        <v>0.51447396047454119</v>
      </c>
      <c r="G7" s="50">
        <f>SUM(SUMIF('Raw Data'!$D$5:$D$500,$B7, 'Raw Data'!$M$5:$M$500))/SUM(COUNTIF('Raw Data'!$D$5:$D$500,$B7))</f>
        <v>0.11464794726725258</v>
      </c>
      <c r="H7" s="43">
        <f>SUM(SUMIF('Raw Data'!$D$5:$D$500,$B7, 'Raw Data'!$N$5:$N$500))/SUM(COUNTIF('Raw Data'!$D$5:$D$500,$B7))</f>
        <v>728.60235314420152</v>
      </c>
      <c r="I7" s="43">
        <f>SUM(SUMIF('Raw Data'!$D$5:$D$500,$B7, 'Raw Data'!$O$5:$O$500))</f>
        <v>1149.6599999999999</v>
      </c>
      <c r="J7" s="43">
        <f>SUM(SUMIF('Raw Data'!$D$5:$D$500,$B7, 'Raw Data'!$O$5:$O$500))/SUM(COUNTIF('Raw Data'!$D$5:$D$500,$B7))</f>
        <v>25.547999999999998</v>
      </c>
      <c r="Q7" s="6"/>
    </row>
    <row r="8" spans="1:23" x14ac:dyDescent="0.25">
      <c r="A8" s="48"/>
      <c r="B8" s="31" t="s">
        <v>352</v>
      </c>
      <c r="C8" s="43">
        <f>SUM(SUMIF('Raw Data'!$D$5:$D$500,$B8, 'Raw Data'!$I$5:$KI$500))</f>
        <v>19151.026527185426</v>
      </c>
      <c r="D8" s="53">
        <f>SUM(COUNTIF('Raw Data'!$D$5:$D$500,$B8))</f>
        <v>2</v>
      </c>
      <c r="E8" s="43">
        <f>SUM(SUMIF('Raw Data'!$D$5:$D$500,$B8, 'Raw Data'!$I$5:$I$500))/SUM(COUNTIF('Raw Data'!$D$5:$D$500,$B8))</f>
        <v>9575.513263592713</v>
      </c>
      <c r="F8" s="50">
        <f>SUM(SUMIF('Raw Data'!$D$5:$D$500,$B8, 'Raw Data'!$K$5:$K$500))/SUM(COUNTIF('Raw Data'!$D$5:$D$500,$B8))</f>
        <v>0.52761555244985237</v>
      </c>
      <c r="G8" s="50">
        <f>SUM(SUMIF('Raw Data'!$D$5:$D$500,$B8, 'Raw Data'!$M$5:$M$500))/SUM(COUNTIF('Raw Data'!$D$5:$D$500,$B8))</f>
        <v>0.12232412245675492</v>
      </c>
      <c r="H8" s="43">
        <f>SUM(SUMIF('Raw Data'!$D$5:$D$500,$B8, 'Raw Data'!$N$5:$N$500))/SUM(COUNTIF('Raw Data'!$D$5:$D$500,$B8))</f>
        <v>526.61326359271288</v>
      </c>
      <c r="I8" s="43">
        <f>SUM(SUMIF('Raw Data'!$D$5:$D$500,$B8, 'Raw Data'!$O$5:$O$500))</f>
        <v>0</v>
      </c>
      <c r="J8" s="43">
        <f>SUM(SUMIF('Raw Data'!$D$5:$D$500,$B8, 'Raw Data'!$O$5:$O$500))/SUM(COUNTIF('Raw Data'!$D$5:$D$500,$B8))</f>
        <v>0</v>
      </c>
    </row>
    <row r="9" spans="1:23" x14ac:dyDescent="0.25">
      <c r="A9" s="48"/>
      <c r="B9" s="31" t="s">
        <v>60</v>
      </c>
      <c r="C9" s="43">
        <f>SUM(SUMIF('Raw Data'!$D$5:$D$500,$B9, 'Raw Data'!$I$5:$KI$500))</f>
        <v>1191441.4469981152</v>
      </c>
      <c r="D9" s="53">
        <f>SUM(COUNTIF('Raw Data'!$D$5:$D$500,$B9))</f>
        <v>81</v>
      </c>
      <c r="E9" s="43">
        <f>SUM(SUMIF('Raw Data'!$D$5:$D$500,$B9, 'Raw Data'!$I$5:$I$500))/SUM(COUNTIF('Raw Data'!$D$5:$D$500,$B9))</f>
        <v>14709.153666643397</v>
      </c>
      <c r="F9" s="50">
        <f>SUM(SUMIF('Raw Data'!$D$5:$D$500,$B9, 'Raw Data'!$K$5:$K$500))/SUM(COUNTIF('Raw Data'!$D$5:$D$500,$B9))</f>
        <v>0.55199391084530181</v>
      </c>
      <c r="G9" s="50">
        <f>SUM(SUMIF('Raw Data'!$D$5:$D$500,$B9, 'Raw Data'!$M$5:$M$500))/SUM(COUNTIF('Raw Data'!$D$5:$D$500,$B9))</f>
        <v>0.10990794634709607</v>
      </c>
      <c r="H9" s="43">
        <f>SUM(SUMIF('Raw Data'!$D$5:$D$500,$B9, 'Raw Data'!$N$5:$N$500))/SUM(COUNTIF('Raw Data'!$D$5:$D$500,$B9))</f>
        <v>806.21422457869585</v>
      </c>
      <c r="I9" s="43">
        <f>SUM(SUMIF('Raw Data'!$D$5:$D$500,$B9, 'Raw Data'!$O$5:$O$500))</f>
        <v>1684.63</v>
      </c>
      <c r="J9" s="43">
        <f>SUM(SUMIF('Raw Data'!$D$5:$D$500,$B9, 'Raw Data'!$O$5:$O$500))/SUM(COUNTIF('Raw Data'!$D$5:$D$500,$B9))</f>
        <v>20.797901234567902</v>
      </c>
    </row>
    <row r="10" spans="1:23" x14ac:dyDescent="0.25">
      <c r="A10" s="48"/>
      <c r="B10" s="31" t="s">
        <v>123</v>
      </c>
      <c r="C10" s="43">
        <f>SUM(SUMIF('Raw Data'!$D$5:$D$500,$B10, 'Raw Data'!$I$5:$KI$500))</f>
        <v>423132.61599301256</v>
      </c>
      <c r="D10" s="53">
        <f>SUM(COUNTIF('Raw Data'!$D$5:$D$500,$B10))</f>
        <v>26</v>
      </c>
      <c r="E10" s="43">
        <f>SUM(SUMIF('Raw Data'!$D$5:$D$500,$B10, 'Raw Data'!$I$5:$I$500))/SUM(COUNTIF('Raw Data'!$D$5:$D$500,$B10))</f>
        <v>16274.331384346637</v>
      </c>
      <c r="F10" s="50">
        <f>SUM(SUMIF('Raw Data'!$D$5:$D$500,$B10, 'Raw Data'!$K$5:$K$500))/SUM(COUNTIF('Raw Data'!$D$5:$D$500,$B10))</f>
        <v>0.43697130140670637</v>
      </c>
      <c r="G10" s="50">
        <f>SUM(SUMIF('Raw Data'!$D$5:$D$500,$B10, 'Raw Data'!$M$5:$M$500))/SUM(COUNTIF('Raw Data'!$D$5:$D$500,$B10))</f>
        <v>9.806142252252327E-2</v>
      </c>
      <c r="H10" s="43">
        <f>SUM(SUMIF('Raw Data'!$D$5:$D$500,$B10, 'Raw Data'!$N$5:$N$500))/SUM(COUNTIF('Raw Data'!$D$5:$D$500,$B10))</f>
        <v>351.05181670313652</v>
      </c>
      <c r="I10" s="43">
        <f>SUM(SUMIF('Raw Data'!$D$5:$D$500,$B10, 'Raw Data'!$O$5:$O$500))</f>
        <v>729.31000000000006</v>
      </c>
      <c r="J10" s="43">
        <f>SUM(SUMIF('Raw Data'!$D$5:$D$500,$B10, 'Raw Data'!$O$5:$O$500))/SUM(COUNTIF('Raw Data'!$D$5:$D$500,$B10))</f>
        <v>28.050384615384619</v>
      </c>
    </row>
    <row r="11" spans="1:23" ht="15.75" thickBot="1" x14ac:dyDescent="0.3">
      <c r="A11" s="48"/>
      <c r="B11" s="32" t="s">
        <v>68</v>
      </c>
      <c r="C11" s="43">
        <f>SUM(SUMIF('Raw Data'!$D$5:$D$500,$B11, 'Raw Data'!$I$5:$KI$500))</f>
        <v>348750.17808176921</v>
      </c>
      <c r="D11" s="53">
        <f>SUM(COUNTIF('Raw Data'!$D$5:$D$500,$B11))</f>
        <v>14</v>
      </c>
      <c r="E11" s="43">
        <f>SUM(SUMIF('Raw Data'!$D$5:$D$500,$B11, 'Raw Data'!$I$5:$I$500))/SUM(COUNTIF('Raw Data'!$D$5:$D$500,$B11))</f>
        <v>24910.727005840658</v>
      </c>
      <c r="F11" s="50">
        <f>SUM(SUMIF('Raw Data'!$D$5:$D$500,$B11, 'Raw Data'!$K$5:$K$500))/SUM(COUNTIF('Raw Data'!$D$5:$D$500,$B11))</f>
        <v>0.38308738973574064</v>
      </c>
      <c r="G11" s="50">
        <f>SUM(SUMIF('Raw Data'!$D$5:$D$500,$B11, 'Raw Data'!$M$5:$M$500))/SUM(COUNTIF('Raw Data'!$D$5:$D$500,$B11))</f>
        <v>8.9349889645120431E-2</v>
      </c>
      <c r="H11" s="43">
        <f>SUM(SUMIF('Raw Data'!$D$5:$D$500,$B11, 'Raw Data'!$N$5:$N$500))/SUM(COUNTIF('Raw Data'!$D$5:$D$500,$B11))</f>
        <v>-1531.8065859674805</v>
      </c>
      <c r="I11" s="43">
        <f>SUM(SUMIF('Raw Data'!$D$5:$D$500,$B11, 'Raw Data'!$O$5:$O$500))</f>
        <v>5827.99</v>
      </c>
      <c r="J11" s="43">
        <f>SUM(SUMIF('Raw Data'!$D$5:$D$500,$B11, 'Raw Data'!$O$5:$O$500))/SUM(COUNTIF('Raw Data'!$D$5:$D$500,$B11))</f>
        <v>416.28499999999997</v>
      </c>
    </row>
    <row r="12" spans="1:23" ht="15.75" customHeight="1" x14ac:dyDescent="0.25">
      <c r="B12" s="133"/>
      <c r="C12" s="167">
        <f>SUM(C4:C11)</f>
        <v>3450690.4852266428</v>
      </c>
      <c r="D12" s="171">
        <f>SUM(D4:D11)</f>
        <v>234</v>
      </c>
      <c r="E12" s="167">
        <f>AVERAGE(E4:E11)</f>
        <v>14990.111542623528</v>
      </c>
      <c r="F12" s="169">
        <f>AVERAGE(F4:F11)</f>
        <v>0.483035108347596</v>
      </c>
      <c r="G12" s="169">
        <f>AVERAGE(G4:G11)</f>
        <v>0.10472355381613511</v>
      </c>
      <c r="H12" s="167">
        <f>AVERAGE(H4:H11)</f>
        <v>257.13457822407827</v>
      </c>
      <c r="I12" s="167">
        <f>SUM(I4:I11)</f>
        <v>13021.310000000001</v>
      </c>
      <c r="J12" s="167">
        <f>AVERAGE(J4:J11)</f>
        <v>79.748234747344242</v>
      </c>
    </row>
    <row r="13" spans="1:23" ht="15.75" customHeight="1" thickBot="1" x14ac:dyDescent="0.3">
      <c r="B13" s="134"/>
      <c r="C13" s="168"/>
      <c r="D13" s="172"/>
      <c r="E13" s="168"/>
      <c r="F13" s="170"/>
      <c r="G13" s="170"/>
      <c r="H13" s="168"/>
      <c r="I13" s="168"/>
      <c r="J13" s="168"/>
    </row>
    <row r="14" spans="1:23" ht="15.75" thickBot="1" x14ac:dyDescent="0.3">
      <c r="B14" s="44"/>
      <c r="C14" s="45"/>
      <c r="D14" s="45"/>
      <c r="E14" s="45"/>
      <c r="F14" s="45"/>
      <c r="G14" s="45"/>
      <c r="H14" s="45"/>
      <c r="I14" s="45"/>
      <c r="J14" s="45"/>
    </row>
    <row r="15" spans="1:23" x14ac:dyDescent="0.25">
      <c r="B15" s="55"/>
      <c r="C15" s="56"/>
      <c r="D15" s="56"/>
      <c r="E15" s="56"/>
      <c r="F15" s="56"/>
      <c r="G15" s="56"/>
      <c r="H15" s="56"/>
      <c r="I15" s="56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8"/>
    </row>
    <row r="16" spans="1:23" x14ac:dyDescent="0.25">
      <c r="B16" s="59"/>
      <c r="C16" s="46"/>
      <c r="D16" s="46"/>
      <c r="E16" s="46"/>
      <c r="F16" s="46"/>
      <c r="G16" s="46"/>
      <c r="H16" s="46"/>
      <c r="I16" s="46"/>
      <c r="J16" s="4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1"/>
    </row>
    <row r="17" spans="2:23" x14ac:dyDescent="0.25">
      <c r="B17" s="59"/>
      <c r="C17" s="46"/>
      <c r="D17" s="46"/>
      <c r="E17" s="46"/>
      <c r="F17" s="46"/>
      <c r="G17" s="46"/>
      <c r="H17" s="46"/>
      <c r="I17" s="46"/>
      <c r="J17" s="4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1"/>
    </row>
    <row r="18" spans="2:23" x14ac:dyDescent="0.25">
      <c r="B18" s="59"/>
      <c r="C18" s="46"/>
      <c r="D18" s="46"/>
      <c r="E18" s="46"/>
      <c r="F18" s="46"/>
      <c r="G18" s="46"/>
      <c r="H18" s="46"/>
      <c r="I18" s="46"/>
      <c r="J18" s="4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1"/>
    </row>
    <row r="19" spans="2:23" x14ac:dyDescent="0.25">
      <c r="B19" s="59"/>
      <c r="C19" s="46"/>
      <c r="D19" s="46"/>
      <c r="E19" s="46"/>
      <c r="F19" s="46"/>
      <c r="G19" s="46"/>
      <c r="H19" s="46"/>
      <c r="I19" s="46"/>
      <c r="J19" s="4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1"/>
    </row>
    <row r="20" spans="2:23" x14ac:dyDescent="0.25">
      <c r="B20" s="59"/>
      <c r="C20" s="46"/>
      <c r="D20" s="46"/>
      <c r="E20" s="46"/>
      <c r="F20" s="46"/>
      <c r="G20" s="46"/>
      <c r="H20" s="46"/>
      <c r="I20" s="46"/>
      <c r="J20" s="4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1"/>
    </row>
    <row r="21" spans="2:23" x14ac:dyDescent="0.25">
      <c r="B21" s="59"/>
      <c r="C21" s="46"/>
      <c r="D21" s="46"/>
      <c r="E21" s="46"/>
      <c r="F21" s="46"/>
      <c r="G21" s="46"/>
      <c r="H21" s="46"/>
      <c r="I21" s="46"/>
      <c r="J21" s="46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1"/>
    </row>
    <row r="22" spans="2:23" x14ac:dyDescent="0.25">
      <c r="B22" s="59"/>
      <c r="C22" s="46"/>
      <c r="D22" s="46"/>
      <c r="E22" s="46"/>
      <c r="F22" s="46"/>
      <c r="G22" s="46"/>
      <c r="H22" s="46"/>
      <c r="I22" s="46"/>
      <c r="J22" s="46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1"/>
    </row>
    <row r="23" spans="2:23" x14ac:dyDescent="0.25">
      <c r="B23" s="59"/>
      <c r="C23" s="46"/>
      <c r="D23" s="46"/>
      <c r="E23" s="46"/>
      <c r="F23" s="46"/>
      <c r="G23" s="46"/>
      <c r="H23" s="46"/>
      <c r="I23" s="46"/>
      <c r="J23" s="4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1"/>
    </row>
    <row r="24" spans="2:23" x14ac:dyDescent="0.25">
      <c r="B24" s="59"/>
      <c r="C24" s="46"/>
      <c r="D24" s="46"/>
      <c r="E24" s="46"/>
      <c r="F24" s="46"/>
      <c r="G24" s="46"/>
      <c r="H24" s="46"/>
      <c r="I24" s="46"/>
      <c r="J24" s="4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1"/>
    </row>
    <row r="25" spans="2:23" x14ac:dyDescent="0.25">
      <c r="B25" s="59"/>
      <c r="C25" s="46"/>
      <c r="D25" s="46"/>
      <c r="E25" s="46"/>
      <c r="F25" s="46"/>
      <c r="G25" s="46"/>
      <c r="H25" s="46"/>
      <c r="I25" s="46"/>
      <c r="J25" s="4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1"/>
    </row>
    <row r="26" spans="2:23" x14ac:dyDescent="0.25">
      <c r="B26" s="59"/>
      <c r="C26" s="46"/>
      <c r="D26" s="46"/>
      <c r="E26" s="46"/>
      <c r="F26" s="46"/>
      <c r="G26" s="46"/>
      <c r="H26" s="46"/>
      <c r="I26" s="46"/>
      <c r="J26" s="4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1"/>
    </row>
    <row r="27" spans="2:23" x14ac:dyDescent="0.25">
      <c r="B27" s="59"/>
      <c r="C27" s="46"/>
      <c r="D27" s="46"/>
      <c r="E27" s="46"/>
      <c r="F27" s="46"/>
      <c r="G27" s="46"/>
      <c r="H27" s="46"/>
      <c r="I27" s="46"/>
      <c r="J27" s="4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1"/>
    </row>
    <row r="28" spans="2:23" x14ac:dyDescent="0.25">
      <c r="B28" s="59"/>
      <c r="C28" s="46"/>
      <c r="D28" s="46"/>
      <c r="E28" s="46"/>
      <c r="F28" s="46"/>
      <c r="G28" s="46"/>
      <c r="H28" s="46"/>
      <c r="I28" s="46"/>
      <c r="J28" s="4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1"/>
    </row>
    <row r="29" spans="2:23" x14ac:dyDescent="0.25">
      <c r="B29" s="59"/>
      <c r="C29" s="46"/>
      <c r="D29" s="46"/>
      <c r="E29" s="46"/>
      <c r="F29" s="46"/>
      <c r="G29" s="46"/>
      <c r="H29" s="46"/>
      <c r="I29" s="46"/>
      <c r="J29" s="4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1"/>
    </row>
    <row r="30" spans="2:23" x14ac:dyDescent="0.25">
      <c r="B30" s="59"/>
      <c r="C30" s="46"/>
      <c r="D30" s="46"/>
      <c r="E30" s="46"/>
      <c r="F30" s="46"/>
      <c r="G30" s="46"/>
      <c r="H30" s="46"/>
      <c r="I30" s="46"/>
      <c r="J30" s="4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1"/>
    </row>
    <row r="31" spans="2:23" x14ac:dyDescent="0.25">
      <c r="B31" s="59"/>
      <c r="C31" s="46"/>
      <c r="D31" s="46"/>
      <c r="E31" s="46"/>
      <c r="F31" s="46"/>
      <c r="G31" s="46"/>
      <c r="H31" s="46"/>
      <c r="I31" s="46"/>
      <c r="J31" s="46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1"/>
    </row>
    <row r="32" spans="2:23" x14ac:dyDescent="0.25">
      <c r="B32" s="59"/>
      <c r="C32" s="46"/>
      <c r="D32" s="46"/>
      <c r="E32" s="46"/>
      <c r="F32" s="46"/>
      <c r="G32" s="46"/>
      <c r="H32" s="46"/>
      <c r="I32" s="46"/>
      <c r="J32" s="46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2:23" x14ac:dyDescent="0.25">
      <c r="B33" s="59"/>
      <c r="C33" s="46"/>
      <c r="D33" s="46"/>
      <c r="E33" s="46"/>
      <c r="F33" s="46"/>
      <c r="G33" s="46"/>
      <c r="H33" s="46"/>
      <c r="I33" s="46"/>
      <c r="J33" s="4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1"/>
    </row>
    <row r="34" spans="2:23" x14ac:dyDescent="0.25">
      <c r="B34" s="62"/>
      <c r="C34" s="45"/>
      <c r="D34" s="45"/>
      <c r="E34" s="45"/>
      <c r="F34" s="45"/>
      <c r="G34" s="45"/>
      <c r="H34" s="45"/>
      <c r="I34" s="45"/>
      <c r="J34" s="45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</row>
    <row r="35" spans="2:23" x14ac:dyDescent="0.25">
      <c r="B35" s="62"/>
      <c r="C35" s="45"/>
      <c r="D35" s="45"/>
      <c r="E35" s="45"/>
      <c r="F35" s="45"/>
      <c r="G35" s="45"/>
      <c r="H35" s="45"/>
      <c r="I35" s="45"/>
      <c r="J35" s="45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1"/>
    </row>
    <row r="36" spans="2:23" x14ac:dyDescent="0.25">
      <c r="B36" s="62"/>
      <c r="C36" s="45"/>
      <c r="D36" s="45"/>
      <c r="E36" s="45"/>
      <c r="F36" s="45"/>
      <c r="G36" s="45"/>
      <c r="H36" s="45"/>
      <c r="I36" s="45"/>
      <c r="J36" s="45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1"/>
    </row>
    <row r="37" spans="2:23" x14ac:dyDescent="0.25">
      <c r="B37" s="62"/>
      <c r="C37" s="45"/>
      <c r="D37" s="45"/>
      <c r="E37" s="45"/>
      <c r="F37" s="45"/>
      <c r="G37" s="45"/>
      <c r="H37" s="45"/>
      <c r="I37" s="45"/>
      <c r="J37" s="45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1"/>
    </row>
    <row r="38" spans="2:23" x14ac:dyDescent="0.25">
      <c r="B38" s="62"/>
      <c r="C38" s="45"/>
      <c r="D38" s="45"/>
      <c r="E38" s="45"/>
      <c r="F38" s="45"/>
      <c r="G38" s="45"/>
      <c r="H38" s="45"/>
      <c r="I38" s="45"/>
      <c r="J38" s="45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1"/>
    </row>
    <row r="39" spans="2:23" x14ac:dyDescent="0.25">
      <c r="B39" s="62"/>
      <c r="C39" s="45"/>
      <c r="D39" s="45"/>
      <c r="E39" s="45"/>
      <c r="F39" s="45"/>
      <c r="G39" s="45"/>
      <c r="H39" s="45"/>
      <c r="I39" s="45"/>
      <c r="J39" s="45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1"/>
    </row>
    <row r="40" spans="2:23" x14ac:dyDescent="0.25">
      <c r="B40" s="62"/>
      <c r="C40" s="45"/>
      <c r="D40" s="45"/>
      <c r="E40" s="45"/>
      <c r="F40" s="45"/>
      <c r="G40" s="45"/>
      <c r="H40" s="45"/>
      <c r="I40" s="45"/>
      <c r="J40" s="45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1"/>
    </row>
    <row r="41" spans="2:23" x14ac:dyDescent="0.25">
      <c r="B41" s="62"/>
      <c r="C41" s="45"/>
      <c r="D41" s="45"/>
      <c r="E41" s="45"/>
      <c r="F41" s="45"/>
      <c r="G41" s="45"/>
      <c r="H41" s="45"/>
      <c r="I41" s="45"/>
      <c r="J41" s="45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1"/>
    </row>
    <row r="42" spans="2:23" x14ac:dyDescent="0.25">
      <c r="B42" s="62"/>
      <c r="C42" s="45"/>
      <c r="D42" s="45"/>
      <c r="E42" s="45"/>
      <c r="F42" s="45"/>
      <c r="G42" s="45"/>
      <c r="H42" s="45"/>
      <c r="I42" s="45"/>
      <c r="J42" s="45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1"/>
    </row>
    <row r="43" spans="2:23" x14ac:dyDescent="0.25">
      <c r="B43" s="62"/>
      <c r="C43" s="45"/>
      <c r="D43" s="45"/>
      <c r="E43" s="45"/>
      <c r="F43" s="45"/>
      <c r="G43" s="45"/>
      <c r="H43" s="45"/>
      <c r="I43" s="45"/>
      <c r="J43" s="45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1"/>
    </row>
    <row r="44" spans="2:23" x14ac:dyDescent="0.25">
      <c r="B44" s="62"/>
      <c r="C44" s="45"/>
      <c r="D44" s="45"/>
      <c r="E44" s="45"/>
      <c r="F44" s="45"/>
      <c r="G44" s="45"/>
      <c r="H44" s="45"/>
      <c r="I44" s="45"/>
      <c r="J44" s="45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1"/>
    </row>
    <row r="45" spans="2:23" ht="15.75" thickBot="1" x14ac:dyDescent="0.3">
      <c r="B45" s="63"/>
      <c r="C45" s="64"/>
      <c r="D45" s="64"/>
      <c r="E45" s="64"/>
      <c r="F45" s="64"/>
      <c r="G45" s="64"/>
      <c r="H45" s="64"/>
      <c r="I45" s="64"/>
      <c r="J45" s="64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6"/>
    </row>
    <row r="46" spans="2:23" ht="15.75" thickBot="1" x14ac:dyDescent="0.3"/>
    <row r="47" spans="2:23" x14ac:dyDescent="0.25">
      <c r="B47" s="67"/>
      <c r="C47" s="68"/>
      <c r="D47" s="68"/>
      <c r="E47" s="68"/>
      <c r="F47" s="68"/>
      <c r="G47" s="68"/>
      <c r="H47" s="68"/>
      <c r="I47" s="68"/>
      <c r="J47" s="68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8"/>
    </row>
    <row r="48" spans="2:23" x14ac:dyDescent="0.25">
      <c r="B48" s="62"/>
      <c r="C48" s="45"/>
      <c r="D48" s="45"/>
      <c r="E48" s="45"/>
      <c r="F48" s="45"/>
      <c r="G48" s="45"/>
      <c r="H48" s="45"/>
      <c r="I48" s="45"/>
      <c r="J48" s="45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2:23" x14ac:dyDescent="0.25">
      <c r="B49" s="62"/>
      <c r="C49" s="45"/>
      <c r="D49" s="45"/>
      <c r="E49" s="45"/>
      <c r="F49" s="45"/>
      <c r="G49" s="45"/>
      <c r="H49" s="45"/>
      <c r="I49" s="45"/>
      <c r="J49" s="45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1"/>
    </row>
    <row r="50" spans="2:23" x14ac:dyDescent="0.25">
      <c r="B50" s="62"/>
      <c r="C50" s="45"/>
      <c r="D50" s="45"/>
      <c r="E50" s="45"/>
      <c r="F50" s="45"/>
      <c r="G50" s="45"/>
      <c r="H50" s="45"/>
      <c r="I50" s="45"/>
      <c r="J50" s="45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1"/>
    </row>
    <row r="51" spans="2:23" x14ac:dyDescent="0.25">
      <c r="B51" s="62"/>
      <c r="C51" s="45"/>
      <c r="D51" s="45"/>
      <c r="E51" s="45"/>
      <c r="F51" s="45"/>
      <c r="G51" s="45"/>
      <c r="H51" s="45"/>
      <c r="I51" s="45"/>
      <c r="J51" s="45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1"/>
    </row>
    <row r="52" spans="2:23" x14ac:dyDescent="0.25">
      <c r="B52" s="62"/>
      <c r="C52" s="45"/>
      <c r="D52" s="45"/>
      <c r="E52" s="45"/>
      <c r="F52" s="45"/>
      <c r="G52" s="45"/>
      <c r="H52" s="45"/>
      <c r="I52" s="45"/>
      <c r="J52" s="45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1"/>
    </row>
    <row r="53" spans="2:23" x14ac:dyDescent="0.25">
      <c r="B53" s="62"/>
      <c r="C53" s="45"/>
      <c r="D53" s="45"/>
      <c r="E53" s="45"/>
      <c r="F53" s="45"/>
      <c r="G53" s="45"/>
      <c r="H53" s="45"/>
      <c r="I53" s="45"/>
      <c r="J53" s="45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1"/>
    </row>
    <row r="54" spans="2:23" x14ac:dyDescent="0.25">
      <c r="B54" s="62"/>
      <c r="C54" s="45"/>
      <c r="D54" s="45"/>
      <c r="E54" s="45"/>
      <c r="F54" s="45"/>
      <c r="G54" s="45"/>
      <c r="H54" s="45"/>
      <c r="I54" s="45"/>
      <c r="J54" s="45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1"/>
    </row>
    <row r="55" spans="2:23" x14ac:dyDescent="0.25">
      <c r="B55" s="62"/>
      <c r="C55" s="45"/>
      <c r="D55" s="45"/>
      <c r="E55" s="45"/>
      <c r="F55" s="45"/>
      <c r="G55" s="45"/>
      <c r="H55" s="45"/>
      <c r="I55" s="45"/>
      <c r="J55" s="45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1"/>
    </row>
    <row r="56" spans="2:23" x14ac:dyDescent="0.25">
      <c r="B56" s="62"/>
      <c r="C56" s="45"/>
      <c r="D56" s="45"/>
      <c r="E56" s="45"/>
      <c r="F56" s="45"/>
      <c r="G56" s="45"/>
      <c r="H56" s="45"/>
      <c r="I56" s="45"/>
      <c r="J56" s="45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1"/>
    </row>
    <row r="57" spans="2:23" x14ac:dyDescent="0.25">
      <c r="B57" s="62"/>
      <c r="C57" s="45"/>
      <c r="D57" s="45"/>
      <c r="E57" s="45"/>
      <c r="F57" s="45"/>
      <c r="G57" s="45"/>
      <c r="H57" s="45"/>
      <c r="I57" s="45"/>
      <c r="J57" s="45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1"/>
    </row>
    <row r="58" spans="2:23" x14ac:dyDescent="0.25">
      <c r="B58" s="62"/>
      <c r="C58" s="45"/>
      <c r="D58" s="45"/>
      <c r="E58" s="45"/>
      <c r="F58" s="45"/>
      <c r="G58" s="45"/>
      <c r="H58" s="45"/>
      <c r="I58" s="45"/>
      <c r="J58" s="45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1"/>
    </row>
    <row r="59" spans="2:23" x14ac:dyDescent="0.25">
      <c r="B59" s="62"/>
      <c r="C59" s="45"/>
      <c r="D59" s="45"/>
      <c r="E59" s="45"/>
      <c r="F59" s="45"/>
      <c r="G59" s="45"/>
      <c r="H59" s="45"/>
      <c r="I59" s="45"/>
      <c r="J59" s="45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1"/>
    </row>
    <row r="60" spans="2:23" x14ac:dyDescent="0.25">
      <c r="B60" s="62"/>
      <c r="C60" s="45"/>
      <c r="D60" s="45"/>
      <c r="E60" s="45"/>
      <c r="F60" s="45"/>
      <c r="G60" s="45"/>
      <c r="H60" s="45"/>
      <c r="I60" s="45"/>
      <c r="J60" s="45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1"/>
    </row>
    <row r="61" spans="2:23" x14ac:dyDescent="0.25">
      <c r="B61" s="62"/>
      <c r="C61" s="45"/>
      <c r="D61" s="45"/>
      <c r="E61" s="45"/>
      <c r="F61" s="45"/>
      <c r="G61" s="45"/>
      <c r="H61" s="45"/>
      <c r="I61" s="45"/>
      <c r="J61" s="45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1"/>
    </row>
    <row r="62" spans="2:23" x14ac:dyDescent="0.25">
      <c r="B62" s="62"/>
      <c r="C62" s="45"/>
      <c r="D62" s="45"/>
      <c r="E62" s="45"/>
      <c r="F62" s="45"/>
      <c r="G62" s="45"/>
      <c r="H62" s="45"/>
      <c r="I62" s="45"/>
      <c r="J62" s="45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1"/>
    </row>
    <row r="63" spans="2:23" x14ac:dyDescent="0.25">
      <c r="B63" s="62"/>
      <c r="C63" s="45"/>
      <c r="D63" s="45"/>
      <c r="E63" s="45"/>
      <c r="F63" s="45"/>
      <c r="G63" s="45"/>
      <c r="H63" s="45"/>
      <c r="I63" s="45"/>
      <c r="J63" s="45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1"/>
    </row>
    <row r="64" spans="2:23" x14ac:dyDescent="0.25">
      <c r="B64" s="62"/>
      <c r="C64" s="45"/>
      <c r="D64" s="45"/>
      <c r="E64" s="45"/>
      <c r="F64" s="45"/>
      <c r="G64" s="45"/>
      <c r="H64" s="45"/>
      <c r="I64" s="45"/>
      <c r="J64" s="45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1"/>
    </row>
    <row r="65" spans="2:23" x14ac:dyDescent="0.25">
      <c r="B65" s="62"/>
      <c r="C65" s="45"/>
      <c r="D65" s="45"/>
      <c r="E65" s="45"/>
      <c r="F65" s="45"/>
      <c r="G65" s="45"/>
      <c r="H65" s="45"/>
      <c r="I65" s="45"/>
      <c r="J65" s="45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1"/>
    </row>
    <row r="66" spans="2:23" x14ac:dyDescent="0.25">
      <c r="B66" s="62"/>
      <c r="C66" s="45"/>
      <c r="D66" s="45"/>
      <c r="E66" s="45"/>
      <c r="F66" s="45"/>
      <c r="G66" s="45"/>
      <c r="H66" s="45"/>
      <c r="I66" s="45"/>
      <c r="J66" s="45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1"/>
    </row>
    <row r="67" spans="2:23" x14ac:dyDescent="0.25">
      <c r="B67" s="62"/>
      <c r="C67" s="45"/>
      <c r="D67" s="45"/>
      <c r="E67" s="45"/>
      <c r="F67" s="45"/>
      <c r="G67" s="45"/>
      <c r="H67" s="45"/>
      <c r="I67" s="45"/>
      <c r="J67" s="45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1"/>
    </row>
    <row r="68" spans="2:23" x14ac:dyDescent="0.25">
      <c r="B68" s="62"/>
      <c r="C68" s="45"/>
      <c r="D68" s="45"/>
      <c r="E68" s="45"/>
      <c r="F68" s="45"/>
      <c r="G68" s="45"/>
      <c r="H68" s="45"/>
      <c r="I68" s="45"/>
      <c r="J68" s="45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1"/>
    </row>
    <row r="69" spans="2:23" x14ac:dyDescent="0.25">
      <c r="B69" s="62"/>
      <c r="C69" s="45"/>
      <c r="D69" s="45"/>
      <c r="E69" s="45"/>
      <c r="F69" s="45"/>
      <c r="G69" s="45"/>
      <c r="H69" s="45"/>
      <c r="I69" s="45"/>
      <c r="J69" s="45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1"/>
    </row>
    <row r="70" spans="2:23" x14ac:dyDescent="0.25">
      <c r="B70" s="62"/>
      <c r="C70" s="45"/>
      <c r="D70" s="45"/>
      <c r="E70" s="45"/>
      <c r="F70" s="45"/>
      <c r="G70" s="45"/>
      <c r="H70" s="45"/>
      <c r="I70" s="45"/>
      <c r="J70" s="45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1"/>
    </row>
    <row r="71" spans="2:23" x14ac:dyDescent="0.25">
      <c r="B71" s="62"/>
      <c r="C71" s="45"/>
      <c r="D71" s="45"/>
      <c r="E71" s="45"/>
      <c r="F71" s="45"/>
      <c r="G71" s="45"/>
      <c r="H71" s="45"/>
      <c r="I71" s="45"/>
      <c r="J71" s="45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1"/>
    </row>
    <row r="72" spans="2:23" x14ac:dyDescent="0.25">
      <c r="B72" s="62"/>
      <c r="C72" s="45"/>
      <c r="D72" s="45"/>
      <c r="E72" s="45"/>
      <c r="F72" s="45"/>
      <c r="G72" s="45"/>
      <c r="H72" s="45"/>
      <c r="I72" s="45"/>
      <c r="J72" s="45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1"/>
    </row>
    <row r="73" spans="2:23" x14ac:dyDescent="0.25">
      <c r="B73" s="62"/>
      <c r="C73" s="45"/>
      <c r="D73" s="45"/>
      <c r="E73" s="45"/>
      <c r="F73" s="45"/>
      <c r="G73" s="45"/>
      <c r="H73" s="45"/>
      <c r="I73" s="45"/>
      <c r="J73" s="45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1"/>
    </row>
    <row r="74" spans="2:23" x14ac:dyDescent="0.25">
      <c r="B74" s="62"/>
      <c r="C74" s="45"/>
      <c r="D74" s="45"/>
      <c r="E74" s="45"/>
      <c r="F74" s="45"/>
      <c r="G74" s="45"/>
      <c r="H74" s="45"/>
      <c r="I74" s="45"/>
      <c r="J74" s="45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1"/>
    </row>
    <row r="75" spans="2:23" x14ac:dyDescent="0.25">
      <c r="B75" s="62"/>
      <c r="C75" s="45"/>
      <c r="D75" s="45"/>
      <c r="E75" s="45"/>
      <c r="F75" s="45"/>
      <c r="G75" s="45"/>
      <c r="H75" s="45"/>
      <c r="I75" s="45"/>
      <c r="J75" s="45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1"/>
    </row>
    <row r="76" spans="2:23" x14ac:dyDescent="0.25">
      <c r="B76" s="62"/>
      <c r="C76" s="45"/>
      <c r="D76" s="45"/>
      <c r="E76" s="45"/>
      <c r="F76" s="45"/>
      <c r="G76" s="45"/>
      <c r="H76" s="45"/>
      <c r="I76" s="45"/>
      <c r="J76" s="45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1"/>
    </row>
    <row r="77" spans="2:23" ht="15.75" thickBot="1" x14ac:dyDescent="0.3">
      <c r="B77" s="63"/>
      <c r="C77" s="64"/>
      <c r="D77" s="64"/>
      <c r="E77" s="64"/>
      <c r="F77" s="64"/>
      <c r="G77" s="64"/>
      <c r="H77" s="64"/>
      <c r="I77" s="64"/>
      <c r="J77" s="64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6"/>
    </row>
    <row r="78" spans="2:23" ht="15.75" thickBot="1" x14ac:dyDescent="0.3"/>
    <row r="79" spans="2:23" x14ac:dyDescent="0.25">
      <c r="B79" s="67"/>
      <c r="C79" s="68"/>
      <c r="D79" s="68"/>
      <c r="E79" s="68"/>
      <c r="F79" s="68"/>
      <c r="G79" s="68"/>
      <c r="H79" s="68"/>
      <c r="I79" s="68"/>
      <c r="J79" s="68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8"/>
    </row>
    <row r="80" spans="2:23" x14ac:dyDescent="0.25">
      <c r="B80" s="62"/>
      <c r="C80" s="45"/>
      <c r="D80" s="45"/>
      <c r="E80" s="45"/>
      <c r="F80" s="45"/>
      <c r="G80" s="45"/>
      <c r="H80" s="45"/>
      <c r="I80" s="45"/>
      <c r="J80" s="45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1"/>
    </row>
    <row r="81" spans="2:23" x14ac:dyDescent="0.25">
      <c r="B81" s="62"/>
      <c r="C81" s="45"/>
      <c r="D81" s="45"/>
      <c r="E81" s="45"/>
      <c r="F81" s="45"/>
      <c r="G81" s="45"/>
      <c r="H81" s="45"/>
      <c r="I81" s="45"/>
      <c r="J81" s="45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1"/>
    </row>
    <row r="82" spans="2:23" x14ac:dyDescent="0.25">
      <c r="B82" s="62"/>
      <c r="C82" s="45"/>
      <c r="D82" s="45"/>
      <c r="E82" s="45"/>
      <c r="F82" s="45"/>
      <c r="G82" s="45"/>
      <c r="H82" s="45"/>
      <c r="I82" s="45"/>
      <c r="J82" s="45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1"/>
    </row>
    <row r="83" spans="2:23" x14ac:dyDescent="0.25">
      <c r="B83" s="62"/>
      <c r="C83" s="45"/>
      <c r="D83" s="45"/>
      <c r="E83" s="45"/>
      <c r="F83" s="45"/>
      <c r="G83" s="45"/>
      <c r="H83" s="45"/>
      <c r="I83" s="45"/>
      <c r="J83" s="45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1"/>
    </row>
    <row r="84" spans="2:23" x14ac:dyDescent="0.25">
      <c r="B84" s="62"/>
      <c r="C84" s="45"/>
      <c r="D84" s="45"/>
      <c r="E84" s="45"/>
      <c r="F84" s="45"/>
      <c r="G84" s="45"/>
      <c r="H84" s="45"/>
      <c r="I84" s="45"/>
      <c r="J84" s="45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1"/>
    </row>
    <row r="85" spans="2:23" x14ac:dyDescent="0.25">
      <c r="B85" s="62"/>
      <c r="C85" s="45"/>
      <c r="D85" s="45"/>
      <c r="E85" s="45"/>
      <c r="F85" s="45"/>
      <c r="G85" s="45"/>
      <c r="H85" s="45"/>
      <c r="I85" s="45"/>
      <c r="J85" s="45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1"/>
    </row>
    <row r="86" spans="2:23" x14ac:dyDescent="0.25">
      <c r="B86" s="62"/>
      <c r="C86" s="45"/>
      <c r="D86" s="45"/>
      <c r="E86" s="45"/>
      <c r="F86" s="45"/>
      <c r="G86" s="45"/>
      <c r="H86" s="45"/>
      <c r="I86" s="45"/>
      <c r="J86" s="45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1"/>
    </row>
    <row r="87" spans="2:23" x14ac:dyDescent="0.25">
      <c r="B87" s="62"/>
      <c r="C87" s="45"/>
      <c r="D87" s="45"/>
      <c r="E87" s="45"/>
      <c r="F87" s="45"/>
      <c r="G87" s="45"/>
      <c r="H87" s="45"/>
      <c r="I87" s="45"/>
      <c r="J87" s="45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1"/>
    </row>
    <row r="88" spans="2:23" x14ac:dyDescent="0.25">
      <c r="B88" s="62"/>
      <c r="C88" s="45"/>
      <c r="D88" s="45"/>
      <c r="E88" s="45"/>
      <c r="F88" s="45"/>
      <c r="G88" s="45"/>
      <c r="H88" s="45"/>
      <c r="I88" s="45"/>
      <c r="J88" s="45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1"/>
    </row>
    <row r="89" spans="2:23" x14ac:dyDescent="0.25">
      <c r="B89" s="62"/>
      <c r="C89" s="45"/>
      <c r="D89" s="45"/>
      <c r="E89" s="45"/>
      <c r="F89" s="45"/>
      <c r="G89" s="45"/>
      <c r="H89" s="45"/>
      <c r="I89" s="45"/>
      <c r="J89" s="45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1"/>
    </row>
    <row r="90" spans="2:23" x14ac:dyDescent="0.25">
      <c r="B90" s="62"/>
      <c r="C90" s="45"/>
      <c r="D90" s="45"/>
      <c r="E90" s="45"/>
      <c r="F90" s="45"/>
      <c r="G90" s="45"/>
      <c r="H90" s="45"/>
      <c r="I90" s="45"/>
      <c r="J90" s="45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1"/>
    </row>
    <row r="91" spans="2:23" x14ac:dyDescent="0.25">
      <c r="B91" s="62"/>
      <c r="C91" s="45"/>
      <c r="D91" s="45"/>
      <c r="E91" s="45"/>
      <c r="F91" s="45"/>
      <c r="G91" s="45"/>
      <c r="H91" s="45"/>
      <c r="I91" s="45"/>
      <c r="J91" s="45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1"/>
    </row>
    <row r="92" spans="2:23" x14ac:dyDescent="0.25">
      <c r="B92" s="62"/>
      <c r="C92" s="45"/>
      <c r="D92" s="45"/>
      <c r="E92" s="45"/>
      <c r="F92" s="45"/>
      <c r="G92" s="45"/>
      <c r="H92" s="45"/>
      <c r="I92" s="45"/>
      <c r="J92" s="45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1"/>
    </row>
    <row r="93" spans="2:23" x14ac:dyDescent="0.25">
      <c r="B93" s="62"/>
      <c r="C93" s="45"/>
      <c r="D93" s="45"/>
      <c r="E93" s="45"/>
      <c r="F93" s="45"/>
      <c r="G93" s="45"/>
      <c r="H93" s="45"/>
      <c r="I93" s="45"/>
      <c r="J93" s="45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1"/>
    </row>
    <row r="94" spans="2:23" x14ac:dyDescent="0.25">
      <c r="B94" s="62"/>
      <c r="C94" s="45"/>
      <c r="D94" s="45"/>
      <c r="E94" s="45"/>
      <c r="F94" s="45"/>
      <c r="G94" s="45"/>
      <c r="H94" s="45"/>
      <c r="I94" s="45"/>
      <c r="J94" s="45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1"/>
    </row>
    <row r="95" spans="2:23" x14ac:dyDescent="0.25">
      <c r="B95" s="62"/>
      <c r="C95" s="45"/>
      <c r="D95" s="45"/>
      <c r="E95" s="45"/>
      <c r="F95" s="45"/>
      <c r="G95" s="45"/>
      <c r="H95" s="45"/>
      <c r="I95" s="45"/>
      <c r="J95" s="45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1"/>
    </row>
    <row r="96" spans="2:23" x14ac:dyDescent="0.25">
      <c r="B96" s="62"/>
      <c r="C96" s="45"/>
      <c r="D96" s="45"/>
      <c r="E96" s="45"/>
      <c r="F96" s="45"/>
      <c r="G96" s="45"/>
      <c r="H96" s="45"/>
      <c r="I96" s="45"/>
      <c r="J96" s="45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1"/>
    </row>
    <row r="97" spans="2:23" x14ac:dyDescent="0.25">
      <c r="B97" s="62"/>
      <c r="C97" s="45"/>
      <c r="D97" s="45"/>
      <c r="E97" s="45"/>
      <c r="F97" s="45"/>
      <c r="G97" s="45"/>
      <c r="H97" s="45"/>
      <c r="I97" s="45"/>
      <c r="J97" s="45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1"/>
    </row>
    <row r="98" spans="2:23" x14ac:dyDescent="0.25">
      <c r="B98" s="62"/>
      <c r="C98" s="45"/>
      <c r="D98" s="45"/>
      <c r="E98" s="45"/>
      <c r="F98" s="45"/>
      <c r="G98" s="45"/>
      <c r="H98" s="45"/>
      <c r="I98" s="45"/>
      <c r="J98" s="45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1"/>
    </row>
    <row r="99" spans="2:23" x14ac:dyDescent="0.25">
      <c r="B99" s="62"/>
      <c r="C99" s="45"/>
      <c r="D99" s="45"/>
      <c r="E99" s="45"/>
      <c r="F99" s="45"/>
      <c r="G99" s="45"/>
      <c r="H99" s="45"/>
      <c r="I99" s="45"/>
      <c r="J99" s="45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1"/>
    </row>
    <row r="100" spans="2:23" x14ac:dyDescent="0.25">
      <c r="B100" s="62"/>
      <c r="C100" s="45"/>
      <c r="D100" s="45"/>
      <c r="E100" s="45"/>
      <c r="F100" s="45"/>
      <c r="G100" s="45"/>
      <c r="H100" s="45"/>
      <c r="I100" s="45"/>
      <c r="J100" s="45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1"/>
    </row>
    <row r="101" spans="2:23" x14ac:dyDescent="0.25">
      <c r="B101" s="62"/>
      <c r="C101" s="45"/>
      <c r="D101" s="45"/>
      <c r="E101" s="45"/>
      <c r="F101" s="45"/>
      <c r="G101" s="45"/>
      <c r="H101" s="45"/>
      <c r="I101" s="45"/>
      <c r="J101" s="45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1"/>
    </row>
    <row r="102" spans="2:23" x14ac:dyDescent="0.25">
      <c r="B102" s="62"/>
      <c r="C102" s="45"/>
      <c r="D102" s="45"/>
      <c r="E102" s="45"/>
      <c r="F102" s="45"/>
      <c r="G102" s="45"/>
      <c r="H102" s="45"/>
      <c r="I102" s="45"/>
      <c r="J102" s="45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1"/>
    </row>
    <row r="103" spans="2:23" x14ac:dyDescent="0.25">
      <c r="B103" s="62"/>
      <c r="C103" s="45"/>
      <c r="D103" s="45"/>
      <c r="E103" s="45"/>
      <c r="F103" s="45"/>
      <c r="G103" s="45"/>
      <c r="H103" s="45"/>
      <c r="I103" s="45"/>
      <c r="J103" s="45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1"/>
    </row>
    <row r="104" spans="2:23" x14ac:dyDescent="0.25">
      <c r="B104" s="62"/>
      <c r="C104" s="45"/>
      <c r="D104" s="45"/>
      <c r="E104" s="45"/>
      <c r="F104" s="45"/>
      <c r="G104" s="45"/>
      <c r="H104" s="45"/>
      <c r="I104" s="45"/>
      <c r="J104" s="45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1"/>
    </row>
    <row r="105" spans="2:23" x14ac:dyDescent="0.25">
      <c r="B105" s="62"/>
      <c r="C105" s="45"/>
      <c r="D105" s="45"/>
      <c r="E105" s="45"/>
      <c r="F105" s="45"/>
      <c r="G105" s="45"/>
      <c r="H105" s="45"/>
      <c r="I105" s="45"/>
      <c r="J105" s="45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1"/>
    </row>
    <row r="106" spans="2:23" x14ac:dyDescent="0.25">
      <c r="B106" s="62"/>
      <c r="C106" s="45"/>
      <c r="D106" s="45"/>
      <c r="E106" s="45"/>
      <c r="F106" s="45"/>
      <c r="G106" s="45"/>
      <c r="H106" s="45"/>
      <c r="I106" s="45"/>
      <c r="J106" s="45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1"/>
    </row>
    <row r="107" spans="2:23" x14ac:dyDescent="0.25">
      <c r="B107" s="62"/>
      <c r="C107" s="45"/>
      <c r="D107" s="45"/>
      <c r="E107" s="45"/>
      <c r="F107" s="45"/>
      <c r="G107" s="45"/>
      <c r="H107" s="45"/>
      <c r="I107" s="45"/>
      <c r="J107" s="45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1"/>
    </row>
    <row r="108" spans="2:23" x14ac:dyDescent="0.25">
      <c r="B108" s="62"/>
      <c r="C108" s="45"/>
      <c r="D108" s="45"/>
      <c r="E108" s="45"/>
      <c r="F108" s="45"/>
      <c r="G108" s="45"/>
      <c r="H108" s="45"/>
      <c r="I108" s="45"/>
      <c r="J108" s="45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1"/>
    </row>
    <row r="109" spans="2:23" ht="15.75" thickBot="1" x14ac:dyDescent="0.3">
      <c r="B109" s="63"/>
      <c r="C109" s="64"/>
      <c r="D109" s="64"/>
      <c r="E109" s="64"/>
      <c r="F109" s="64"/>
      <c r="G109" s="64"/>
      <c r="H109" s="64"/>
      <c r="I109" s="64"/>
      <c r="J109" s="64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6"/>
    </row>
    <row r="110" spans="2:23" ht="15.75" thickBot="1" x14ac:dyDescent="0.3"/>
    <row r="111" spans="2:23" x14ac:dyDescent="0.25">
      <c r="B111" s="67"/>
      <c r="C111" s="68"/>
      <c r="D111" s="68"/>
      <c r="E111" s="68"/>
      <c r="F111" s="68"/>
      <c r="G111" s="68"/>
      <c r="H111" s="68"/>
      <c r="I111" s="68"/>
      <c r="J111" s="68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8"/>
    </row>
    <row r="112" spans="2:23" x14ac:dyDescent="0.25">
      <c r="B112" s="62"/>
      <c r="C112" s="45"/>
      <c r="D112" s="45"/>
      <c r="E112" s="45"/>
      <c r="F112" s="45"/>
      <c r="G112" s="45"/>
      <c r="H112" s="45"/>
      <c r="I112" s="45"/>
      <c r="J112" s="45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1"/>
    </row>
    <row r="113" spans="2:23" x14ac:dyDescent="0.25">
      <c r="B113" s="62"/>
      <c r="C113" s="45"/>
      <c r="D113" s="45"/>
      <c r="E113" s="45"/>
      <c r="F113" s="45"/>
      <c r="G113" s="45"/>
      <c r="H113" s="45"/>
      <c r="I113" s="45"/>
      <c r="J113" s="45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1"/>
    </row>
    <row r="114" spans="2:23" x14ac:dyDescent="0.25">
      <c r="B114" s="62"/>
      <c r="C114" s="45"/>
      <c r="D114" s="45"/>
      <c r="E114" s="45"/>
      <c r="F114" s="45"/>
      <c r="G114" s="45"/>
      <c r="H114" s="45"/>
      <c r="I114" s="45"/>
      <c r="J114" s="45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1"/>
    </row>
    <row r="115" spans="2:23" x14ac:dyDescent="0.25">
      <c r="B115" s="62"/>
      <c r="C115" s="45"/>
      <c r="D115" s="45"/>
      <c r="E115" s="45"/>
      <c r="F115" s="45"/>
      <c r="G115" s="45"/>
      <c r="H115" s="45"/>
      <c r="I115" s="45"/>
      <c r="J115" s="45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1"/>
    </row>
    <row r="116" spans="2:23" x14ac:dyDescent="0.25">
      <c r="B116" s="62"/>
      <c r="C116" s="45"/>
      <c r="D116" s="45"/>
      <c r="E116" s="45"/>
      <c r="F116" s="45"/>
      <c r="G116" s="45"/>
      <c r="H116" s="45"/>
      <c r="I116" s="45"/>
      <c r="J116" s="45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1"/>
    </row>
    <row r="117" spans="2:23" x14ac:dyDescent="0.25">
      <c r="B117" s="62"/>
      <c r="C117" s="45"/>
      <c r="D117" s="45"/>
      <c r="E117" s="45"/>
      <c r="F117" s="45"/>
      <c r="G117" s="45"/>
      <c r="H117" s="45"/>
      <c r="I117" s="45"/>
      <c r="J117" s="45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1"/>
    </row>
    <row r="118" spans="2:23" x14ac:dyDescent="0.25">
      <c r="B118" s="62"/>
      <c r="C118" s="45"/>
      <c r="D118" s="45"/>
      <c r="E118" s="45"/>
      <c r="F118" s="45"/>
      <c r="G118" s="45"/>
      <c r="H118" s="45"/>
      <c r="I118" s="45"/>
      <c r="J118" s="45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1"/>
    </row>
    <row r="119" spans="2:23" x14ac:dyDescent="0.25">
      <c r="B119" s="62"/>
      <c r="C119" s="45"/>
      <c r="D119" s="45"/>
      <c r="E119" s="45"/>
      <c r="F119" s="45"/>
      <c r="G119" s="45"/>
      <c r="H119" s="45"/>
      <c r="I119" s="45"/>
      <c r="J119" s="45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1"/>
    </row>
    <row r="120" spans="2:23" x14ac:dyDescent="0.25">
      <c r="B120" s="62"/>
      <c r="C120" s="45"/>
      <c r="D120" s="45"/>
      <c r="E120" s="45"/>
      <c r="F120" s="45"/>
      <c r="G120" s="45"/>
      <c r="H120" s="45"/>
      <c r="I120" s="45"/>
      <c r="J120" s="45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1"/>
    </row>
    <row r="121" spans="2:23" x14ac:dyDescent="0.25">
      <c r="B121" s="62"/>
      <c r="C121" s="45"/>
      <c r="D121" s="45"/>
      <c r="E121" s="45"/>
      <c r="F121" s="45"/>
      <c r="G121" s="45"/>
      <c r="H121" s="45"/>
      <c r="I121" s="45"/>
      <c r="J121" s="45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1"/>
    </row>
    <row r="122" spans="2:23" x14ac:dyDescent="0.25">
      <c r="B122" s="62"/>
      <c r="C122" s="45"/>
      <c r="D122" s="45"/>
      <c r="E122" s="45"/>
      <c r="F122" s="45"/>
      <c r="G122" s="45"/>
      <c r="H122" s="45"/>
      <c r="I122" s="45"/>
      <c r="J122" s="45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1"/>
    </row>
    <row r="123" spans="2:23" x14ac:dyDescent="0.25">
      <c r="B123" s="62"/>
      <c r="C123" s="45"/>
      <c r="D123" s="45"/>
      <c r="E123" s="45"/>
      <c r="F123" s="45"/>
      <c r="G123" s="45"/>
      <c r="H123" s="45"/>
      <c r="I123" s="45"/>
      <c r="J123" s="45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1"/>
    </row>
    <row r="124" spans="2:23" x14ac:dyDescent="0.25">
      <c r="B124" s="62"/>
      <c r="C124" s="45"/>
      <c r="D124" s="45"/>
      <c r="E124" s="45"/>
      <c r="F124" s="45"/>
      <c r="G124" s="45"/>
      <c r="H124" s="45"/>
      <c r="I124" s="45"/>
      <c r="J124" s="45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1"/>
    </row>
    <row r="125" spans="2:23" x14ac:dyDescent="0.25">
      <c r="B125" s="62"/>
      <c r="C125" s="45"/>
      <c r="D125" s="45"/>
      <c r="E125" s="45"/>
      <c r="F125" s="45"/>
      <c r="G125" s="45"/>
      <c r="H125" s="45"/>
      <c r="I125" s="45"/>
      <c r="J125" s="45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1"/>
    </row>
    <row r="126" spans="2:23" x14ac:dyDescent="0.25">
      <c r="B126" s="62"/>
      <c r="C126" s="45"/>
      <c r="D126" s="45"/>
      <c r="E126" s="45"/>
      <c r="F126" s="45"/>
      <c r="G126" s="45"/>
      <c r="H126" s="45"/>
      <c r="I126" s="45"/>
      <c r="J126" s="45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1"/>
    </row>
    <row r="127" spans="2:23" x14ac:dyDescent="0.25">
      <c r="B127" s="62"/>
      <c r="C127" s="45"/>
      <c r="D127" s="45"/>
      <c r="E127" s="45"/>
      <c r="F127" s="45"/>
      <c r="G127" s="45"/>
      <c r="H127" s="45"/>
      <c r="I127" s="45"/>
      <c r="J127" s="45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1"/>
    </row>
    <row r="128" spans="2:23" x14ac:dyDescent="0.25">
      <c r="B128" s="62"/>
      <c r="C128" s="45"/>
      <c r="D128" s="45"/>
      <c r="E128" s="45"/>
      <c r="F128" s="45"/>
      <c r="G128" s="45"/>
      <c r="H128" s="45"/>
      <c r="I128" s="45"/>
      <c r="J128" s="45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1"/>
    </row>
    <row r="129" spans="2:23" x14ac:dyDescent="0.25">
      <c r="B129" s="62"/>
      <c r="C129" s="45"/>
      <c r="D129" s="45"/>
      <c r="E129" s="45"/>
      <c r="F129" s="45"/>
      <c r="G129" s="45"/>
      <c r="H129" s="45"/>
      <c r="I129" s="45"/>
      <c r="J129" s="45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1"/>
    </row>
    <row r="130" spans="2:23" x14ac:dyDescent="0.25">
      <c r="B130" s="62"/>
      <c r="C130" s="45"/>
      <c r="D130" s="45"/>
      <c r="E130" s="45"/>
      <c r="F130" s="45"/>
      <c r="G130" s="45"/>
      <c r="H130" s="45"/>
      <c r="I130" s="45"/>
      <c r="J130" s="45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1"/>
    </row>
    <row r="131" spans="2:23" x14ac:dyDescent="0.25">
      <c r="B131" s="62"/>
      <c r="C131" s="45"/>
      <c r="D131" s="45"/>
      <c r="E131" s="45"/>
      <c r="F131" s="45"/>
      <c r="G131" s="45"/>
      <c r="H131" s="45"/>
      <c r="I131" s="45"/>
      <c r="J131" s="45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1"/>
    </row>
    <row r="132" spans="2:23" x14ac:dyDescent="0.25">
      <c r="B132" s="62"/>
      <c r="C132" s="45"/>
      <c r="D132" s="45"/>
      <c r="E132" s="45"/>
      <c r="F132" s="45"/>
      <c r="G132" s="45"/>
      <c r="H132" s="45"/>
      <c r="I132" s="45"/>
      <c r="J132" s="45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1"/>
    </row>
    <row r="133" spans="2:23" x14ac:dyDescent="0.25">
      <c r="B133" s="62"/>
      <c r="C133" s="45"/>
      <c r="D133" s="45"/>
      <c r="E133" s="45"/>
      <c r="F133" s="45"/>
      <c r="G133" s="45"/>
      <c r="H133" s="45"/>
      <c r="I133" s="45"/>
      <c r="J133" s="45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1"/>
    </row>
    <row r="134" spans="2:23" x14ac:dyDescent="0.25">
      <c r="B134" s="62"/>
      <c r="C134" s="45"/>
      <c r="D134" s="45"/>
      <c r="E134" s="45"/>
      <c r="F134" s="45"/>
      <c r="G134" s="45"/>
      <c r="H134" s="45"/>
      <c r="I134" s="45"/>
      <c r="J134" s="45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1"/>
    </row>
    <row r="135" spans="2:23" x14ac:dyDescent="0.25">
      <c r="B135" s="62"/>
      <c r="C135" s="45"/>
      <c r="D135" s="45"/>
      <c r="E135" s="45"/>
      <c r="F135" s="45"/>
      <c r="G135" s="45"/>
      <c r="H135" s="45"/>
      <c r="I135" s="45"/>
      <c r="J135" s="45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1"/>
    </row>
    <row r="136" spans="2:23" x14ac:dyDescent="0.25">
      <c r="B136" s="62"/>
      <c r="C136" s="45"/>
      <c r="D136" s="45"/>
      <c r="E136" s="45"/>
      <c r="F136" s="45"/>
      <c r="G136" s="45"/>
      <c r="H136" s="45"/>
      <c r="I136" s="45"/>
      <c r="J136" s="45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1"/>
    </row>
    <row r="137" spans="2:23" x14ac:dyDescent="0.25">
      <c r="B137" s="62"/>
      <c r="C137" s="45"/>
      <c r="D137" s="45"/>
      <c r="E137" s="45"/>
      <c r="F137" s="45"/>
      <c r="G137" s="45"/>
      <c r="H137" s="45"/>
      <c r="I137" s="45"/>
      <c r="J137" s="45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1"/>
    </row>
    <row r="138" spans="2:23" x14ac:dyDescent="0.25">
      <c r="B138" s="62"/>
      <c r="C138" s="45"/>
      <c r="D138" s="45"/>
      <c r="E138" s="45"/>
      <c r="F138" s="45"/>
      <c r="G138" s="45"/>
      <c r="H138" s="45"/>
      <c r="I138" s="45"/>
      <c r="J138" s="45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1"/>
    </row>
    <row r="139" spans="2:23" x14ac:dyDescent="0.25">
      <c r="B139" s="62"/>
      <c r="C139" s="45"/>
      <c r="D139" s="45"/>
      <c r="E139" s="45"/>
      <c r="F139" s="45"/>
      <c r="G139" s="45"/>
      <c r="H139" s="45"/>
      <c r="I139" s="45"/>
      <c r="J139" s="45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1"/>
    </row>
    <row r="140" spans="2:23" x14ac:dyDescent="0.25">
      <c r="B140" s="62"/>
      <c r="C140" s="45"/>
      <c r="D140" s="45"/>
      <c r="E140" s="45"/>
      <c r="F140" s="45"/>
      <c r="G140" s="45"/>
      <c r="H140" s="45"/>
      <c r="I140" s="45"/>
      <c r="J140" s="45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1"/>
    </row>
    <row r="141" spans="2:23" ht="15.75" thickBot="1" x14ac:dyDescent="0.3">
      <c r="B141" s="63"/>
      <c r="C141" s="64"/>
      <c r="D141" s="64"/>
      <c r="E141" s="64"/>
      <c r="F141" s="64"/>
      <c r="G141" s="64"/>
      <c r="H141" s="64"/>
      <c r="I141" s="64"/>
      <c r="J141" s="64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6"/>
    </row>
    <row r="142" spans="2:23" ht="15.75" thickBot="1" x14ac:dyDescent="0.3"/>
    <row r="143" spans="2:23" x14ac:dyDescent="0.25">
      <c r="B143" s="67"/>
      <c r="C143" s="68"/>
      <c r="D143" s="68"/>
      <c r="E143" s="68"/>
      <c r="F143" s="68"/>
      <c r="G143" s="68"/>
      <c r="H143" s="68"/>
      <c r="I143" s="68"/>
      <c r="J143" s="68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8"/>
    </row>
    <row r="144" spans="2:23" x14ac:dyDescent="0.25">
      <c r="B144" s="62"/>
      <c r="C144" s="45"/>
      <c r="D144" s="45"/>
      <c r="E144" s="45"/>
      <c r="F144" s="45"/>
      <c r="G144" s="45"/>
      <c r="H144" s="45"/>
      <c r="I144" s="45"/>
      <c r="J144" s="45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1"/>
    </row>
    <row r="145" spans="2:23" x14ac:dyDescent="0.25">
      <c r="B145" s="62"/>
      <c r="C145" s="45"/>
      <c r="D145" s="45"/>
      <c r="E145" s="45"/>
      <c r="F145" s="45"/>
      <c r="G145" s="45"/>
      <c r="H145" s="45"/>
      <c r="I145" s="45"/>
      <c r="J145" s="45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1"/>
    </row>
    <row r="146" spans="2:23" x14ac:dyDescent="0.25">
      <c r="B146" s="62"/>
      <c r="C146" s="45"/>
      <c r="D146" s="45"/>
      <c r="E146" s="45"/>
      <c r="F146" s="45"/>
      <c r="G146" s="45"/>
      <c r="H146" s="45"/>
      <c r="I146" s="45"/>
      <c r="J146" s="45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1"/>
    </row>
    <row r="147" spans="2:23" x14ac:dyDescent="0.25">
      <c r="B147" s="62"/>
      <c r="C147" s="45"/>
      <c r="D147" s="45"/>
      <c r="E147" s="45"/>
      <c r="F147" s="45"/>
      <c r="G147" s="45"/>
      <c r="H147" s="45"/>
      <c r="I147" s="45"/>
      <c r="J147" s="45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1"/>
    </row>
    <row r="148" spans="2:23" x14ac:dyDescent="0.25">
      <c r="B148" s="62"/>
      <c r="C148" s="45"/>
      <c r="D148" s="45"/>
      <c r="E148" s="45"/>
      <c r="F148" s="45"/>
      <c r="G148" s="45"/>
      <c r="H148" s="45"/>
      <c r="I148" s="45"/>
      <c r="J148" s="45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1"/>
    </row>
    <row r="149" spans="2:23" x14ac:dyDescent="0.25">
      <c r="B149" s="62"/>
      <c r="C149" s="45"/>
      <c r="D149" s="45"/>
      <c r="E149" s="45"/>
      <c r="F149" s="45"/>
      <c r="G149" s="45"/>
      <c r="H149" s="45"/>
      <c r="I149" s="45"/>
      <c r="J149" s="45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1"/>
    </row>
    <row r="150" spans="2:23" x14ac:dyDescent="0.25">
      <c r="B150" s="62"/>
      <c r="C150" s="45"/>
      <c r="D150" s="45"/>
      <c r="E150" s="45"/>
      <c r="F150" s="45"/>
      <c r="G150" s="45"/>
      <c r="H150" s="45"/>
      <c r="I150" s="45"/>
      <c r="J150" s="45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1"/>
    </row>
    <row r="151" spans="2:23" x14ac:dyDescent="0.25">
      <c r="B151" s="62"/>
      <c r="C151" s="45"/>
      <c r="D151" s="45"/>
      <c r="E151" s="45"/>
      <c r="F151" s="45"/>
      <c r="G151" s="45"/>
      <c r="H151" s="45"/>
      <c r="I151" s="45"/>
      <c r="J151" s="45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1"/>
    </row>
    <row r="152" spans="2:23" x14ac:dyDescent="0.25">
      <c r="B152" s="62"/>
      <c r="C152" s="45"/>
      <c r="D152" s="45"/>
      <c r="E152" s="45"/>
      <c r="F152" s="45"/>
      <c r="G152" s="45"/>
      <c r="H152" s="45"/>
      <c r="I152" s="45"/>
      <c r="J152" s="45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1"/>
    </row>
    <row r="153" spans="2:23" x14ac:dyDescent="0.25">
      <c r="B153" s="62"/>
      <c r="C153" s="45"/>
      <c r="D153" s="45"/>
      <c r="E153" s="45"/>
      <c r="F153" s="45"/>
      <c r="G153" s="45"/>
      <c r="H153" s="45"/>
      <c r="I153" s="45"/>
      <c r="J153" s="45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1"/>
    </row>
    <row r="154" spans="2:23" x14ac:dyDescent="0.25">
      <c r="B154" s="62"/>
      <c r="C154" s="45"/>
      <c r="D154" s="45"/>
      <c r="E154" s="45"/>
      <c r="F154" s="45"/>
      <c r="G154" s="45"/>
      <c r="H154" s="45"/>
      <c r="I154" s="45"/>
      <c r="J154" s="45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1"/>
    </row>
    <row r="155" spans="2:23" x14ac:dyDescent="0.25">
      <c r="B155" s="62"/>
      <c r="C155" s="45"/>
      <c r="D155" s="45"/>
      <c r="E155" s="45"/>
      <c r="F155" s="45"/>
      <c r="G155" s="45"/>
      <c r="H155" s="45"/>
      <c r="I155" s="45"/>
      <c r="J155" s="45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1"/>
    </row>
    <row r="156" spans="2:23" x14ac:dyDescent="0.25">
      <c r="B156" s="62"/>
      <c r="C156" s="45"/>
      <c r="D156" s="45"/>
      <c r="E156" s="45"/>
      <c r="F156" s="45"/>
      <c r="G156" s="45"/>
      <c r="H156" s="45"/>
      <c r="I156" s="45"/>
      <c r="J156" s="45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1"/>
    </row>
    <row r="157" spans="2:23" x14ac:dyDescent="0.25">
      <c r="B157" s="62"/>
      <c r="C157" s="45"/>
      <c r="D157" s="45"/>
      <c r="E157" s="45"/>
      <c r="F157" s="45"/>
      <c r="G157" s="45"/>
      <c r="H157" s="45"/>
      <c r="I157" s="45"/>
      <c r="J157" s="45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1"/>
    </row>
    <row r="158" spans="2:23" x14ac:dyDescent="0.25">
      <c r="B158" s="62"/>
      <c r="C158" s="45"/>
      <c r="D158" s="45"/>
      <c r="E158" s="45"/>
      <c r="F158" s="45"/>
      <c r="G158" s="45"/>
      <c r="H158" s="45"/>
      <c r="I158" s="45"/>
      <c r="J158" s="45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1"/>
    </row>
    <row r="159" spans="2:23" x14ac:dyDescent="0.25">
      <c r="B159" s="62"/>
      <c r="C159" s="45"/>
      <c r="D159" s="45"/>
      <c r="E159" s="45"/>
      <c r="F159" s="45"/>
      <c r="G159" s="45"/>
      <c r="H159" s="45"/>
      <c r="I159" s="45"/>
      <c r="J159" s="45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1"/>
    </row>
    <row r="160" spans="2:23" x14ac:dyDescent="0.25">
      <c r="B160" s="62"/>
      <c r="C160" s="45"/>
      <c r="D160" s="45"/>
      <c r="E160" s="45"/>
      <c r="F160" s="45"/>
      <c r="G160" s="45"/>
      <c r="H160" s="45"/>
      <c r="I160" s="45"/>
      <c r="J160" s="45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1"/>
    </row>
    <row r="161" spans="2:23" x14ac:dyDescent="0.25">
      <c r="B161" s="62"/>
      <c r="C161" s="45"/>
      <c r="D161" s="45"/>
      <c r="E161" s="45"/>
      <c r="F161" s="45"/>
      <c r="G161" s="45"/>
      <c r="H161" s="45"/>
      <c r="I161" s="45"/>
      <c r="J161" s="45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1"/>
    </row>
    <row r="162" spans="2:23" x14ac:dyDescent="0.25">
      <c r="B162" s="62"/>
      <c r="C162" s="45"/>
      <c r="D162" s="45"/>
      <c r="E162" s="45"/>
      <c r="F162" s="45"/>
      <c r="G162" s="45"/>
      <c r="H162" s="45"/>
      <c r="I162" s="45"/>
      <c r="J162" s="45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1"/>
    </row>
    <row r="163" spans="2:23" x14ac:dyDescent="0.25">
      <c r="B163" s="62"/>
      <c r="C163" s="45"/>
      <c r="D163" s="45"/>
      <c r="E163" s="45"/>
      <c r="F163" s="45"/>
      <c r="G163" s="45"/>
      <c r="H163" s="45"/>
      <c r="I163" s="45"/>
      <c r="J163" s="45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1"/>
    </row>
    <row r="164" spans="2:23" x14ac:dyDescent="0.25">
      <c r="B164" s="62"/>
      <c r="C164" s="45"/>
      <c r="D164" s="45"/>
      <c r="E164" s="45"/>
      <c r="F164" s="45"/>
      <c r="G164" s="45"/>
      <c r="H164" s="45"/>
      <c r="I164" s="45"/>
      <c r="J164" s="45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1"/>
    </row>
    <row r="165" spans="2:23" x14ac:dyDescent="0.25">
      <c r="B165" s="62"/>
      <c r="C165" s="45"/>
      <c r="D165" s="45"/>
      <c r="E165" s="45"/>
      <c r="F165" s="45"/>
      <c r="G165" s="45"/>
      <c r="H165" s="45"/>
      <c r="I165" s="45"/>
      <c r="J165" s="45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1"/>
    </row>
    <row r="166" spans="2:23" x14ac:dyDescent="0.25">
      <c r="B166" s="62"/>
      <c r="C166" s="45"/>
      <c r="D166" s="45"/>
      <c r="E166" s="45"/>
      <c r="F166" s="45"/>
      <c r="G166" s="45"/>
      <c r="H166" s="45"/>
      <c r="I166" s="45"/>
      <c r="J166" s="45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1"/>
    </row>
    <row r="167" spans="2:23" x14ac:dyDescent="0.25">
      <c r="B167" s="62"/>
      <c r="C167" s="45"/>
      <c r="D167" s="45"/>
      <c r="E167" s="45"/>
      <c r="F167" s="45"/>
      <c r="G167" s="45"/>
      <c r="H167" s="45"/>
      <c r="I167" s="45"/>
      <c r="J167" s="45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1"/>
    </row>
    <row r="168" spans="2:23" x14ac:dyDescent="0.25">
      <c r="B168" s="62"/>
      <c r="C168" s="45"/>
      <c r="D168" s="45"/>
      <c r="E168" s="45"/>
      <c r="F168" s="45"/>
      <c r="G168" s="45"/>
      <c r="H168" s="45"/>
      <c r="I168" s="45"/>
      <c r="J168" s="45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1"/>
    </row>
    <row r="169" spans="2:23" x14ac:dyDescent="0.25">
      <c r="B169" s="62"/>
      <c r="C169" s="45"/>
      <c r="D169" s="45"/>
      <c r="E169" s="45"/>
      <c r="F169" s="45"/>
      <c r="G169" s="45"/>
      <c r="H169" s="45"/>
      <c r="I169" s="45"/>
      <c r="J169" s="45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1"/>
    </row>
    <row r="170" spans="2:23" x14ac:dyDescent="0.25">
      <c r="B170" s="62"/>
      <c r="C170" s="45"/>
      <c r="D170" s="45"/>
      <c r="E170" s="45"/>
      <c r="F170" s="45"/>
      <c r="G170" s="45"/>
      <c r="H170" s="45"/>
      <c r="I170" s="45"/>
      <c r="J170" s="45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1"/>
    </row>
    <row r="171" spans="2:23" x14ac:dyDescent="0.25">
      <c r="B171" s="62"/>
      <c r="C171" s="45"/>
      <c r="D171" s="45"/>
      <c r="E171" s="45"/>
      <c r="F171" s="45"/>
      <c r="G171" s="45"/>
      <c r="H171" s="45"/>
      <c r="I171" s="45"/>
      <c r="J171" s="45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1"/>
    </row>
    <row r="172" spans="2:23" x14ac:dyDescent="0.25">
      <c r="B172" s="62"/>
      <c r="C172" s="45"/>
      <c r="D172" s="45"/>
      <c r="E172" s="45"/>
      <c r="F172" s="45"/>
      <c r="G172" s="45"/>
      <c r="H172" s="45"/>
      <c r="I172" s="45"/>
      <c r="J172" s="45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1"/>
    </row>
    <row r="173" spans="2:23" ht="15.75" thickBot="1" x14ac:dyDescent="0.3">
      <c r="B173" s="63"/>
      <c r="C173" s="64"/>
      <c r="D173" s="64"/>
      <c r="E173" s="64"/>
      <c r="F173" s="64"/>
      <c r="G173" s="64"/>
      <c r="H173" s="64"/>
      <c r="I173" s="64"/>
      <c r="J173" s="64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6"/>
    </row>
    <row r="174" spans="2:23" ht="15.75" thickBot="1" x14ac:dyDescent="0.3"/>
    <row r="175" spans="2:23" x14ac:dyDescent="0.25">
      <c r="B175" s="67"/>
      <c r="C175" s="68"/>
      <c r="D175" s="68"/>
      <c r="E175" s="68"/>
      <c r="F175" s="68"/>
      <c r="G175" s="68"/>
      <c r="H175" s="68"/>
      <c r="I175" s="68"/>
      <c r="J175" s="68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8"/>
    </row>
    <row r="176" spans="2:23" x14ac:dyDescent="0.25">
      <c r="B176" s="62"/>
      <c r="C176" s="45"/>
      <c r="D176" s="45"/>
      <c r="E176" s="45"/>
      <c r="F176" s="45"/>
      <c r="G176" s="45"/>
      <c r="H176" s="45"/>
      <c r="I176" s="45"/>
      <c r="J176" s="45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1"/>
    </row>
    <row r="177" spans="2:23" x14ac:dyDescent="0.25">
      <c r="B177" s="62"/>
      <c r="C177" s="45"/>
      <c r="D177" s="45"/>
      <c r="E177" s="45"/>
      <c r="F177" s="45"/>
      <c r="G177" s="45"/>
      <c r="H177" s="45"/>
      <c r="I177" s="45"/>
      <c r="J177" s="45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1"/>
    </row>
    <row r="178" spans="2:23" x14ac:dyDescent="0.25">
      <c r="B178" s="62"/>
      <c r="C178" s="45"/>
      <c r="D178" s="45"/>
      <c r="E178" s="45"/>
      <c r="F178" s="45"/>
      <c r="G178" s="45"/>
      <c r="H178" s="45"/>
      <c r="I178" s="45"/>
      <c r="J178" s="45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1"/>
    </row>
    <row r="179" spans="2:23" x14ac:dyDescent="0.25">
      <c r="B179" s="62"/>
      <c r="C179" s="45"/>
      <c r="D179" s="45"/>
      <c r="E179" s="45"/>
      <c r="F179" s="45"/>
      <c r="G179" s="45"/>
      <c r="H179" s="45"/>
      <c r="I179" s="45"/>
      <c r="J179" s="45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1"/>
    </row>
    <row r="180" spans="2:23" x14ac:dyDescent="0.25">
      <c r="B180" s="62"/>
      <c r="C180" s="45"/>
      <c r="D180" s="45"/>
      <c r="E180" s="45"/>
      <c r="F180" s="45"/>
      <c r="G180" s="45"/>
      <c r="H180" s="45"/>
      <c r="I180" s="45"/>
      <c r="J180" s="45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1"/>
    </row>
    <row r="181" spans="2:23" x14ac:dyDescent="0.25">
      <c r="B181" s="62"/>
      <c r="C181" s="45"/>
      <c r="D181" s="45"/>
      <c r="E181" s="45"/>
      <c r="F181" s="45"/>
      <c r="G181" s="45"/>
      <c r="H181" s="45"/>
      <c r="I181" s="45"/>
      <c r="J181" s="45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1"/>
    </row>
    <row r="182" spans="2:23" x14ac:dyDescent="0.25">
      <c r="B182" s="62"/>
      <c r="C182" s="45"/>
      <c r="D182" s="45"/>
      <c r="E182" s="45"/>
      <c r="F182" s="45"/>
      <c r="G182" s="45"/>
      <c r="H182" s="45"/>
      <c r="I182" s="45"/>
      <c r="J182" s="45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1"/>
    </row>
    <row r="183" spans="2:23" x14ac:dyDescent="0.25">
      <c r="B183" s="62"/>
      <c r="C183" s="45"/>
      <c r="D183" s="45"/>
      <c r="E183" s="45"/>
      <c r="F183" s="45"/>
      <c r="G183" s="45"/>
      <c r="H183" s="45"/>
      <c r="I183" s="45"/>
      <c r="J183" s="45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1"/>
    </row>
    <row r="184" spans="2:23" x14ac:dyDescent="0.25">
      <c r="B184" s="62"/>
      <c r="C184" s="45"/>
      <c r="D184" s="45"/>
      <c r="E184" s="45"/>
      <c r="F184" s="45"/>
      <c r="G184" s="45"/>
      <c r="H184" s="45"/>
      <c r="I184" s="45"/>
      <c r="J184" s="45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1"/>
    </row>
    <row r="185" spans="2:23" x14ac:dyDescent="0.25">
      <c r="B185" s="62"/>
      <c r="C185" s="45"/>
      <c r="D185" s="45"/>
      <c r="E185" s="45"/>
      <c r="F185" s="45"/>
      <c r="G185" s="45"/>
      <c r="H185" s="45"/>
      <c r="I185" s="45"/>
      <c r="J185" s="45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1"/>
    </row>
    <row r="186" spans="2:23" x14ac:dyDescent="0.25">
      <c r="B186" s="62"/>
      <c r="C186" s="45"/>
      <c r="D186" s="45"/>
      <c r="E186" s="45"/>
      <c r="F186" s="45"/>
      <c r="G186" s="45"/>
      <c r="H186" s="45"/>
      <c r="I186" s="45"/>
      <c r="J186" s="45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1"/>
    </row>
    <row r="187" spans="2:23" x14ac:dyDescent="0.25">
      <c r="B187" s="62"/>
      <c r="C187" s="45"/>
      <c r="D187" s="45"/>
      <c r="E187" s="45"/>
      <c r="F187" s="45"/>
      <c r="G187" s="45"/>
      <c r="H187" s="45"/>
      <c r="I187" s="45"/>
      <c r="J187" s="45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1"/>
    </row>
    <row r="188" spans="2:23" x14ac:dyDescent="0.25">
      <c r="B188" s="62"/>
      <c r="C188" s="45"/>
      <c r="D188" s="45"/>
      <c r="E188" s="45"/>
      <c r="F188" s="45"/>
      <c r="G188" s="45"/>
      <c r="H188" s="45"/>
      <c r="I188" s="45"/>
      <c r="J188" s="45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1"/>
    </row>
    <row r="189" spans="2:23" x14ac:dyDescent="0.25">
      <c r="B189" s="62"/>
      <c r="C189" s="45"/>
      <c r="D189" s="45"/>
      <c r="E189" s="45"/>
      <c r="F189" s="45"/>
      <c r="G189" s="45"/>
      <c r="H189" s="45"/>
      <c r="I189" s="45"/>
      <c r="J189" s="45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1"/>
    </row>
    <row r="190" spans="2:23" x14ac:dyDescent="0.25">
      <c r="B190" s="62"/>
      <c r="C190" s="45"/>
      <c r="D190" s="45"/>
      <c r="E190" s="45"/>
      <c r="F190" s="45"/>
      <c r="G190" s="45"/>
      <c r="H190" s="45"/>
      <c r="I190" s="45"/>
      <c r="J190" s="45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1"/>
    </row>
    <row r="191" spans="2:23" x14ac:dyDescent="0.25">
      <c r="B191" s="62"/>
      <c r="C191" s="45"/>
      <c r="D191" s="45"/>
      <c r="E191" s="45"/>
      <c r="F191" s="45"/>
      <c r="G191" s="45"/>
      <c r="H191" s="45"/>
      <c r="I191" s="45"/>
      <c r="J191" s="45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1"/>
    </row>
    <row r="192" spans="2:23" x14ac:dyDescent="0.25">
      <c r="B192" s="62"/>
      <c r="C192" s="45"/>
      <c r="D192" s="45"/>
      <c r="E192" s="45"/>
      <c r="F192" s="45"/>
      <c r="G192" s="45"/>
      <c r="H192" s="45"/>
      <c r="I192" s="45"/>
      <c r="J192" s="45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1"/>
    </row>
    <row r="193" spans="2:23" x14ac:dyDescent="0.25">
      <c r="B193" s="62"/>
      <c r="C193" s="45"/>
      <c r="D193" s="45"/>
      <c r="E193" s="45"/>
      <c r="F193" s="45"/>
      <c r="G193" s="45"/>
      <c r="H193" s="45"/>
      <c r="I193" s="45"/>
      <c r="J193" s="45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1"/>
    </row>
    <row r="194" spans="2:23" x14ac:dyDescent="0.25">
      <c r="B194" s="62"/>
      <c r="C194" s="45"/>
      <c r="D194" s="45"/>
      <c r="E194" s="45"/>
      <c r="F194" s="45"/>
      <c r="G194" s="45"/>
      <c r="H194" s="45"/>
      <c r="I194" s="45"/>
      <c r="J194" s="45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1"/>
    </row>
    <row r="195" spans="2:23" x14ac:dyDescent="0.25">
      <c r="B195" s="62"/>
      <c r="C195" s="45"/>
      <c r="D195" s="45"/>
      <c r="E195" s="45"/>
      <c r="F195" s="45"/>
      <c r="G195" s="45"/>
      <c r="H195" s="45"/>
      <c r="I195" s="45"/>
      <c r="J195" s="45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1"/>
    </row>
    <row r="196" spans="2:23" x14ac:dyDescent="0.25">
      <c r="B196" s="62"/>
      <c r="C196" s="45"/>
      <c r="D196" s="45"/>
      <c r="E196" s="45"/>
      <c r="F196" s="45"/>
      <c r="G196" s="45"/>
      <c r="H196" s="45"/>
      <c r="I196" s="45"/>
      <c r="J196" s="45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1"/>
    </row>
    <row r="197" spans="2:23" x14ac:dyDescent="0.25">
      <c r="B197" s="62"/>
      <c r="C197" s="45"/>
      <c r="D197" s="45"/>
      <c r="E197" s="45"/>
      <c r="F197" s="45"/>
      <c r="G197" s="45"/>
      <c r="H197" s="45"/>
      <c r="I197" s="45"/>
      <c r="J197" s="45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1"/>
    </row>
    <row r="198" spans="2:23" x14ac:dyDescent="0.25">
      <c r="B198" s="62"/>
      <c r="C198" s="45"/>
      <c r="D198" s="45"/>
      <c r="E198" s="45"/>
      <c r="F198" s="45"/>
      <c r="G198" s="45"/>
      <c r="H198" s="45"/>
      <c r="I198" s="45"/>
      <c r="J198" s="45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1"/>
    </row>
    <row r="199" spans="2:23" x14ac:dyDescent="0.25">
      <c r="B199" s="62"/>
      <c r="C199" s="45"/>
      <c r="D199" s="45"/>
      <c r="E199" s="45"/>
      <c r="F199" s="45"/>
      <c r="G199" s="45"/>
      <c r="H199" s="45"/>
      <c r="I199" s="45"/>
      <c r="J199" s="45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1"/>
    </row>
    <row r="200" spans="2:23" x14ac:dyDescent="0.25">
      <c r="B200" s="62"/>
      <c r="C200" s="45"/>
      <c r="D200" s="45"/>
      <c r="E200" s="45"/>
      <c r="F200" s="45"/>
      <c r="G200" s="45"/>
      <c r="H200" s="45"/>
      <c r="I200" s="45"/>
      <c r="J200" s="45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1"/>
    </row>
    <row r="201" spans="2:23" x14ac:dyDescent="0.25">
      <c r="B201" s="62"/>
      <c r="C201" s="45"/>
      <c r="D201" s="45"/>
      <c r="E201" s="45"/>
      <c r="F201" s="45"/>
      <c r="G201" s="45"/>
      <c r="H201" s="45"/>
      <c r="I201" s="45"/>
      <c r="J201" s="45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1"/>
    </row>
    <row r="202" spans="2:23" x14ac:dyDescent="0.25">
      <c r="B202" s="62"/>
      <c r="C202" s="45"/>
      <c r="D202" s="45"/>
      <c r="E202" s="45"/>
      <c r="F202" s="45"/>
      <c r="G202" s="45"/>
      <c r="H202" s="45"/>
      <c r="I202" s="45"/>
      <c r="J202" s="45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1"/>
    </row>
    <row r="203" spans="2:23" x14ac:dyDescent="0.25">
      <c r="B203" s="62"/>
      <c r="C203" s="45"/>
      <c r="D203" s="45"/>
      <c r="E203" s="45"/>
      <c r="F203" s="45"/>
      <c r="G203" s="45"/>
      <c r="H203" s="45"/>
      <c r="I203" s="45"/>
      <c r="J203" s="45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1"/>
    </row>
    <row r="204" spans="2:23" x14ac:dyDescent="0.25">
      <c r="B204" s="62"/>
      <c r="C204" s="45"/>
      <c r="D204" s="45"/>
      <c r="E204" s="45"/>
      <c r="F204" s="45"/>
      <c r="G204" s="45"/>
      <c r="H204" s="45"/>
      <c r="I204" s="45"/>
      <c r="J204" s="45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1"/>
    </row>
    <row r="205" spans="2:23" ht="15.75" thickBot="1" x14ac:dyDescent="0.3">
      <c r="B205" s="63"/>
      <c r="C205" s="64"/>
      <c r="D205" s="64"/>
      <c r="E205" s="64"/>
      <c r="F205" s="64"/>
      <c r="G205" s="64"/>
      <c r="H205" s="64"/>
      <c r="I205" s="64"/>
      <c r="J205" s="64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6"/>
    </row>
    <row r="206" spans="2:23" ht="15.75" thickBot="1" x14ac:dyDescent="0.3"/>
    <row r="207" spans="2:23" x14ac:dyDescent="0.25">
      <c r="B207" s="67"/>
      <c r="C207" s="68"/>
      <c r="D207" s="68"/>
      <c r="E207" s="68"/>
      <c r="F207" s="68"/>
      <c r="G207" s="68"/>
      <c r="H207" s="68"/>
      <c r="I207" s="68"/>
      <c r="J207" s="68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8"/>
    </row>
    <row r="208" spans="2:23" x14ac:dyDescent="0.25">
      <c r="B208" s="62"/>
      <c r="C208" s="45"/>
      <c r="D208" s="45"/>
      <c r="E208" s="45"/>
      <c r="F208" s="45"/>
      <c r="G208" s="45"/>
      <c r="H208" s="45"/>
      <c r="I208" s="45"/>
      <c r="J208" s="45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1"/>
    </row>
    <row r="209" spans="2:23" x14ac:dyDescent="0.25">
      <c r="B209" s="62"/>
      <c r="C209" s="45"/>
      <c r="D209" s="45"/>
      <c r="E209" s="45"/>
      <c r="F209" s="45"/>
      <c r="G209" s="45"/>
      <c r="H209" s="45"/>
      <c r="I209" s="45"/>
      <c r="J209" s="45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1"/>
    </row>
    <row r="210" spans="2:23" x14ac:dyDescent="0.25">
      <c r="B210" s="62"/>
      <c r="C210" s="45"/>
      <c r="D210" s="45"/>
      <c r="E210" s="45"/>
      <c r="F210" s="45"/>
      <c r="G210" s="45"/>
      <c r="H210" s="45"/>
      <c r="I210" s="45"/>
      <c r="J210" s="45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1"/>
    </row>
    <row r="211" spans="2:23" x14ac:dyDescent="0.25">
      <c r="B211" s="62"/>
      <c r="C211" s="45"/>
      <c r="D211" s="45"/>
      <c r="E211" s="45"/>
      <c r="F211" s="45"/>
      <c r="G211" s="45"/>
      <c r="H211" s="45"/>
      <c r="I211" s="45"/>
      <c r="J211" s="45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1"/>
    </row>
    <row r="212" spans="2:23" x14ac:dyDescent="0.25">
      <c r="B212" s="62"/>
      <c r="C212" s="45"/>
      <c r="D212" s="45"/>
      <c r="E212" s="45"/>
      <c r="F212" s="45"/>
      <c r="G212" s="45"/>
      <c r="H212" s="45"/>
      <c r="I212" s="45"/>
      <c r="J212" s="45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1"/>
    </row>
    <row r="213" spans="2:23" x14ac:dyDescent="0.25">
      <c r="B213" s="62"/>
      <c r="C213" s="45"/>
      <c r="D213" s="45"/>
      <c r="E213" s="45"/>
      <c r="F213" s="45"/>
      <c r="G213" s="45"/>
      <c r="H213" s="45"/>
      <c r="I213" s="45"/>
      <c r="J213" s="45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1"/>
    </row>
    <row r="214" spans="2:23" x14ac:dyDescent="0.25">
      <c r="B214" s="62"/>
      <c r="C214" s="45"/>
      <c r="D214" s="45"/>
      <c r="E214" s="45"/>
      <c r="F214" s="45"/>
      <c r="G214" s="45"/>
      <c r="H214" s="45"/>
      <c r="I214" s="45"/>
      <c r="J214" s="45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1"/>
    </row>
    <row r="215" spans="2:23" x14ac:dyDescent="0.25">
      <c r="B215" s="62"/>
      <c r="C215" s="45"/>
      <c r="D215" s="45"/>
      <c r="E215" s="45"/>
      <c r="F215" s="45"/>
      <c r="G215" s="45"/>
      <c r="H215" s="45"/>
      <c r="I215" s="45"/>
      <c r="J215" s="45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1"/>
    </row>
    <row r="216" spans="2:23" x14ac:dyDescent="0.25">
      <c r="B216" s="62"/>
      <c r="C216" s="45"/>
      <c r="D216" s="45"/>
      <c r="E216" s="45"/>
      <c r="F216" s="45"/>
      <c r="G216" s="45"/>
      <c r="H216" s="45"/>
      <c r="I216" s="45"/>
      <c r="J216" s="45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1"/>
    </row>
    <row r="217" spans="2:23" x14ac:dyDescent="0.25">
      <c r="B217" s="62"/>
      <c r="C217" s="45"/>
      <c r="D217" s="45"/>
      <c r="E217" s="45"/>
      <c r="F217" s="45"/>
      <c r="G217" s="45"/>
      <c r="H217" s="45"/>
      <c r="I217" s="45"/>
      <c r="J217" s="45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1"/>
    </row>
    <row r="218" spans="2:23" x14ac:dyDescent="0.25">
      <c r="B218" s="62"/>
      <c r="C218" s="45"/>
      <c r="D218" s="45"/>
      <c r="E218" s="45"/>
      <c r="F218" s="45"/>
      <c r="G218" s="45"/>
      <c r="H218" s="45"/>
      <c r="I218" s="45"/>
      <c r="J218" s="45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1"/>
    </row>
    <row r="219" spans="2:23" x14ac:dyDescent="0.25">
      <c r="B219" s="62"/>
      <c r="C219" s="45"/>
      <c r="D219" s="45"/>
      <c r="E219" s="45"/>
      <c r="F219" s="45"/>
      <c r="G219" s="45"/>
      <c r="H219" s="45"/>
      <c r="I219" s="45"/>
      <c r="J219" s="45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1"/>
    </row>
    <row r="220" spans="2:23" x14ac:dyDescent="0.25">
      <c r="B220" s="62"/>
      <c r="C220" s="45"/>
      <c r="D220" s="45"/>
      <c r="E220" s="45"/>
      <c r="F220" s="45"/>
      <c r="G220" s="45"/>
      <c r="H220" s="45"/>
      <c r="I220" s="45"/>
      <c r="J220" s="45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1"/>
    </row>
    <row r="221" spans="2:23" x14ac:dyDescent="0.25">
      <c r="B221" s="62"/>
      <c r="C221" s="45"/>
      <c r="D221" s="45"/>
      <c r="E221" s="45"/>
      <c r="F221" s="45"/>
      <c r="G221" s="45"/>
      <c r="H221" s="45"/>
      <c r="I221" s="45"/>
      <c r="J221" s="45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1"/>
    </row>
    <row r="222" spans="2:23" x14ac:dyDescent="0.25">
      <c r="B222" s="62"/>
      <c r="C222" s="45"/>
      <c r="D222" s="45"/>
      <c r="E222" s="45"/>
      <c r="F222" s="45"/>
      <c r="G222" s="45"/>
      <c r="H222" s="45"/>
      <c r="I222" s="45"/>
      <c r="J222" s="45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1"/>
    </row>
    <row r="223" spans="2:23" x14ac:dyDescent="0.25">
      <c r="B223" s="62"/>
      <c r="C223" s="45"/>
      <c r="D223" s="45"/>
      <c r="E223" s="45"/>
      <c r="F223" s="45"/>
      <c r="G223" s="45"/>
      <c r="H223" s="45"/>
      <c r="I223" s="45"/>
      <c r="J223" s="45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1"/>
    </row>
    <row r="224" spans="2:23" x14ac:dyDescent="0.25">
      <c r="B224" s="62"/>
      <c r="C224" s="45"/>
      <c r="D224" s="45"/>
      <c r="E224" s="45"/>
      <c r="F224" s="45"/>
      <c r="G224" s="45"/>
      <c r="H224" s="45"/>
      <c r="I224" s="45"/>
      <c r="J224" s="45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1"/>
    </row>
    <row r="225" spans="2:23" x14ac:dyDescent="0.25">
      <c r="B225" s="62"/>
      <c r="C225" s="45"/>
      <c r="D225" s="45"/>
      <c r="E225" s="45"/>
      <c r="F225" s="45"/>
      <c r="G225" s="45"/>
      <c r="H225" s="45"/>
      <c r="I225" s="45"/>
      <c r="J225" s="45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1"/>
    </row>
    <row r="226" spans="2:23" x14ac:dyDescent="0.25">
      <c r="B226" s="62"/>
      <c r="C226" s="45"/>
      <c r="D226" s="45"/>
      <c r="E226" s="45"/>
      <c r="F226" s="45"/>
      <c r="G226" s="45"/>
      <c r="H226" s="45"/>
      <c r="I226" s="45"/>
      <c r="J226" s="45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1"/>
    </row>
    <row r="227" spans="2:23" x14ac:dyDescent="0.25">
      <c r="B227" s="62"/>
      <c r="C227" s="45"/>
      <c r="D227" s="45"/>
      <c r="E227" s="45"/>
      <c r="F227" s="45"/>
      <c r="G227" s="45"/>
      <c r="H227" s="45"/>
      <c r="I227" s="45"/>
      <c r="J227" s="45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1"/>
    </row>
    <row r="228" spans="2:23" x14ac:dyDescent="0.25">
      <c r="B228" s="62"/>
      <c r="C228" s="45"/>
      <c r="D228" s="45"/>
      <c r="E228" s="45"/>
      <c r="F228" s="45"/>
      <c r="G228" s="45"/>
      <c r="H228" s="45"/>
      <c r="I228" s="45"/>
      <c r="J228" s="45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1"/>
    </row>
    <row r="229" spans="2:23" x14ac:dyDescent="0.25">
      <c r="B229" s="62"/>
      <c r="C229" s="45"/>
      <c r="D229" s="45"/>
      <c r="E229" s="45"/>
      <c r="F229" s="45"/>
      <c r="G229" s="45"/>
      <c r="H229" s="45"/>
      <c r="I229" s="45"/>
      <c r="J229" s="45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1"/>
    </row>
    <row r="230" spans="2:23" x14ac:dyDescent="0.25">
      <c r="B230" s="62"/>
      <c r="C230" s="45"/>
      <c r="D230" s="45"/>
      <c r="E230" s="45"/>
      <c r="F230" s="45"/>
      <c r="G230" s="45"/>
      <c r="H230" s="45"/>
      <c r="I230" s="45"/>
      <c r="J230" s="45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1"/>
    </row>
    <row r="231" spans="2:23" x14ac:dyDescent="0.25">
      <c r="B231" s="62"/>
      <c r="C231" s="45"/>
      <c r="D231" s="45"/>
      <c r="E231" s="45"/>
      <c r="F231" s="45"/>
      <c r="G231" s="45"/>
      <c r="H231" s="45"/>
      <c r="I231" s="45"/>
      <c r="J231" s="45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1"/>
    </row>
    <row r="232" spans="2:23" x14ac:dyDescent="0.25">
      <c r="B232" s="62"/>
      <c r="C232" s="45"/>
      <c r="D232" s="45"/>
      <c r="E232" s="45"/>
      <c r="F232" s="45"/>
      <c r="G232" s="45"/>
      <c r="H232" s="45"/>
      <c r="I232" s="45"/>
      <c r="J232" s="45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1"/>
    </row>
    <row r="233" spans="2:23" x14ac:dyDescent="0.25">
      <c r="B233" s="62"/>
      <c r="C233" s="45"/>
      <c r="D233" s="45"/>
      <c r="E233" s="45"/>
      <c r="F233" s="45"/>
      <c r="G233" s="45"/>
      <c r="H233" s="45"/>
      <c r="I233" s="45"/>
      <c r="J233" s="45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1"/>
    </row>
    <row r="234" spans="2:23" x14ac:dyDescent="0.25">
      <c r="B234" s="62"/>
      <c r="C234" s="45"/>
      <c r="D234" s="45"/>
      <c r="E234" s="45"/>
      <c r="F234" s="45"/>
      <c r="G234" s="45"/>
      <c r="H234" s="45"/>
      <c r="I234" s="45"/>
      <c r="J234" s="45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1"/>
    </row>
    <row r="235" spans="2:23" x14ac:dyDescent="0.25">
      <c r="B235" s="62"/>
      <c r="C235" s="45"/>
      <c r="D235" s="45"/>
      <c r="E235" s="45"/>
      <c r="F235" s="45"/>
      <c r="G235" s="45"/>
      <c r="H235" s="45"/>
      <c r="I235" s="45"/>
      <c r="J235" s="45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1"/>
    </row>
    <row r="236" spans="2:23" x14ac:dyDescent="0.25">
      <c r="B236" s="62"/>
      <c r="C236" s="45"/>
      <c r="D236" s="45"/>
      <c r="E236" s="45"/>
      <c r="F236" s="45"/>
      <c r="G236" s="45"/>
      <c r="H236" s="45"/>
      <c r="I236" s="45"/>
      <c r="J236" s="45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1"/>
    </row>
    <row r="237" spans="2:23" ht="15.75" thickBot="1" x14ac:dyDescent="0.3">
      <c r="B237" s="63"/>
      <c r="C237" s="64"/>
      <c r="D237" s="64"/>
      <c r="E237" s="64"/>
      <c r="F237" s="64"/>
      <c r="G237" s="64"/>
      <c r="H237" s="64"/>
      <c r="I237" s="64"/>
      <c r="J237" s="64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6"/>
    </row>
    <row r="238" spans="2:23" ht="15.75" thickBot="1" x14ac:dyDescent="0.3"/>
    <row r="239" spans="2:23" x14ac:dyDescent="0.25">
      <c r="B239" s="67"/>
      <c r="C239" s="68"/>
      <c r="D239" s="68"/>
      <c r="E239" s="68"/>
      <c r="F239" s="68"/>
      <c r="G239" s="68"/>
      <c r="H239" s="68"/>
      <c r="I239" s="68"/>
      <c r="J239" s="68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8"/>
    </row>
    <row r="240" spans="2:23" x14ac:dyDescent="0.25">
      <c r="B240" s="62"/>
      <c r="C240" s="45"/>
      <c r="D240" s="45"/>
      <c r="E240" s="45"/>
      <c r="F240" s="45"/>
      <c r="G240" s="45"/>
      <c r="H240" s="45"/>
      <c r="I240" s="45"/>
      <c r="J240" s="45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1"/>
    </row>
    <row r="241" spans="2:23" x14ac:dyDescent="0.25">
      <c r="B241" s="62"/>
      <c r="C241" s="45"/>
      <c r="D241" s="45"/>
      <c r="E241" s="45"/>
      <c r="F241" s="45"/>
      <c r="G241" s="45"/>
      <c r="H241" s="45"/>
      <c r="I241" s="45"/>
      <c r="J241" s="45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1"/>
    </row>
    <row r="242" spans="2:23" x14ac:dyDescent="0.25">
      <c r="B242" s="62"/>
      <c r="C242" s="45"/>
      <c r="D242" s="45"/>
      <c r="E242" s="45"/>
      <c r="F242" s="45"/>
      <c r="G242" s="45"/>
      <c r="H242" s="45"/>
      <c r="I242" s="45"/>
      <c r="J242" s="45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1"/>
    </row>
    <row r="243" spans="2:23" x14ac:dyDescent="0.25">
      <c r="B243" s="62"/>
      <c r="C243" s="45"/>
      <c r="D243" s="45"/>
      <c r="E243" s="45"/>
      <c r="F243" s="45"/>
      <c r="G243" s="45"/>
      <c r="H243" s="45"/>
      <c r="I243" s="45"/>
      <c r="J243" s="45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1"/>
    </row>
    <row r="244" spans="2:23" x14ac:dyDescent="0.25">
      <c r="B244" s="62"/>
      <c r="C244" s="45"/>
      <c r="D244" s="45"/>
      <c r="E244" s="45"/>
      <c r="F244" s="45"/>
      <c r="G244" s="45"/>
      <c r="H244" s="45"/>
      <c r="I244" s="45"/>
      <c r="J244" s="45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1"/>
    </row>
    <row r="245" spans="2:23" x14ac:dyDescent="0.25">
      <c r="B245" s="62"/>
      <c r="C245" s="45"/>
      <c r="D245" s="45"/>
      <c r="E245" s="45"/>
      <c r="F245" s="45"/>
      <c r="G245" s="45"/>
      <c r="H245" s="45"/>
      <c r="I245" s="45"/>
      <c r="J245" s="45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1"/>
    </row>
    <row r="246" spans="2:23" x14ac:dyDescent="0.25">
      <c r="B246" s="62"/>
      <c r="C246" s="45"/>
      <c r="D246" s="45"/>
      <c r="E246" s="45"/>
      <c r="F246" s="45"/>
      <c r="G246" s="45"/>
      <c r="H246" s="45"/>
      <c r="I246" s="45"/>
      <c r="J246" s="45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1"/>
    </row>
    <row r="247" spans="2:23" x14ac:dyDescent="0.25">
      <c r="B247" s="62"/>
      <c r="C247" s="45"/>
      <c r="D247" s="45"/>
      <c r="E247" s="45"/>
      <c r="F247" s="45"/>
      <c r="G247" s="45"/>
      <c r="H247" s="45"/>
      <c r="I247" s="45"/>
      <c r="J247" s="45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1"/>
    </row>
    <row r="248" spans="2:23" x14ac:dyDescent="0.25">
      <c r="B248" s="62"/>
      <c r="C248" s="45"/>
      <c r="D248" s="45"/>
      <c r="E248" s="45"/>
      <c r="F248" s="45"/>
      <c r="G248" s="45"/>
      <c r="H248" s="45"/>
      <c r="I248" s="45"/>
      <c r="J248" s="45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1"/>
    </row>
    <row r="249" spans="2:23" x14ac:dyDescent="0.25">
      <c r="B249" s="62"/>
      <c r="C249" s="45"/>
      <c r="D249" s="45"/>
      <c r="E249" s="45"/>
      <c r="F249" s="45"/>
      <c r="G249" s="45"/>
      <c r="H249" s="45"/>
      <c r="I249" s="45"/>
      <c r="J249" s="45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1"/>
    </row>
    <row r="250" spans="2:23" x14ac:dyDescent="0.25">
      <c r="B250" s="62"/>
      <c r="C250" s="45"/>
      <c r="D250" s="45"/>
      <c r="E250" s="45"/>
      <c r="F250" s="45"/>
      <c r="G250" s="45"/>
      <c r="H250" s="45"/>
      <c r="I250" s="45"/>
      <c r="J250" s="45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1"/>
    </row>
    <row r="251" spans="2:23" x14ac:dyDescent="0.25">
      <c r="B251" s="62"/>
      <c r="C251" s="45"/>
      <c r="D251" s="45"/>
      <c r="E251" s="45"/>
      <c r="F251" s="45"/>
      <c r="G251" s="45"/>
      <c r="H251" s="45"/>
      <c r="I251" s="45"/>
      <c r="J251" s="45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1"/>
    </row>
    <row r="252" spans="2:23" x14ac:dyDescent="0.25">
      <c r="B252" s="62"/>
      <c r="C252" s="45"/>
      <c r="D252" s="45"/>
      <c r="E252" s="45"/>
      <c r="F252" s="45"/>
      <c r="G252" s="45"/>
      <c r="H252" s="45"/>
      <c r="I252" s="45"/>
      <c r="J252" s="45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1"/>
    </row>
    <row r="253" spans="2:23" x14ac:dyDescent="0.25">
      <c r="B253" s="62"/>
      <c r="C253" s="45"/>
      <c r="D253" s="45"/>
      <c r="E253" s="45"/>
      <c r="F253" s="45"/>
      <c r="G253" s="45"/>
      <c r="H253" s="45"/>
      <c r="I253" s="45"/>
      <c r="J253" s="45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1"/>
    </row>
    <row r="254" spans="2:23" x14ac:dyDescent="0.25">
      <c r="B254" s="62"/>
      <c r="C254" s="45"/>
      <c r="D254" s="45"/>
      <c r="E254" s="45"/>
      <c r="F254" s="45"/>
      <c r="G254" s="45"/>
      <c r="H254" s="45"/>
      <c r="I254" s="45"/>
      <c r="J254" s="45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1"/>
    </row>
    <row r="255" spans="2:23" x14ac:dyDescent="0.25">
      <c r="B255" s="62"/>
      <c r="C255" s="45"/>
      <c r="D255" s="45"/>
      <c r="E255" s="45"/>
      <c r="F255" s="45"/>
      <c r="G255" s="45"/>
      <c r="H255" s="45"/>
      <c r="I255" s="45"/>
      <c r="J255" s="45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1"/>
    </row>
    <row r="256" spans="2:23" x14ac:dyDescent="0.25">
      <c r="B256" s="62"/>
      <c r="C256" s="45"/>
      <c r="D256" s="45"/>
      <c r="E256" s="45"/>
      <c r="F256" s="45"/>
      <c r="G256" s="45"/>
      <c r="H256" s="45"/>
      <c r="I256" s="45"/>
      <c r="J256" s="45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1"/>
    </row>
    <row r="257" spans="2:23" x14ac:dyDescent="0.25">
      <c r="B257" s="62"/>
      <c r="C257" s="45"/>
      <c r="D257" s="45"/>
      <c r="E257" s="45"/>
      <c r="F257" s="45"/>
      <c r="G257" s="45"/>
      <c r="H257" s="45"/>
      <c r="I257" s="45"/>
      <c r="J257" s="45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1"/>
    </row>
    <row r="258" spans="2:23" x14ac:dyDescent="0.25">
      <c r="B258" s="62"/>
      <c r="C258" s="45"/>
      <c r="D258" s="45"/>
      <c r="E258" s="45"/>
      <c r="F258" s="45"/>
      <c r="G258" s="45"/>
      <c r="H258" s="45"/>
      <c r="I258" s="45"/>
      <c r="J258" s="45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1"/>
    </row>
    <row r="259" spans="2:23" x14ac:dyDescent="0.25">
      <c r="B259" s="62"/>
      <c r="C259" s="45"/>
      <c r="D259" s="45"/>
      <c r="E259" s="45"/>
      <c r="F259" s="45"/>
      <c r="G259" s="45"/>
      <c r="H259" s="45"/>
      <c r="I259" s="45"/>
      <c r="J259" s="45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1"/>
    </row>
    <row r="260" spans="2:23" x14ac:dyDescent="0.25">
      <c r="B260" s="62"/>
      <c r="C260" s="45"/>
      <c r="D260" s="45"/>
      <c r="E260" s="45"/>
      <c r="F260" s="45"/>
      <c r="G260" s="45"/>
      <c r="H260" s="45"/>
      <c r="I260" s="45"/>
      <c r="J260" s="45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1"/>
    </row>
    <row r="261" spans="2:23" x14ac:dyDescent="0.25">
      <c r="B261" s="62"/>
      <c r="C261" s="45"/>
      <c r="D261" s="45"/>
      <c r="E261" s="45"/>
      <c r="F261" s="45"/>
      <c r="G261" s="45"/>
      <c r="H261" s="45"/>
      <c r="I261" s="45"/>
      <c r="J261" s="45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1"/>
    </row>
    <row r="262" spans="2:23" x14ac:dyDescent="0.25">
      <c r="B262" s="62"/>
      <c r="C262" s="45"/>
      <c r="D262" s="45"/>
      <c r="E262" s="45"/>
      <c r="F262" s="45"/>
      <c r="G262" s="45"/>
      <c r="H262" s="45"/>
      <c r="I262" s="45"/>
      <c r="J262" s="45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1"/>
    </row>
    <row r="263" spans="2:23" x14ac:dyDescent="0.25">
      <c r="B263" s="62"/>
      <c r="C263" s="45"/>
      <c r="D263" s="45"/>
      <c r="E263" s="45"/>
      <c r="F263" s="45"/>
      <c r="G263" s="45"/>
      <c r="H263" s="45"/>
      <c r="I263" s="45"/>
      <c r="J263" s="45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1"/>
    </row>
    <row r="264" spans="2:23" x14ac:dyDescent="0.25">
      <c r="B264" s="62"/>
      <c r="C264" s="45"/>
      <c r="D264" s="45"/>
      <c r="E264" s="45"/>
      <c r="F264" s="45"/>
      <c r="G264" s="45"/>
      <c r="H264" s="45"/>
      <c r="I264" s="45"/>
      <c r="J264" s="45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1"/>
    </row>
    <row r="265" spans="2:23" x14ac:dyDescent="0.25">
      <c r="B265" s="62"/>
      <c r="C265" s="45"/>
      <c r="D265" s="45"/>
      <c r="E265" s="45"/>
      <c r="F265" s="45"/>
      <c r="G265" s="45"/>
      <c r="H265" s="45"/>
      <c r="I265" s="45"/>
      <c r="J265" s="45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1"/>
    </row>
    <row r="266" spans="2:23" x14ac:dyDescent="0.25">
      <c r="B266" s="62"/>
      <c r="C266" s="45"/>
      <c r="D266" s="45"/>
      <c r="E266" s="45"/>
      <c r="F266" s="45"/>
      <c r="G266" s="45"/>
      <c r="H266" s="45"/>
      <c r="I266" s="45"/>
      <c r="J266" s="45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1"/>
    </row>
    <row r="267" spans="2:23" x14ac:dyDescent="0.25">
      <c r="B267" s="62"/>
      <c r="C267" s="45"/>
      <c r="D267" s="45"/>
      <c r="E267" s="45"/>
      <c r="F267" s="45"/>
      <c r="G267" s="45"/>
      <c r="H267" s="45"/>
      <c r="I267" s="45"/>
      <c r="J267" s="45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1"/>
    </row>
    <row r="268" spans="2:23" x14ac:dyDescent="0.25">
      <c r="B268" s="62"/>
      <c r="C268" s="45"/>
      <c r="D268" s="45"/>
      <c r="E268" s="45"/>
      <c r="F268" s="45"/>
      <c r="G268" s="45"/>
      <c r="H268" s="45"/>
      <c r="I268" s="45"/>
      <c r="J268" s="45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1"/>
    </row>
    <row r="269" spans="2:23" ht="15.75" thickBot="1" x14ac:dyDescent="0.3">
      <c r="B269" s="63"/>
      <c r="C269" s="64"/>
      <c r="D269" s="64"/>
      <c r="E269" s="64"/>
      <c r="F269" s="64"/>
      <c r="G269" s="64"/>
      <c r="H269" s="64"/>
      <c r="I269" s="64"/>
      <c r="J269" s="64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6"/>
    </row>
  </sheetData>
  <mergeCells count="18">
    <mergeCell ref="G2:G3"/>
    <mergeCell ref="G12:G13"/>
    <mergeCell ref="H2:H3"/>
    <mergeCell ref="H12:H13"/>
    <mergeCell ref="J2:J3"/>
    <mergeCell ref="J12:J13"/>
    <mergeCell ref="I2:I3"/>
    <mergeCell ref="I12:I13"/>
    <mergeCell ref="B12:B13"/>
    <mergeCell ref="B2:B3"/>
    <mergeCell ref="C2:C3"/>
    <mergeCell ref="C12:C13"/>
    <mergeCell ref="F2:F3"/>
    <mergeCell ref="F12:F13"/>
    <mergeCell ref="E2:E3"/>
    <mergeCell ref="E12:E13"/>
    <mergeCell ref="D2:D3"/>
    <mergeCell ref="D12:D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5"/>
  <sheetViews>
    <sheetView showGridLines="0" topLeftCell="A28" workbookViewId="0">
      <selection activeCell="T11" sqref="T11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54"/>
    </row>
    <row r="2" spans="1:17" ht="15" customHeight="1" x14ac:dyDescent="0.25">
      <c r="B2" s="133" t="s">
        <v>52</v>
      </c>
      <c r="C2" s="135" t="s">
        <v>41</v>
      </c>
      <c r="D2" s="135" t="s">
        <v>48</v>
      </c>
      <c r="E2" s="135" t="s">
        <v>42</v>
      </c>
      <c r="F2" s="135" t="s">
        <v>43</v>
      </c>
      <c r="G2" s="133" t="s">
        <v>45</v>
      </c>
      <c r="H2" s="174"/>
      <c r="I2" s="174"/>
      <c r="J2" s="174"/>
    </row>
    <row r="3" spans="1:17" ht="15.75" customHeight="1" thickBot="1" x14ac:dyDescent="0.3">
      <c r="B3" s="134"/>
      <c r="C3" s="136"/>
      <c r="D3" s="136"/>
      <c r="E3" s="136"/>
      <c r="F3" s="136"/>
      <c r="G3" s="134"/>
      <c r="H3" s="174"/>
      <c r="I3" s="174"/>
      <c r="J3" s="174"/>
    </row>
    <row r="4" spans="1:17" ht="15.75" customHeight="1" x14ac:dyDescent="0.25">
      <c r="A4" s="48"/>
      <c r="B4" s="37" t="s">
        <v>408</v>
      </c>
      <c r="C4" s="42">
        <f>SUM(SUMIF('Raw Data'!$C$5:$C$500,$B4, 'Raw Data'!$I$5:$KI$500))</f>
        <v>1819392.9855982701</v>
      </c>
      <c r="D4" s="69">
        <f>SUM(COUNTIF('Raw Data'!$C$5:$C$500,$B4))</f>
        <v>134</v>
      </c>
      <c r="E4" s="42">
        <f>SUM(SUMIF('Raw Data'!$C$5:$C$500,$B4, 'Raw Data'!$I$5:$I$500))/SUM(COUNTIF('Raw Data'!$C$5:$C$500,$B4))</f>
        <v>13577.559594016941</v>
      </c>
      <c r="F4" s="51">
        <f>SUM(SUMIF('Raw Data'!$C$5:$C$500,$B4, 'Raw Data'!$K$5:$K$500))/SUM(COUNTIF('Raw Data'!$C$5:$C$500,$B4))</f>
        <v>0.50953526519121795</v>
      </c>
      <c r="G4" s="42">
        <f>SUM(SUMIF('Raw Data'!$C$5:$C$500,$B4, 'Raw Data'!$N$5:$N$500))/SUM(COUNTIF('Raw Data'!$C$5:$C$500,$B4))</f>
        <v>379.1596796834919</v>
      </c>
      <c r="H4" s="71"/>
      <c r="I4" s="70"/>
      <c r="J4" s="70"/>
    </row>
    <row r="5" spans="1:17" ht="15.75" customHeight="1" x14ac:dyDescent="0.25">
      <c r="A5" s="48"/>
      <c r="B5" s="32" t="s">
        <v>393</v>
      </c>
      <c r="C5" s="42">
        <f>SUM(SUMIF('Raw Data'!$C$5:$C$500,$B5, 'Raw Data'!$I$5:$KI$500))</f>
        <v>11681.938834391231</v>
      </c>
      <c r="D5" s="69">
        <f>SUM(COUNTIF('Raw Data'!$C$5:$C$500,$B5))</f>
        <v>1</v>
      </c>
      <c r="E5" s="42">
        <f>SUM(SUMIF('Raw Data'!$C$5:$C$500,$B5, 'Raw Data'!$I$5:$I$500))/SUM(COUNTIF('Raw Data'!$C$5:$C$500,$B5))</f>
        <v>11681.938834391231</v>
      </c>
      <c r="F5" s="51">
        <f>SUM(SUMIF('Raw Data'!$C$5:$C$500,$B5, 'Raw Data'!$K$5:$K$500))/SUM(COUNTIF('Raw Data'!$C$5:$C$500,$B5))</f>
        <v>0.19201597150873323</v>
      </c>
      <c r="G5" s="42">
        <f>SUM(SUMIF('Raw Data'!$C$5:$C$500,$B5, 'Raw Data'!$N$5:$N$500))/SUM(COUNTIF('Raw Data'!$C$5:$C$500,$B5))</f>
        <v>-3232.6</v>
      </c>
      <c r="H5" s="71"/>
      <c r="I5" s="70"/>
      <c r="J5" s="70"/>
    </row>
    <row r="6" spans="1:17" ht="15.75" customHeight="1" x14ac:dyDescent="0.25">
      <c r="A6" s="48"/>
      <c r="B6" s="32" t="s">
        <v>409</v>
      </c>
      <c r="C6" s="42">
        <f>SUM(SUMIF('Raw Data'!$C$5:$C$500,$B6, 'Raw Data'!$I$5:$KI$500))</f>
        <v>21205.840484530065</v>
      </c>
      <c r="D6" s="69">
        <f>SUM(COUNTIF('Raw Data'!$C$5:$C$500,$B6))</f>
        <v>3</v>
      </c>
      <c r="E6" s="42">
        <f>SUM(SUMIF('Raw Data'!$C$5:$C$500,$B6, 'Raw Data'!$I$5:$I$500))/SUM(COUNTIF('Raw Data'!$C$5:$C$500,$B6))</f>
        <v>7068.6134948433546</v>
      </c>
      <c r="F6" s="51">
        <f>SUM(SUMIF('Raw Data'!$C$5:$C$500,$B6, 'Raw Data'!$K$5:$K$500))/SUM(COUNTIF('Raw Data'!$C$5:$C$500,$B6))</f>
        <v>0.50645457800873139</v>
      </c>
      <c r="G6" s="42">
        <f>SUM(SUMIF('Raw Data'!$C$5:$C$500,$B6, 'Raw Data'!$N$5:$N$500))/SUM(COUNTIF('Raw Data'!$C$5:$C$500,$B6))</f>
        <v>614.62516151002239</v>
      </c>
      <c r="H6" s="71"/>
      <c r="I6" s="70"/>
      <c r="J6" s="70"/>
    </row>
    <row r="7" spans="1:17" ht="15.75" customHeight="1" x14ac:dyDescent="0.25">
      <c r="A7" s="48"/>
      <c r="B7" s="32" t="s">
        <v>201</v>
      </c>
      <c r="C7" s="42">
        <f>SUM(SUMIF('Raw Data'!$C$5:$C$500,$B7, 'Raw Data'!$I$5:$KI$500))</f>
        <v>12438.325343731947</v>
      </c>
      <c r="D7" s="69">
        <f>SUM(COUNTIF('Raw Data'!$C$5:$C$500,$B7))</f>
        <v>2</v>
      </c>
      <c r="E7" s="42">
        <f>SUM(SUMIF('Raw Data'!$C$5:$C$500,$B7, 'Raw Data'!$I$5:$I$500))/SUM(COUNTIF('Raw Data'!$C$5:$C$500,$B7))</f>
        <v>6219.1626718659736</v>
      </c>
      <c r="F7" s="51">
        <f>SUM(SUMIF('Raw Data'!$C$5:$C$500,$B7, 'Raw Data'!$K$5:$K$500))/SUM(COUNTIF('Raw Data'!$C$5:$C$500,$B7))</f>
        <v>0.51231757889423524</v>
      </c>
      <c r="G7" s="42">
        <f>SUM(SUMIF('Raw Data'!$C$5:$C$500,$B7, 'Raw Data'!$N$5:$N$500))/SUM(COUNTIF('Raw Data'!$C$5:$C$500,$B7))</f>
        <v>-115.48732813402557</v>
      </c>
      <c r="H7" s="71"/>
      <c r="I7" s="70"/>
      <c r="J7" s="70"/>
    </row>
    <row r="8" spans="1:17" ht="15.75" customHeight="1" x14ac:dyDescent="0.25">
      <c r="A8" s="48"/>
      <c r="B8" s="31" t="s">
        <v>184</v>
      </c>
      <c r="C8" s="42">
        <f>SUM(SUMIF('Raw Data'!$C$5:$C$500,$B8, 'Raw Data'!$I$5:$KI$500))</f>
        <v>24332.358104154475</v>
      </c>
      <c r="D8" s="69">
        <f>SUM(COUNTIF('Raw Data'!$C$5:$C$500,$B8))</f>
        <v>1</v>
      </c>
      <c r="E8" s="42">
        <f>SUM(SUMIF('Raw Data'!$C$5:$C$500,$B8, 'Raw Data'!$I$5:$I$500))/SUM(COUNTIF('Raw Data'!$C$5:$C$500,$B8))</f>
        <v>24332.358104154475</v>
      </c>
      <c r="F8" s="51">
        <f>SUM(SUMIF('Raw Data'!$C$5:$C$500,$B8, 'Raw Data'!$K$5:$K$500))/SUM(COUNTIF('Raw Data'!$C$5:$C$500,$B8))</f>
        <v>0.60957503751442865</v>
      </c>
      <c r="G8" s="42">
        <f>SUM(SUMIF('Raw Data'!$C$5:$C$500,$B8, 'Raw Data'!$N$5:$N$500))/SUM(COUNTIF('Raw Data'!$C$5:$C$500,$B8))</f>
        <v>1172.8581041544785</v>
      </c>
      <c r="H8" s="71"/>
      <c r="I8" s="70"/>
      <c r="J8" s="70"/>
    </row>
    <row r="9" spans="1:17" ht="15.75" customHeight="1" x14ac:dyDescent="0.25">
      <c r="A9" s="48"/>
      <c r="B9" s="32" t="s">
        <v>192</v>
      </c>
      <c r="C9" s="42">
        <f>SUM(SUMIF('Raw Data'!$C$5:$C$500,$B9, 'Raw Data'!$I$5:$KI$500))</f>
        <v>48875.332177931836</v>
      </c>
      <c r="D9" s="69">
        <f>SUM(COUNTIF('Raw Data'!$C$5:$C$500,$B9))</f>
        <v>3</v>
      </c>
      <c r="E9" s="42">
        <f>SUM(SUMIF('Raw Data'!$C$5:$C$500,$B9, 'Raw Data'!$I$5:$I$500))/SUM(COUNTIF('Raw Data'!$C$5:$C$500,$B9))</f>
        <v>16291.777392643946</v>
      </c>
      <c r="F9" s="51">
        <f>SUM(SUMIF('Raw Data'!$C$5:$C$500,$B9, 'Raw Data'!$K$5:$K$500))/SUM(COUNTIF('Raw Data'!$C$5:$C$500,$B9))</f>
        <v>0.5226804296594505</v>
      </c>
      <c r="G9" s="42">
        <f>SUM(SUMIF('Raw Data'!$C$5:$C$500,$B9, 'Raw Data'!$N$5:$N$500))/SUM(COUNTIF('Raw Data'!$C$5:$C$500,$B9))</f>
        <v>2323.8273926439456</v>
      </c>
      <c r="H9" s="71"/>
      <c r="I9" s="70"/>
      <c r="J9" s="70"/>
      <c r="Q9" s="6"/>
    </row>
    <row r="10" spans="1:17" ht="15.75" customHeight="1" x14ac:dyDescent="0.25">
      <c r="A10" s="48"/>
      <c r="B10" s="31" t="s">
        <v>125</v>
      </c>
      <c r="C10" s="42">
        <f>SUM(SUMIF('Raw Data'!$C$5:$C$500,$B10, 'Raw Data'!$I$5:$KI$500))</f>
        <v>70846.567212829264</v>
      </c>
      <c r="D10" s="69">
        <f>SUM(COUNTIF('Raw Data'!$C$5:$C$500,$B10))</f>
        <v>4</v>
      </c>
      <c r="E10" s="42">
        <f>SUM(SUMIF('Raw Data'!$C$5:$C$500,$B10, 'Raw Data'!$I$5:$I$500))/SUM(COUNTIF('Raw Data'!$C$5:$C$500,$B10))</f>
        <v>17711.641803207316</v>
      </c>
      <c r="F10" s="51">
        <f>SUM(SUMIF('Raw Data'!$C$5:$C$500,$B10, 'Raw Data'!$K$5:$K$500))/SUM(COUNTIF('Raw Data'!$C$5:$C$500,$B10))</f>
        <v>0.48310496639052014</v>
      </c>
      <c r="G10" s="42">
        <f>SUM(SUMIF('Raw Data'!$C$5:$C$500,$B10, 'Raw Data'!$N$5:$N$500))/SUM(COUNTIF('Raw Data'!$C$5:$C$500,$B10))</f>
        <v>250.53746310284487</v>
      </c>
      <c r="H10" s="71"/>
      <c r="I10" s="70"/>
      <c r="J10" s="70"/>
    </row>
    <row r="11" spans="1:17" ht="15.75" customHeight="1" x14ac:dyDescent="0.25">
      <c r="A11" s="48"/>
      <c r="B11" s="32" t="s">
        <v>264</v>
      </c>
      <c r="C11" s="42">
        <f>SUM(SUMIF('Raw Data'!$C$5:$C$500,$B11, 'Raw Data'!$I$5:$KI$500))</f>
        <v>38628.843573792823</v>
      </c>
      <c r="D11" s="69">
        <f>SUM(COUNTIF('Raw Data'!$C$5:$C$500,$B11))</f>
        <v>3</v>
      </c>
      <c r="E11" s="42">
        <f>SUM(SUMIF('Raw Data'!$C$5:$C$500,$B11, 'Raw Data'!$I$5:$I$500))/SUM(COUNTIF('Raw Data'!$C$5:$C$500,$B11))</f>
        <v>12876.281191264274</v>
      </c>
      <c r="F11" s="51">
        <f>SUM(SUMIF('Raw Data'!$C$5:$C$500,$B11, 'Raw Data'!$K$5:$K$500))/SUM(COUNTIF('Raw Data'!$C$5:$C$500,$B11))</f>
        <v>0.63080381140242936</v>
      </c>
      <c r="G11" s="42">
        <f>SUM(SUMIF('Raw Data'!$C$5:$C$500,$B11, 'Raw Data'!$N$5:$N$500))/SUM(COUNTIF('Raw Data'!$C$5:$C$500,$B11))</f>
        <v>898.46452459760951</v>
      </c>
      <c r="H11" s="71"/>
      <c r="I11" s="70"/>
      <c r="J11" s="70"/>
    </row>
    <row r="12" spans="1:17" ht="15.75" customHeight="1" x14ac:dyDescent="0.25">
      <c r="A12" s="48"/>
      <c r="B12" s="31" t="s">
        <v>272</v>
      </c>
      <c r="C12" s="42">
        <f>SUM(SUMIF('Raw Data'!$C$5:$C$500,$B12, 'Raw Data'!$I$5:$KI$500))</f>
        <v>0</v>
      </c>
      <c r="D12" s="69">
        <f>SUM(COUNTIF('Raw Data'!$C$5:$C$500,$B12))</f>
        <v>0</v>
      </c>
      <c r="E12" s="42" t="e">
        <f>SUM(SUMIF('Raw Data'!$C$5:$C$500,$B12, 'Raw Data'!$I$5:$I$500))/SUM(COUNTIF('Raw Data'!$C$5:$C$500,$B12))</f>
        <v>#DIV/0!</v>
      </c>
      <c r="F12" s="51" t="e">
        <f>SUM(SUMIF('Raw Data'!$C$5:$C$500,$B12, 'Raw Data'!$K$5:$K$500))/SUM(COUNTIF('Raw Data'!$C$5:$C$500,$B12))</f>
        <v>#DIV/0!</v>
      </c>
      <c r="G12" s="42" t="e">
        <f>SUM(SUMIF('Raw Data'!$C$5:$C$500,$B12, 'Raw Data'!$N$5:$N$500))/SUM(COUNTIF('Raw Data'!$C$5:$C$500,$B12))</f>
        <v>#DIV/0!</v>
      </c>
      <c r="H12" s="71"/>
      <c r="I12" s="70"/>
      <c r="J12" s="70"/>
    </row>
    <row r="13" spans="1:17" ht="15.75" customHeight="1" x14ac:dyDescent="0.25">
      <c r="A13" s="48"/>
      <c r="B13" s="32" t="s">
        <v>110</v>
      </c>
      <c r="C13" s="42">
        <f>SUM(SUMIF('Raw Data'!$C$5:$C$500,$B13, 'Raw Data'!$I$5:$KI$500))</f>
        <v>37638.122625815726</v>
      </c>
      <c r="D13" s="69">
        <f>SUM(COUNTIF('Raw Data'!$C$5:$C$500,$B13))</f>
        <v>2</v>
      </c>
      <c r="E13" s="42">
        <f>SUM(SUMIF('Raw Data'!$C$5:$C$500,$B13, 'Raw Data'!$I$5:$I$500))/SUM(COUNTIF('Raw Data'!$C$5:$C$500,$B13))</f>
        <v>18819.061312907863</v>
      </c>
      <c r="F13" s="51">
        <f>SUM(SUMIF('Raw Data'!$C$5:$C$500,$B13, 'Raw Data'!$K$5:$K$500))/SUM(COUNTIF('Raw Data'!$C$5:$C$500,$B13))</f>
        <v>0.59835551798297115</v>
      </c>
      <c r="G13" s="42">
        <f>SUM(SUMIF('Raw Data'!$C$5:$C$500,$B13, 'Raw Data'!$N$5:$N$500))/SUM(COUNTIF('Raw Data'!$C$5:$C$500,$B13))</f>
        <v>1680.7163129078608</v>
      </c>
      <c r="H13" s="71"/>
      <c r="I13" s="70"/>
      <c r="J13" s="70"/>
      <c r="Q13" s="6"/>
    </row>
    <row r="14" spans="1:17" ht="15.75" customHeight="1" x14ac:dyDescent="0.25">
      <c r="A14" s="48"/>
      <c r="B14" s="31" t="s">
        <v>368</v>
      </c>
      <c r="C14" s="42">
        <f>SUM(SUMIF('Raw Data'!$C$5:$C$500,$B14, 'Raw Data'!$I$5:$KI$500))</f>
        <v>23493.38</v>
      </c>
      <c r="D14" s="69">
        <f>SUM(COUNTIF('Raw Data'!$C$5:$C$500,$B14))</f>
        <v>1</v>
      </c>
      <c r="E14" s="42">
        <f>SUM(SUMIF('Raw Data'!$C$5:$C$500,$B14, 'Raw Data'!$I$5:$I$500))/SUM(COUNTIF('Raw Data'!$C$5:$C$500,$B14))</f>
        <v>23493.38</v>
      </c>
      <c r="F14" s="51">
        <f>SUM(SUMIF('Raw Data'!$C$5:$C$500,$B14, 'Raw Data'!$K$5:$K$500))/SUM(COUNTIF('Raw Data'!$C$5:$C$500,$B14))</f>
        <v>0.25351567122312763</v>
      </c>
      <c r="G14" s="42">
        <f>SUM(SUMIF('Raw Data'!$C$5:$C$500,$B14, 'Raw Data'!$N$5:$N$500))/SUM(COUNTIF('Raw Data'!$C$5:$C$500,$B14))</f>
        <v>-3117.07</v>
      </c>
      <c r="H14" s="71"/>
      <c r="I14" s="70"/>
      <c r="J14" s="70"/>
    </row>
    <row r="15" spans="1:17" ht="15.75" customHeight="1" x14ac:dyDescent="0.25">
      <c r="A15" s="48"/>
      <c r="B15" s="32" t="s">
        <v>198</v>
      </c>
      <c r="C15" s="42">
        <f>SUM(SUMIF('Raw Data'!$C$5:$C$500,$B15, 'Raw Data'!$I$5:$KI$500))</f>
        <v>99102.236458940009</v>
      </c>
      <c r="D15" s="69">
        <f>SUM(COUNTIF('Raw Data'!$C$5:$C$500,$B15))</f>
        <v>3</v>
      </c>
      <c r="E15" s="42">
        <f>SUM(SUMIF('Raw Data'!$C$5:$C$500,$B15, 'Raw Data'!$I$5:$I$500))/SUM(COUNTIF('Raw Data'!$C$5:$C$500,$B15))</f>
        <v>33034.078819646667</v>
      </c>
      <c r="F15" s="51">
        <f>SUM(SUMIF('Raw Data'!$C$5:$C$500,$B15, 'Raw Data'!$K$5:$K$500))/SUM(COUNTIF('Raw Data'!$C$5:$C$500,$B15))</f>
        <v>0.53807130263962211</v>
      </c>
      <c r="G15" s="42">
        <f>SUM(SUMIF('Raw Data'!$C$5:$C$500,$B15, 'Raw Data'!$N$5:$N$500))/SUM(COUNTIF('Raw Data'!$C$5:$C$500,$B15))</f>
        <v>553.1338196466686</v>
      </c>
      <c r="H15" s="71"/>
      <c r="I15" s="70"/>
      <c r="J15" s="70"/>
    </row>
    <row r="16" spans="1:17" ht="15.75" customHeight="1" x14ac:dyDescent="0.25">
      <c r="A16" s="48"/>
      <c r="B16" s="32" t="s">
        <v>162</v>
      </c>
      <c r="C16" s="42">
        <f>SUM(SUMIF('Raw Data'!$C$5:$C$500,$B16, 'Raw Data'!$I$5:$KI$500))</f>
        <v>214950.61592266391</v>
      </c>
      <c r="D16" s="69">
        <f>SUM(COUNTIF('Raw Data'!$C$5:$C$500,$B16))</f>
        <v>13</v>
      </c>
      <c r="E16" s="42">
        <f>SUM(SUMIF('Raw Data'!$C$5:$C$500,$B16, 'Raw Data'!$I$5:$I$500))/SUM(COUNTIF('Raw Data'!$C$5:$C$500,$B16))</f>
        <v>16534.662763281838</v>
      </c>
      <c r="F16" s="51">
        <f>SUM(SUMIF('Raw Data'!$C$5:$C$500,$B16, 'Raw Data'!$K$5:$K$500))/SUM(COUNTIF('Raw Data'!$C$5:$C$500,$B16))</f>
        <v>0.46822438595706772</v>
      </c>
      <c r="G16" s="42">
        <f>SUM(SUMIF('Raw Data'!$C$5:$C$500,$B16, 'Raw Data'!$N$5:$N$500))/SUM(COUNTIF('Raw Data'!$C$5:$C$500,$B16))</f>
        <v>1369.7133181490062</v>
      </c>
      <c r="H16" s="71"/>
      <c r="I16" s="70"/>
      <c r="J16" s="70"/>
    </row>
    <row r="17" spans="1:23" ht="15.75" customHeight="1" x14ac:dyDescent="0.25">
      <c r="A17" s="48"/>
      <c r="B17" s="32" t="s">
        <v>410</v>
      </c>
      <c r="C17" s="42">
        <f>SUM(SUMIF('Raw Data'!$C$5:$C$500,$B17, 'Raw Data'!$I$5:$KI$500))</f>
        <v>5380</v>
      </c>
      <c r="D17" s="69">
        <f>SUM(COUNTIF('Raw Data'!$C$5:$C$500,$B17))</f>
        <v>1</v>
      </c>
      <c r="E17" s="42">
        <f>SUM(SUMIF('Raw Data'!$C$5:$C$500,$B17, 'Raw Data'!$I$5:$I$500))/SUM(COUNTIF('Raw Data'!$C$5:$C$500,$B17))</f>
        <v>5380</v>
      </c>
      <c r="F17" s="51">
        <f>SUM(SUMIF('Raw Data'!$C$5:$C$500,$B17, 'Raw Data'!$K$5:$K$500))/SUM(COUNTIF('Raw Data'!$C$5:$C$500,$B17))</f>
        <v>0.10846468401486987</v>
      </c>
      <c r="G17" s="42">
        <f>SUM(SUMIF('Raw Data'!$C$5:$C$500,$B17, 'Raw Data'!$N$5:$N$500))/SUM(COUNTIF('Raw Data'!$C$5:$C$500,$B17))</f>
        <v>0</v>
      </c>
      <c r="H17" s="71"/>
      <c r="I17" s="70"/>
      <c r="J17" s="70"/>
    </row>
    <row r="18" spans="1:23" ht="15.75" customHeight="1" x14ac:dyDescent="0.25">
      <c r="A18" s="48"/>
      <c r="B18" s="31" t="s">
        <v>105</v>
      </c>
      <c r="C18" s="42">
        <f>SUM(SUMIF('Raw Data'!$C$5:$C$500,$B18, 'Raw Data'!$I$5:$KI$500))</f>
        <v>30118.088235294119</v>
      </c>
      <c r="D18" s="69">
        <f>SUM(COUNTIF('Raw Data'!$C$5:$C$500,$B18))</f>
        <v>3</v>
      </c>
      <c r="E18" s="42">
        <f>SUM(SUMIF('Raw Data'!$C$5:$C$500,$B18, 'Raw Data'!$I$5:$I$500))/SUM(COUNTIF('Raw Data'!$C$5:$C$500,$B18))</f>
        <v>10039.36274509804</v>
      </c>
      <c r="F18" s="51">
        <f>SUM(SUMIF('Raw Data'!$C$5:$C$500,$B18, 'Raw Data'!$K$5:$K$500))/SUM(COUNTIF('Raw Data'!$C$5:$C$500,$B18))</f>
        <v>0.48289231801174576</v>
      </c>
      <c r="G18" s="42">
        <f>SUM(SUMIF('Raw Data'!$C$5:$C$500,$B18, 'Raw Data'!$N$5:$N$500))/SUM(COUNTIF('Raw Data'!$C$5:$C$500,$B18))</f>
        <v>213.81658823529415</v>
      </c>
      <c r="H18" s="71"/>
      <c r="I18" s="70"/>
      <c r="J18" s="70"/>
    </row>
    <row r="19" spans="1:23" ht="15.75" customHeight="1" x14ac:dyDescent="0.25">
      <c r="A19" s="48"/>
      <c r="B19" s="32" t="s">
        <v>275</v>
      </c>
      <c r="C19" s="42">
        <f>SUM(SUMIF('Raw Data'!$C$5:$C$500,$B19, 'Raw Data'!$I$5:$KI$500))</f>
        <v>29521.797752808987</v>
      </c>
      <c r="D19" s="69">
        <f>SUM(COUNTIF('Raw Data'!$C$5:$C$500,$B19))</f>
        <v>1</v>
      </c>
      <c r="E19" s="42">
        <f>SUM(SUMIF('Raw Data'!$C$5:$C$500,$B19, 'Raw Data'!$I$5:$I$500))/SUM(COUNTIF('Raw Data'!$C$5:$C$500,$B19))</f>
        <v>29521.797752808987</v>
      </c>
      <c r="F19" s="51">
        <f>SUM(SUMIF('Raw Data'!$C$5:$C$500,$B19, 'Raw Data'!$K$5:$K$500))/SUM(COUNTIF('Raw Data'!$C$5:$C$500,$B19))</f>
        <v>0.43427835459610875</v>
      </c>
      <c r="G19" s="42">
        <f>SUM(SUMIF('Raw Data'!$C$5:$C$500,$B19, 'Raw Data'!$N$5:$N$500))/SUM(COUNTIF('Raw Data'!$C$5:$C$500,$B19))</f>
        <v>2741.69</v>
      </c>
      <c r="H19" s="71"/>
      <c r="I19" s="70"/>
      <c r="J19" s="70"/>
      <c r="Q19" s="6"/>
    </row>
    <row r="20" spans="1:23" ht="15.75" customHeight="1" x14ac:dyDescent="0.25">
      <c r="A20" s="48"/>
      <c r="B20" s="31" t="s">
        <v>92</v>
      </c>
      <c r="C20" s="42">
        <f>SUM(SUMIF('Raw Data'!$C$5:$C$500,$B20, 'Raw Data'!$I$5:$KI$500))</f>
        <v>399904.23869400809</v>
      </c>
      <c r="D20" s="69">
        <f>SUM(COUNTIF('Raw Data'!$C$5:$C$500,$B20))</f>
        <v>34</v>
      </c>
      <c r="E20" s="42">
        <f>SUM(SUMIF('Raw Data'!$C$5:$C$500,$B20, 'Raw Data'!$I$5:$I$500))/SUM(COUNTIF('Raw Data'!$C$5:$C$500,$B20))</f>
        <v>11761.889373353179</v>
      </c>
      <c r="F20" s="51">
        <f>SUM(SUMIF('Raw Data'!$C$5:$C$500,$B20, 'Raw Data'!$K$5:$K$500))/SUM(COUNTIF('Raw Data'!$C$5:$C$500,$B20))</f>
        <v>0.50795394009770711</v>
      </c>
      <c r="G20" s="42">
        <f>SUM(SUMIF('Raw Data'!$C$5:$C$500,$B20, 'Raw Data'!$N$5:$N$500))/SUM(COUNTIF('Raw Data'!$C$5:$C$500,$B20))</f>
        <v>636.27508518974753</v>
      </c>
      <c r="H20" s="71"/>
      <c r="I20" s="70"/>
      <c r="J20" s="70"/>
    </row>
    <row r="21" spans="1:23" ht="15.75" customHeight="1" x14ac:dyDescent="0.25">
      <c r="A21" s="48"/>
      <c r="B21" s="32" t="s">
        <v>129</v>
      </c>
      <c r="C21" s="42">
        <f>SUM(SUMIF('Raw Data'!$C$5:$C$500,$B21, 'Raw Data'!$I$5:$KI$500))</f>
        <v>65465.648667058136</v>
      </c>
      <c r="D21" s="69">
        <f>SUM(COUNTIF('Raw Data'!$C$5:$C$500,$B21))</f>
        <v>3</v>
      </c>
      <c r="E21" s="42">
        <f>SUM(SUMIF('Raw Data'!$C$5:$C$500,$B21, 'Raw Data'!$I$5:$I$500))/SUM(COUNTIF('Raw Data'!$C$5:$C$500,$B21))</f>
        <v>21821.88288901938</v>
      </c>
      <c r="F21" s="51">
        <f>SUM(SUMIF('Raw Data'!$C$5:$C$500,$B21, 'Raw Data'!$K$5:$K$500))/SUM(COUNTIF('Raw Data'!$C$5:$C$500,$B21))</f>
        <v>0.41579079942301028</v>
      </c>
      <c r="G21" s="42">
        <f>SUM(SUMIF('Raw Data'!$C$5:$C$500,$B21, 'Raw Data'!$N$5:$N$500))/SUM(COUNTIF('Raw Data'!$C$5:$C$500,$B21))</f>
        <v>550.06421608925245</v>
      </c>
      <c r="H21" s="71"/>
      <c r="I21" s="70"/>
      <c r="J21" s="70"/>
    </row>
    <row r="22" spans="1:23" ht="15.75" customHeight="1" x14ac:dyDescent="0.25">
      <c r="A22" s="48"/>
      <c r="B22" s="31" t="s">
        <v>100</v>
      </c>
      <c r="C22" s="42">
        <f>SUM(SUMIF('Raw Data'!$C$5:$C$500,$B22, 'Raw Data'!$I$5:$KI$500))</f>
        <v>293969.68369141128</v>
      </c>
      <c r="D22" s="69">
        <f>SUM(COUNTIF('Raw Data'!$C$5:$C$500,$B22))</f>
        <v>15</v>
      </c>
      <c r="E22" s="42">
        <f>SUM(SUMIF('Raw Data'!$C$5:$C$500,$B22, 'Raw Data'!$I$5:$I$500))/SUM(COUNTIF('Raw Data'!$C$5:$C$500,$B22))</f>
        <v>19597.978912760751</v>
      </c>
      <c r="F22" s="51">
        <f>SUM(SUMIF('Raw Data'!$C$5:$C$500,$B22, 'Raw Data'!$K$5:$K$500))/SUM(COUNTIF('Raw Data'!$C$5:$C$500,$B22))</f>
        <v>0.45584901706519271</v>
      </c>
      <c r="G22" s="42">
        <f>SUM(SUMIF('Raw Data'!$C$5:$C$500,$B22, 'Raw Data'!$N$5:$N$500))/SUM(COUNTIF('Raw Data'!$C$5:$C$500,$B22))</f>
        <v>111.31289629431311</v>
      </c>
      <c r="H22" s="71"/>
      <c r="I22" s="70"/>
      <c r="J22" s="70"/>
    </row>
    <row r="23" spans="1:23" ht="15.75" customHeight="1" x14ac:dyDescent="0.25">
      <c r="A23" s="48"/>
      <c r="B23" s="32" t="s">
        <v>358</v>
      </c>
      <c r="C23" s="42">
        <f>SUM(SUMIF('Raw Data'!$C$5:$C$500,$B23, 'Raw Data'!$I$5:$KI$500))</f>
        <v>110574.25742574257</v>
      </c>
      <c r="D23" s="69">
        <f>SUM(COUNTIF('Raw Data'!$C$5:$C$500,$B23))</f>
        <v>2</v>
      </c>
      <c r="E23" s="42">
        <f>SUM(SUMIF('Raw Data'!$C$5:$C$500,$B23, 'Raw Data'!$I$5:$I$500))/SUM(COUNTIF('Raw Data'!$C$5:$C$500,$B23))</f>
        <v>55287.128712871287</v>
      </c>
      <c r="F23" s="51">
        <f>SUM(SUMIF('Raw Data'!$C$5:$C$500,$B23, 'Raw Data'!$K$5:$K$500))/SUM(COUNTIF('Raw Data'!$C$5:$C$500,$B23))</f>
        <v>0.54958434129622524</v>
      </c>
      <c r="G23" s="42">
        <f>SUM(SUMIF('Raw Data'!$C$5:$C$500,$B23, 'Raw Data'!$N$5:$N$500))/SUM(COUNTIF('Raw Data'!$C$5:$C$500,$B23))</f>
        <v>2530.8937128712823</v>
      </c>
      <c r="H23" s="71"/>
      <c r="I23" s="70"/>
      <c r="J23" s="70"/>
      <c r="Q23" s="6"/>
    </row>
    <row r="24" spans="1:23" ht="15.75" customHeight="1" x14ac:dyDescent="0.25">
      <c r="A24" s="48"/>
      <c r="B24" s="31" t="s">
        <v>250</v>
      </c>
      <c r="C24" s="42">
        <f>SUM(SUMIF('Raw Data'!$C$5:$C$500,$B24, 'Raw Data'!$I$5:$KI$500))</f>
        <v>15322.942472863306</v>
      </c>
      <c r="D24" s="69">
        <f>SUM(COUNTIF('Raw Data'!$C$5:$C$500,$B24))</f>
        <v>2</v>
      </c>
      <c r="E24" s="42">
        <f>SUM(SUMIF('Raw Data'!$C$5:$C$500,$B24, 'Raw Data'!$I$5:$I$500))/SUM(COUNTIF('Raw Data'!$C$5:$C$500,$B24))</f>
        <v>7661.4712364316529</v>
      </c>
      <c r="F24" s="51">
        <f>SUM(SUMIF('Raw Data'!$C$5:$C$500,$B24, 'Raw Data'!$K$5:$K$500))/SUM(COUNTIF('Raw Data'!$C$5:$C$500,$B24))</f>
        <v>0.41058622403472811</v>
      </c>
      <c r="G24" s="42">
        <f>SUM(SUMIF('Raw Data'!$C$5:$C$500,$B24, 'Raw Data'!$N$5:$N$500))/SUM(COUNTIF('Raw Data'!$C$5:$C$500,$B24))</f>
        <v>-38.623763568346476</v>
      </c>
      <c r="H24" s="71"/>
      <c r="I24" s="70"/>
      <c r="J24" s="70"/>
    </row>
    <row r="25" spans="1:23" ht="15.75" customHeight="1" thickBot="1" x14ac:dyDescent="0.3">
      <c r="A25" s="48"/>
      <c r="B25" s="32" t="s">
        <v>354</v>
      </c>
      <c r="C25" s="42">
        <f>SUM(SUMIF('Raw Data'!$C$5:$C$500,$B25, 'Raw Data'!$I$5:$KI$500))</f>
        <v>14269.789227166279</v>
      </c>
      <c r="D25" s="69">
        <f>SUM(COUNTIF('Raw Data'!$C$5:$C$500,$B25))</f>
        <v>1</v>
      </c>
      <c r="E25" s="42">
        <f>SUM(SUMIF('Raw Data'!$C$5:$C$500,$B25, 'Raw Data'!$I$5:$I$500))/SUM(COUNTIF('Raw Data'!$C$5:$C$500,$B25))</f>
        <v>14269.789227166279</v>
      </c>
      <c r="F25" s="51">
        <f>SUM(SUMIF('Raw Data'!$C$5:$C$500,$B25, 'Raw Data'!$K$5:$K$500))/SUM(COUNTIF('Raw Data'!$C$5:$C$500,$B25))</f>
        <v>0.45702701864373413</v>
      </c>
      <c r="G25" s="42">
        <f>SUM(SUMIF('Raw Data'!$C$5:$C$500,$B25, 'Raw Data'!$N$5:$N$500))/SUM(COUNTIF('Raw Data'!$C$5:$C$500,$B25))</f>
        <v>78.864227166279306</v>
      </c>
      <c r="H25" s="71"/>
      <c r="I25" s="70"/>
      <c r="J25" s="70"/>
    </row>
    <row r="26" spans="1:23" ht="15.75" customHeight="1" x14ac:dyDescent="0.25">
      <c r="B26" s="133"/>
      <c r="C26" s="167">
        <f>SUM(C4:C13)</f>
        <v>2085040.3139554476</v>
      </c>
      <c r="D26" s="171">
        <f>SUM(D4:D13)</f>
        <v>153</v>
      </c>
      <c r="E26" s="167" t="e">
        <f>AVERAGE(E4:E13)</f>
        <v>#DIV/0!</v>
      </c>
      <c r="F26" s="169" t="e">
        <f>AVERAGE(F4:F13)</f>
        <v>#DIV/0!</v>
      </c>
      <c r="G26" s="167" t="e">
        <f>AVERAGE(G4:G13)</f>
        <v>#DIV/0!</v>
      </c>
      <c r="H26" s="175"/>
      <c r="I26" s="173"/>
      <c r="J26" s="173"/>
    </row>
    <row r="27" spans="1:23" ht="15.75" customHeight="1" thickBot="1" x14ac:dyDescent="0.3">
      <c r="B27" s="134"/>
      <c r="C27" s="168"/>
      <c r="D27" s="172"/>
      <c r="E27" s="168"/>
      <c r="F27" s="170"/>
      <c r="G27" s="168"/>
      <c r="H27" s="175"/>
      <c r="I27" s="173"/>
      <c r="J27" s="173"/>
    </row>
    <row r="28" spans="1:23" ht="15.75" thickBot="1" x14ac:dyDescent="0.3">
      <c r="B28" s="44"/>
      <c r="C28" s="45"/>
      <c r="D28" s="45"/>
      <c r="E28" s="45"/>
      <c r="F28" s="45"/>
      <c r="G28" s="45"/>
      <c r="H28" s="45"/>
      <c r="I28" s="45"/>
      <c r="J28" s="45"/>
    </row>
    <row r="29" spans="1:23" x14ac:dyDescent="0.25">
      <c r="B29" s="55"/>
      <c r="C29" s="56"/>
      <c r="D29" s="56"/>
      <c r="E29" s="56"/>
      <c r="F29" s="56"/>
      <c r="G29" s="56"/>
      <c r="H29" s="56"/>
      <c r="I29" s="56"/>
      <c r="J29" s="5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8"/>
    </row>
    <row r="30" spans="1:23" x14ac:dyDescent="0.25">
      <c r="B30" s="59"/>
      <c r="C30" s="46"/>
      <c r="D30" s="46"/>
      <c r="E30" s="46"/>
      <c r="F30" s="46"/>
      <c r="G30" s="46"/>
      <c r="H30" s="46"/>
      <c r="I30" s="46"/>
      <c r="J30" s="4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1"/>
    </row>
    <row r="31" spans="1:23" x14ac:dyDescent="0.25">
      <c r="B31" s="59"/>
      <c r="C31" s="46"/>
      <c r="D31" s="46"/>
      <c r="E31" s="46"/>
      <c r="F31" s="46"/>
      <c r="G31" s="46"/>
      <c r="H31" s="46"/>
      <c r="I31" s="46"/>
      <c r="J31" s="46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1"/>
    </row>
    <row r="32" spans="1:23" x14ac:dyDescent="0.25">
      <c r="B32" s="59"/>
      <c r="C32" s="46"/>
      <c r="D32" s="46"/>
      <c r="E32" s="46"/>
      <c r="F32" s="46"/>
      <c r="G32" s="46"/>
      <c r="H32" s="46"/>
      <c r="I32" s="46"/>
      <c r="J32" s="46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2:23" x14ac:dyDescent="0.25">
      <c r="B33" s="59"/>
      <c r="C33" s="46"/>
      <c r="D33" s="46"/>
      <c r="E33" s="46"/>
      <c r="F33" s="46"/>
      <c r="G33" s="46"/>
      <c r="H33" s="46"/>
      <c r="I33" s="46"/>
      <c r="J33" s="4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1"/>
    </row>
    <row r="34" spans="2:23" x14ac:dyDescent="0.25">
      <c r="B34" s="59"/>
      <c r="C34" s="46"/>
      <c r="D34" s="46"/>
      <c r="E34" s="46"/>
      <c r="F34" s="46"/>
      <c r="G34" s="46"/>
      <c r="H34" s="46"/>
      <c r="I34" s="46"/>
      <c r="J34" s="4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</row>
    <row r="35" spans="2:23" x14ac:dyDescent="0.25">
      <c r="B35" s="59"/>
      <c r="C35" s="46"/>
      <c r="D35" s="46"/>
      <c r="E35" s="46"/>
      <c r="F35" s="46"/>
      <c r="G35" s="46"/>
      <c r="H35" s="46"/>
      <c r="I35" s="46"/>
      <c r="J35" s="4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1"/>
    </row>
    <row r="36" spans="2:23" x14ac:dyDescent="0.25">
      <c r="B36" s="59"/>
      <c r="C36" s="46"/>
      <c r="D36" s="46"/>
      <c r="E36" s="46"/>
      <c r="F36" s="46"/>
      <c r="G36" s="46"/>
      <c r="H36" s="46"/>
      <c r="I36" s="46"/>
      <c r="J36" s="4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1"/>
    </row>
    <row r="37" spans="2:23" x14ac:dyDescent="0.25">
      <c r="B37" s="59"/>
      <c r="C37" s="46"/>
      <c r="D37" s="46"/>
      <c r="E37" s="46"/>
      <c r="F37" s="46"/>
      <c r="G37" s="46"/>
      <c r="H37" s="46"/>
      <c r="I37" s="46"/>
      <c r="J37" s="4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1"/>
    </row>
    <row r="38" spans="2:23" x14ac:dyDescent="0.25">
      <c r="B38" s="59"/>
      <c r="C38" s="46"/>
      <c r="D38" s="46"/>
      <c r="E38" s="46"/>
      <c r="F38" s="46"/>
      <c r="G38" s="46"/>
      <c r="H38" s="46"/>
      <c r="I38" s="46"/>
      <c r="J38" s="4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1"/>
    </row>
    <row r="39" spans="2:23" x14ac:dyDescent="0.25">
      <c r="B39" s="59"/>
      <c r="C39" s="46"/>
      <c r="D39" s="46"/>
      <c r="E39" s="46"/>
      <c r="F39" s="46"/>
      <c r="G39" s="46"/>
      <c r="H39" s="46"/>
      <c r="I39" s="46"/>
      <c r="J39" s="4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1"/>
    </row>
    <row r="40" spans="2:23" x14ac:dyDescent="0.25">
      <c r="B40" s="59"/>
      <c r="C40" s="46"/>
      <c r="D40" s="46"/>
      <c r="E40" s="46"/>
      <c r="F40" s="46"/>
      <c r="G40" s="46"/>
      <c r="H40" s="46"/>
      <c r="I40" s="46"/>
      <c r="J40" s="4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1"/>
    </row>
    <row r="41" spans="2:23" x14ac:dyDescent="0.25">
      <c r="B41" s="59"/>
      <c r="C41" s="46"/>
      <c r="D41" s="46"/>
      <c r="E41" s="46"/>
      <c r="F41" s="46"/>
      <c r="G41" s="46"/>
      <c r="H41" s="46"/>
      <c r="I41" s="46"/>
      <c r="J41" s="4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1"/>
    </row>
    <row r="42" spans="2:23" x14ac:dyDescent="0.25">
      <c r="B42" s="59"/>
      <c r="C42" s="46"/>
      <c r="D42" s="46"/>
      <c r="E42" s="46"/>
      <c r="F42" s="46"/>
      <c r="G42" s="46"/>
      <c r="H42" s="46"/>
      <c r="I42" s="46"/>
      <c r="J42" s="46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1"/>
    </row>
    <row r="43" spans="2:23" x14ac:dyDescent="0.25">
      <c r="B43" s="59"/>
      <c r="C43" s="46"/>
      <c r="D43" s="46"/>
      <c r="E43" s="46"/>
      <c r="F43" s="46"/>
      <c r="G43" s="46"/>
      <c r="H43" s="46"/>
      <c r="I43" s="46"/>
      <c r="J43" s="46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1"/>
    </row>
    <row r="44" spans="2:23" x14ac:dyDescent="0.25">
      <c r="B44" s="59"/>
      <c r="C44" s="46"/>
      <c r="D44" s="46"/>
      <c r="E44" s="46"/>
      <c r="F44" s="46"/>
      <c r="G44" s="46"/>
      <c r="H44" s="46"/>
      <c r="I44" s="46"/>
      <c r="J44" s="46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1"/>
    </row>
    <row r="45" spans="2:23" x14ac:dyDescent="0.25">
      <c r="B45" s="59"/>
      <c r="C45" s="46"/>
      <c r="D45" s="46"/>
      <c r="E45" s="46"/>
      <c r="F45" s="46"/>
      <c r="G45" s="46"/>
      <c r="H45" s="46"/>
      <c r="I45" s="46"/>
      <c r="J45" s="46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</row>
    <row r="46" spans="2:23" x14ac:dyDescent="0.25">
      <c r="B46" s="59"/>
      <c r="C46" s="46"/>
      <c r="D46" s="46"/>
      <c r="E46" s="46"/>
      <c r="F46" s="46"/>
      <c r="G46" s="46"/>
      <c r="H46" s="46"/>
      <c r="I46" s="46"/>
      <c r="J46" s="46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1"/>
    </row>
    <row r="47" spans="2:23" x14ac:dyDescent="0.25">
      <c r="B47" s="59"/>
      <c r="C47" s="46"/>
      <c r="D47" s="46"/>
      <c r="E47" s="46"/>
      <c r="F47" s="46"/>
      <c r="G47" s="46"/>
      <c r="H47" s="46"/>
      <c r="I47" s="46"/>
      <c r="J47" s="46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1"/>
    </row>
    <row r="48" spans="2:23" x14ac:dyDescent="0.25">
      <c r="B48" s="62"/>
      <c r="C48" s="45"/>
      <c r="D48" s="45"/>
      <c r="E48" s="45"/>
      <c r="F48" s="45"/>
      <c r="G48" s="45"/>
      <c r="H48" s="45"/>
      <c r="I48" s="45"/>
      <c r="J48" s="45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2:23" x14ac:dyDescent="0.25">
      <c r="B49" s="62"/>
      <c r="C49" s="45"/>
      <c r="D49" s="45"/>
      <c r="E49" s="45"/>
      <c r="F49" s="45"/>
      <c r="G49" s="45"/>
      <c r="H49" s="45"/>
      <c r="I49" s="45"/>
      <c r="J49" s="45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1"/>
    </row>
    <row r="50" spans="2:23" x14ac:dyDescent="0.25">
      <c r="B50" s="62"/>
      <c r="C50" s="45"/>
      <c r="D50" s="45"/>
      <c r="E50" s="45"/>
      <c r="F50" s="45"/>
      <c r="G50" s="45"/>
      <c r="H50" s="45"/>
      <c r="I50" s="45"/>
      <c r="J50" s="45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1"/>
    </row>
    <row r="51" spans="2:23" x14ac:dyDescent="0.25">
      <c r="B51" s="62"/>
      <c r="C51" s="45"/>
      <c r="D51" s="45"/>
      <c r="E51" s="45"/>
      <c r="F51" s="45"/>
      <c r="G51" s="45"/>
      <c r="H51" s="45"/>
      <c r="I51" s="45"/>
      <c r="J51" s="45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1"/>
    </row>
    <row r="52" spans="2:23" x14ac:dyDescent="0.25">
      <c r="B52" s="62"/>
      <c r="C52" s="45"/>
      <c r="D52" s="45"/>
      <c r="E52" s="45"/>
      <c r="F52" s="45"/>
      <c r="G52" s="45"/>
      <c r="H52" s="45"/>
      <c r="I52" s="45"/>
      <c r="J52" s="45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1"/>
    </row>
    <row r="53" spans="2:23" x14ac:dyDescent="0.25">
      <c r="B53" s="62"/>
      <c r="C53" s="45"/>
      <c r="D53" s="45"/>
      <c r="E53" s="45"/>
      <c r="F53" s="45"/>
      <c r="G53" s="45"/>
      <c r="H53" s="45"/>
      <c r="I53" s="45"/>
      <c r="J53" s="45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1"/>
    </row>
    <row r="54" spans="2:23" x14ac:dyDescent="0.25">
      <c r="B54" s="62"/>
      <c r="C54" s="45"/>
      <c r="D54" s="45"/>
      <c r="E54" s="45"/>
      <c r="F54" s="45"/>
      <c r="G54" s="45"/>
      <c r="H54" s="45"/>
      <c r="I54" s="45"/>
      <c r="J54" s="45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1"/>
    </row>
    <row r="55" spans="2:23" x14ac:dyDescent="0.25">
      <c r="B55" s="62"/>
      <c r="C55" s="45"/>
      <c r="D55" s="45"/>
      <c r="E55" s="45"/>
      <c r="F55" s="45"/>
      <c r="G55" s="45"/>
      <c r="H55" s="45"/>
      <c r="I55" s="45"/>
      <c r="J55" s="45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1"/>
    </row>
    <row r="56" spans="2:23" x14ac:dyDescent="0.25">
      <c r="B56" s="62"/>
      <c r="C56" s="45"/>
      <c r="D56" s="45"/>
      <c r="E56" s="45"/>
      <c r="F56" s="45"/>
      <c r="G56" s="45"/>
      <c r="H56" s="45"/>
      <c r="I56" s="45"/>
      <c r="J56" s="45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1"/>
    </row>
    <row r="57" spans="2:23" x14ac:dyDescent="0.25">
      <c r="B57" s="62"/>
      <c r="C57" s="45"/>
      <c r="D57" s="45"/>
      <c r="E57" s="45"/>
      <c r="F57" s="45"/>
      <c r="G57" s="45"/>
      <c r="H57" s="45"/>
      <c r="I57" s="45"/>
      <c r="J57" s="45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1"/>
    </row>
    <row r="58" spans="2:23" x14ac:dyDescent="0.25">
      <c r="B58" s="62"/>
      <c r="C58" s="45"/>
      <c r="D58" s="45"/>
      <c r="E58" s="45"/>
      <c r="F58" s="45"/>
      <c r="G58" s="45"/>
      <c r="H58" s="45"/>
      <c r="I58" s="45"/>
      <c r="J58" s="45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1"/>
    </row>
    <row r="59" spans="2:23" ht="15.75" thickBot="1" x14ac:dyDescent="0.3">
      <c r="B59" s="63"/>
      <c r="C59" s="64"/>
      <c r="D59" s="64"/>
      <c r="E59" s="64"/>
      <c r="F59" s="64"/>
      <c r="G59" s="64"/>
      <c r="H59" s="64"/>
      <c r="I59" s="64"/>
      <c r="J59" s="64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6"/>
    </row>
    <row r="60" spans="2:23" ht="15.75" thickBot="1" x14ac:dyDescent="0.3"/>
    <row r="61" spans="2:23" x14ac:dyDescent="0.25">
      <c r="B61" s="67"/>
      <c r="C61" s="68"/>
      <c r="D61" s="68"/>
      <c r="E61" s="68"/>
      <c r="F61" s="68"/>
      <c r="G61" s="68"/>
      <c r="H61" s="68"/>
      <c r="I61" s="68"/>
      <c r="J61" s="68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8"/>
    </row>
    <row r="62" spans="2:23" x14ac:dyDescent="0.25">
      <c r="B62" s="62"/>
      <c r="C62" s="45"/>
      <c r="D62" s="45"/>
      <c r="E62" s="45"/>
      <c r="F62" s="45"/>
      <c r="G62" s="45"/>
      <c r="H62" s="45"/>
      <c r="I62" s="45"/>
      <c r="J62" s="45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1"/>
    </row>
    <row r="63" spans="2:23" x14ac:dyDescent="0.25">
      <c r="B63" s="62"/>
      <c r="C63" s="45"/>
      <c r="D63" s="45"/>
      <c r="E63" s="45"/>
      <c r="F63" s="45"/>
      <c r="G63" s="45"/>
      <c r="H63" s="45"/>
      <c r="I63" s="45"/>
      <c r="J63" s="45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1"/>
    </row>
    <row r="64" spans="2:23" x14ac:dyDescent="0.25">
      <c r="B64" s="62"/>
      <c r="C64" s="45"/>
      <c r="D64" s="45"/>
      <c r="E64" s="45"/>
      <c r="F64" s="45"/>
      <c r="G64" s="45"/>
      <c r="H64" s="45"/>
      <c r="I64" s="45"/>
      <c r="J64" s="45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1"/>
    </row>
    <row r="65" spans="2:23" x14ac:dyDescent="0.25">
      <c r="B65" s="62"/>
      <c r="C65" s="45"/>
      <c r="D65" s="45"/>
      <c r="E65" s="45"/>
      <c r="F65" s="45"/>
      <c r="G65" s="45"/>
      <c r="H65" s="45"/>
      <c r="I65" s="45"/>
      <c r="J65" s="45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1"/>
    </row>
    <row r="66" spans="2:23" x14ac:dyDescent="0.25">
      <c r="B66" s="62"/>
      <c r="C66" s="45"/>
      <c r="D66" s="45"/>
      <c r="E66" s="45"/>
      <c r="F66" s="45"/>
      <c r="G66" s="45"/>
      <c r="H66" s="45"/>
      <c r="I66" s="45"/>
      <c r="J66" s="45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1"/>
    </row>
    <row r="67" spans="2:23" x14ac:dyDescent="0.25">
      <c r="B67" s="62"/>
      <c r="C67" s="45"/>
      <c r="D67" s="45"/>
      <c r="E67" s="45"/>
      <c r="F67" s="45"/>
      <c r="G67" s="45"/>
      <c r="H67" s="45"/>
      <c r="I67" s="45"/>
      <c r="J67" s="45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1"/>
    </row>
    <row r="68" spans="2:23" x14ac:dyDescent="0.25">
      <c r="B68" s="62"/>
      <c r="C68" s="45"/>
      <c r="D68" s="45"/>
      <c r="E68" s="45"/>
      <c r="F68" s="45"/>
      <c r="G68" s="45"/>
      <c r="H68" s="45"/>
      <c r="I68" s="45"/>
      <c r="J68" s="45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1"/>
    </row>
    <row r="69" spans="2:23" x14ac:dyDescent="0.25">
      <c r="B69" s="62"/>
      <c r="C69" s="45"/>
      <c r="D69" s="45"/>
      <c r="E69" s="45"/>
      <c r="F69" s="45"/>
      <c r="G69" s="45"/>
      <c r="H69" s="45"/>
      <c r="I69" s="45"/>
      <c r="J69" s="45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1"/>
    </row>
    <row r="70" spans="2:23" x14ac:dyDescent="0.25">
      <c r="B70" s="62"/>
      <c r="C70" s="45"/>
      <c r="D70" s="45"/>
      <c r="E70" s="45"/>
      <c r="F70" s="45"/>
      <c r="G70" s="45"/>
      <c r="H70" s="45"/>
      <c r="I70" s="45"/>
      <c r="J70" s="45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1"/>
    </row>
    <row r="71" spans="2:23" x14ac:dyDescent="0.25">
      <c r="B71" s="62"/>
      <c r="C71" s="45"/>
      <c r="D71" s="45"/>
      <c r="E71" s="45"/>
      <c r="F71" s="45"/>
      <c r="G71" s="45"/>
      <c r="H71" s="45"/>
      <c r="I71" s="45"/>
      <c r="J71" s="45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1"/>
    </row>
    <row r="72" spans="2:23" x14ac:dyDescent="0.25">
      <c r="B72" s="62"/>
      <c r="C72" s="45"/>
      <c r="D72" s="45"/>
      <c r="E72" s="45"/>
      <c r="F72" s="45"/>
      <c r="G72" s="45"/>
      <c r="H72" s="45"/>
      <c r="I72" s="45"/>
      <c r="J72" s="45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1"/>
    </row>
    <row r="73" spans="2:23" x14ac:dyDescent="0.25">
      <c r="B73" s="62"/>
      <c r="C73" s="45"/>
      <c r="D73" s="45"/>
      <c r="E73" s="45"/>
      <c r="F73" s="45"/>
      <c r="G73" s="45"/>
      <c r="H73" s="45"/>
      <c r="I73" s="45"/>
      <c r="J73" s="45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1"/>
    </row>
    <row r="74" spans="2:23" x14ac:dyDescent="0.25">
      <c r="B74" s="62"/>
      <c r="C74" s="45"/>
      <c r="D74" s="45"/>
      <c r="E74" s="45"/>
      <c r="F74" s="45"/>
      <c r="G74" s="45"/>
      <c r="H74" s="45"/>
      <c r="I74" s="45"/>
      <c r="J74" s="45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1"/>
    </row>
    <row r="75" spans="2:23" x14ac:dyDescent="0.25">
      <c r="B75" s="62"/>
      <c r="C75" s="45"/>
      <c r="D75" s="45"/>
      <c r="E75" s="45"/>
      <c r="F75" s="45"/>
      <c r="G75" s="45"/>
      <c r="H75" s="45"/>
      <c r="I75" s="45"/>
      <c r="J75" s="45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1"/>
    </row>
    <row r="76" spans="2:23" x14ac:dyDescent="0.25">
      <c r="B76" s="62"/>
      <c r="C76" s="45"/>
      <c r="D76" s="45"/>
      <c r="E76" s="45"/>
      <c r="F76" s="45"/>
      <c r="G76" s="45"/>
      <c r="H76" s="45"/>
      <c r="I76" s="45"/>
      <c r="J76" s="45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1"/>
    </row>
    <row r="77" spans="2:23" x14ac:dyDescent="0.25">
      <c r="B77" s="62"/>
      <c r="C77" s="45"/>
      <c r="D77" s="45"/>
      <c r="E77" s="45"/>
      <c r="F77" s="45"/>
      <c r="G77" s="45"/>
      <c r="H77" s="45"/>
      <c r="I77" s="45"/>
      <c r="J77" s="45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1"/>
    </row>
    <row r="78" spans="2:23" x14ac:dyDescent="0.25">
      <c r="B78" s="62"/>
      <c r="C78" s="45"/>
      <c r="D78" s="45"/>
      <c r="E78" s="45"/>
      <c r="F78" s="45"/>
      <c r="G78" s="45"/>
      <c r="H78" s="45"/>
      <c r="I78" s="45"/>
      <c r="J78" s="45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1"/>
    </row>
    <row r="79" spans="2:23" x14ac:dyDescent="0.25">
      <c r="B79" s="62"/>
      <c r="C79" s="45"/>
      <c r="D79" s="45"/>
      <c r="E79" s="45"/>
      <c r="F79" s="45"/>
      <c r="G79" s="45"/>
      <c r="H79" s="45"/>
      <c r="I79" s="45"/>
      <c r="J79" s="45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1"/>
    </row>
    <row r="80" spans="2:23" x14ac:dyDescent="0.25">
      <c r="B80" s="62"/>
      <c r="C80" s="45"/>
      <c r="D80" s="45"/>
      <c r="E80" s="45"/>
      <c r="F80" s="45"/>
      <c r="G80" s="45"/>
      <c r="H80" s="45"/>
      <c r="I80" s="45"/>
      <c r="J80" s="45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1"/>
    </row>
    <row r="81" spans="2:23" x14ac:dyDescent="0.25">
      <c r="B81" s="62"/>
      <c r="C81" s="45"/>
      <c r="D81" s="45"/>
      <c r="E81" s="45"/>
      <c r="F81" s="45"/>
      <c r="G81" s="45"/>
      <c r="H81" s="45"/>
      <c r="I81" s="45"/>
      <c r="J81" s="45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1"/>
    </row>
    <row r="82" spans="2:23" x14ac:dyDescent="0.25">
      <c r="B82" s="62"/>
      <c r="C82" s="45"/>
      <c r="D82" s="45"/>
      <c r="E82" s="45"/>
      <c r="F82" s="45"/>
      <c r="G82" s="45"/>
      <c r="H82" s="45"/>
      <c r="I82" s="45"/>
      <c r="J82" s="45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1"/>
    </row>
    <row r="83" spans="2:23" x14ac:dyDescent="0.25">
      <c r="B83" s="62"/>
      <c r="C83" s="45"/>
      <c r="D83" s="45"/>
      <c r="E83" s="45"/>
      <c r="F83" s="45"/>
      <c r="G83" s="45"/>
      <c r="H83" s="45"/>
      <c r="I83" s="45"/>
      <c r="J83" s="45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1"/>
    </row>
    <row r="84" spans="2:23" x14ac:dyDescent="0.25">
      <c r="B84" s="62"/>
      <c r="C84" s="45"/>
      <c r="D84" s="45"/>
      <c r="E84" s="45"/>
      <c r="F84" s="45"/>
      <c r="G84" s="45"/>
      <c r="H84" s="45"/>
      <c r="I84" s="45"/>
      <c r="J84" s="45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1"/>
    </row>
    <row r="85" spans="2:23" x14ac:dyDescent="0.25">
      <c r="B85" s="62"/>
      <c r="C85" s="45"/>
      <c r="D85" s="45"/>
      <c r="E85" s="45"/>
      <c r="F85" s="45"/>
      <c r="G85" s="45"/>
      <c r="H85" s="45"/>
      <c r="I85" s="45"/>
      <c r="J85" s="45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1"/>
    </row>
    <row r="86" spans="2:23" x14ac:dyDescent="0.25">
      <c r="B86" s="62"/>
      <c r="C86" s="45"/>
      <c r="D86" s="45"/>
      <c r="E86" s="45"/>
      <c r="F86" s="45"/>
      <c r="G86" s="45"/>
      <c r="H86" s="45"/>
      <c r="I86" s="45"/>
      <c r="J86" s="45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1"/>
    </row>
    <row r="87" spans="2:23" x14ac:dyDescent="0.25">
      <c r="B87" s="62"/>
      <c r="C87" s="45"/>
      <c r="D87" s="45"/>
      <c r="E87" s="45"/>
      <c r="F87" s="45"/>
      <c r="G87" s="45"/>
      <c r="H87" s="45"/>
      <c r="I87" s="45"/>
      <c r="J87" s="45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1"/>
    </row>
    <row r="88" spans="2:23" x14ac:dyDescent="0.25">
      <c r="B88" s="62"/>
      <c r="C88" s="45"/>
      <c r="D88" s="45"/>
      <c r="E88" s="45"/>
      <c r="F88" s="45"/>
      <c r="G88" s="45"/>
      <c r="H88" s="45"/>
      <c r="I88" s="45"/>
      <c r="J88" s="45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1"/>
    </row>
    <row r="89" spans="2:23" x14ac:dyDescent="0.25">
      <c r="B89" s="62"/>
      <c r="C89" s="45"/>
      <c r="D89" s="45"/>
      <c r="E89" s="45"/>
      <c r="F89" s="45"/>
      <c r="G89" s="45"/>
      <c r="H89" s="45"/>
      <c r="I89" s="45"/>
      <c r="J89" s="45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1"/>
    </row>
    <row r="90" spans="2:23" x14ac:dyDescent="0.25">
      <c r="B90" s="62"/>
      <c r="C90" s="45"/>
      <c r="D90" s="45"/>
      <c r="E90" s="45"/>
      <c r="F90" s="45"/>
      <c r="G90" s="45"/>
      <c r="H90" s="45"/>
      <c r="I90" s="45"/>
      <c r="J90" s="45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1"/>
    </row>
    <row r="91" spans="2:23" ht="15.75" thickBot="1" x14ac:dyDescent="0.3">
      <c r="B91" s="63"/>
      <c r="C91" s="64"/>
      <c r="D91" s="64"/>
      <c r="E91" s="64"/>
      <c r="F91" s="64"/>
      <c r="G91" s="64"/>
      <c r="H91" s="64"/>
      <c r="I91" s="64"/>
      <c r="J91" s="64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6"/>
    </row>
    <row r="92" spans="2:23" ht="15.75" thickBot="1" x14ac:dyDescent="0.3"/>
    <row r="93" spans="2:23" x14ac:dyDescent="0.25">
      <c r="B93" s="67"/>
      <c r="C93" s="68"/>
      <c r="D93" s="68"/>
      <c r="E93" s="68"/>
      <c r="F93" s="68"/>
      <c r="G93" s="68"/>
      <c r="H93" s="68"/>
      <c r="I93" s="68"/>
      <c r="J93" s="68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8"/>
    </row>
    <row r="94" spans="2:23" x14ac:dyDescent="0.25">
      <c r="B94" s="62"/>
      <c r="C94" s="45"/>
      <c r="D94" s="45"/>
      <c r="E94" s="45"/>
      <c r="F94" s="45"/>
      <c r="G94" s="45"/>
      <c r="H94" s="45"/>
      <c r="I94" s="45"/>
      <c r="J94" s="45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1"/>
    </row>
    <row r="95" spans="2:23" x14ac:dyDescent="0.25">
      <c r="B95" s="62"/>
      <c r="C95" s="45"/>
      <c r="D95" s="45"/>
      <c r="E95" s="45"/>
      <c r="F95" s="45"/>
      <c r="G95" s="45"/>
      <c r="H95" s="45"/>
      <c r="I95" s="45"/>
      <c r="J95" s="45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1"/>
    </row>
    <row r="96" spans="2:23" x14ac:dyDescent="0.25">
      <c r="B96" s="62"/>
      <c r="C96" s="45"/>
      <c r="D96" s="45"/>
      <c r="E96" s="45"/>
      <c r="F96" s="45"/>
      <c r="G96" s="45"/>
      <c r="H96" s="45"/>
      <c r="I96" s="45"/>
      <c r="J96" s="45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1"/>
    </row>
    <row r="97" spans="2:23" x14ac:dyDescent="0.25">
      <c r="B97" s="62"/>
      <c r="C97" s="45"/>
      <c r="D97" s="45"/>
      <c r="E97" s="45"/>
      <c r="F97" s="45"/>
      <c r="G97" s="45"/>
      <c r="H97" s="45"/>
      <c r="I97" s="45"/>
      <c r="J97" s="45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1"/>
    </row>
    <row r="98" spans="2:23" x14ac:dyDescent="0.25">
      <c r="B98" s="62"/>
      <c r="C98" s="45"/>
      <c r="D98" s="45"/>
      <c r="E98" s="45"/>
      <c r="F98" s="45"/>
      <c r="G98" s="45"/>
      <c r="H98" s="45"/>
      <c r="I98" s="45"/>
      <c r="J98" s="45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1"/>
    </row>
    <row r="99" spans="2:23" x14ac:dyDescent="0.25">
      <c r="B99" s="62"/>
      <c r="C99" s="45"/>
      <c r="D99" s="45"/>
      <c r="E99" s="45"/>
      <c r="F99" s="45"/>
      <c r="G99" s="45"/>
      <c r="H99" s="45"/>
      <c r="I99" s="45"/>
      <c r="J99" s="45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1"/>
    </row>
    <row r="100" spans="2:23" x14ac:dyDescent="0.25">
      <c r="B100" s="62"/>
      <c r="C100" s="45"/>
      <c r="D100" s="45"/>
      <c r="E100" s="45"/>
      <c r="F100" s="45"/>
      <c r="G100" s="45"/>
      <c r="H100" s="45"/>
      <c r="I100" s="45"/>
      <c r="J100" s="45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1"/>
    </row>
    <row r="101" spans="2:23" x14ac:dyDescent="0.25">
      <c r="B101" s="62"/>
      <c r="C101" s="45"/>
      <c r="D101" s="45"/>
      <c r="E101" s="45"/>
      <c r="F101" s="45"/>
      <c r="G101" s="45"/>
      <c r="H101" s="45"/>
      <c r="I101" s="45"/>
      <c r="J101" s="45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1"/>
    </row>
    <row r="102" spans="2:23" x14ac:dyDescent="0.25">
      <c r="B102" s="62"/>
      <c r="C102" s="45"/>
      <c r="D102" s="45"/>
      <c r="E102" s="45"/>
      <c r="F102" s="45"/>
      <c r="G102" s="45"/>
      <c r="H102" s="45"/>
      <c r="I102" s="45"/>
      <c r="J102" s="45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1"/>
    </row>
    <row r="103" spans="2:23" x14ac:dyDescent="0.25">
      <c r="B103" s="62"/>
      <c r="C103" s="45"/>
      <c r="D103" s="45"/>
      <c r="E103" s="45"/>
      <c r="F103" s="45"/>
      <c r="G103" s="45"/>
      <c r="H103" s="45"/>
      <c r="I103" s="45"/>
      <c r="J103" s="45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1"/>
    </row>
    <row r="104" spans="2:23" x14ac:dyDescent="0.25">
      <c r="B104" s="62"/>
      <c r="C104" s="45"/>
      <c r="D104" s="45"/>
      <c r="E104" s="45"/>
      <c r="F104" s="45"/>
      <c r="G104" s="45"/>
      <c r="H104" s="45"/>
      <c r="I104" s="45"/>
      <c r="J104" s="45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1"/>
    </row>
    <row r="105" spans="2:23" x14ac:dyDescent="0.25">
      <c r="B105" s="62"/>
      <c r="C105" s="45"/>
      <c r="D105" s="45"/>
      <c r="E105" s="45"/>
      <c r="F105" s="45"/>
      <c r="G105" s="45"/>
      <c r="H105" s="45"/>
      <c r="I105" s="45"/>
      <c r="J105" s="45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1"/>
    </row>
    <row r="106" spans="2:23" x14ac:dyDescent="0.25">
      <c r="B106" s="62"/>
      <c r="C106" s="45"/>
      <c r="D106" s="45"/>
      <c r="E106" s="45"/>
      <c r="F106" s="45"/>
      <c r="G106" s="45"/>
      <c r="H106" s="45"/>
      <c r="I106" s="45"/>
      <c r="J106" s="45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1"/>
    </row>
    <row r="107" spans="2:23" x14ac:dyDescent="0.25">
      <c r="B107" s="62"/>
      <c r="C107" s="45"/>
      <c r="D107" s="45"/>
      <c r="E107" s="45"/>
      <c r="F107" s="45"/>
      <c r="G107" s="45"/>
      <c r="H107" s="45"/>
      <c r="I107" s="45"/>
      <c r="J107" s="45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1"/>
    </row>
    <row r="108" spans="2:23" x14ac:dyDescent="0.25">
      <c r="B108" s="62"/>
      <c r="C108" s="45"/>
      <c r="D108" s="45"/>
      <c r="E108" s="45"/>
      <c r="F108" s="45"/>
      <c r="G108" s="45"/>
      <c r="H108" s="45"/>
      <c r="I108" s="45"/>
      <c r="J108" s="45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1"/>
    </row>
    <row r="109" spans="2:23" x14ac:dyDescent="0.25">
      <c r="B109" s="62"/>
      <c r="C109" s="45"/>
      <c r="D109" s="45"/>
      <c r="E109" s="45"/>
      <c r="F109" s="45"/>
      <c r="G109" s="45"/>
      <c r="H109" s="45"/>
      <c r="I109" s="45"/>
      <c r="J109" s="45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1"/>
    </row>
    <row r="110" spans="2:23" x14ac:dyDescent="0.25">
      <c r="B110" s="62"/>
      <c r="C110" s="45"/>
      <c r="D110" s="45"/>
      <c r="E110" s="45"/>
      <c r="F110" s="45"/>
      <c r="G110" s="45"/>
      <c r="H110" s="45"/>
      <c r="I110" s="45"/>
      <c r="J110" s="4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1"/>
    </row>
    <row r="111" spans="2:23" x14ac:dyDescent="0.25">
      <c r="B111" s="62"/>
      <c r="C111" s="45"/>
      <c r="D111" s="45"/>
      <c r="E111" s="45"/>
      <c r="F111" s="45"/>
      <c r="G111" s="45"/>
      <c r="H111" s="45"/>
      <c r="I111" s="45"/>
      <c r="J111" s="45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1"/>
    </row>
    <row r="112" spans="2:23" x14ac:dyDescent="0.25">
      <c r="B112" s="62"/>
      <c r="C112" s="45"/>
      <c r="D112" s="45"/>
      <c r="E112" s="45"/>
      <c r="F112" s="45"/>
      <c r="G112" s="45"/>
      <c r="H112" s="45"/>
      <c r="I112" s="45"/>
      <c r="J112" s="45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1"/>
    </row>
    <row r="113" spans="2:23" x14ac:dyDescent="0.25">
      <c r="B113" s="62"/>
      <c r="C113" s="45"/>
      <c r="D113" s="45"/>
      <c r="E113" s="45"/>
      <c r="F113" s="45"/>
      <c r="G113" s="45"/>
      <c r="H113" s="45"/>
      <c r="I113" s="45"/>
      <c r="J113" s="45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1"/>
    </row>
    <row r="114" spans="2:23" x14ac:dyDescent="0.25">
      <c r="B114" s="62"/>
      <c r="C114" s="45"/>
      <c r="D114" s="45"/>
      <c r="E114" s="45"/>
      <c r="F114" s="45"/>
      <c r="G114" s="45"/>
      <c r="H114" s="45"/>
      <c r="I114" s="45"/>
      <c r="J114" s="45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1"/>
    </row>
    <row r="115" spans="2:23" x14ac:dyDescent="0.25">
      <c r="B115" s="62"/>
      <c r="C115" s="45"/>
      <c r="D115" s="45"/>
      <c r="E115" s="45"/>
      <c r="F115" s="45"/>
      <c r="G115" s="45"/>
      <c r="H115" s="45"/>
      <c r="I115" s="45"/>
      <c r="J115" s="45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1"/>
    </row>
    <row r="116" spans="2:23" x14ac:dyDescent="0.25">
      <c r="B116" s="62"/>
      <c r="C116" s="45"/>
      <c r="D116" s="45"/>
      <c r="E116" s="45"/>
      <c r="F116" s="45"/>
      <c r="G116" s="45"/>
      <c r="H116" s="45"/>
      <c r="I116" s="45"/>
      <c r="J116" s="45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1"/>
    </row>
    <row r="117" spans="2:23" x14ac:dyDescent="0.25">
      <c r="B117" s="62"/>
      <c r="C117" s="45"/>
      <c r="D117" s="45"/>
      <c r="E117" s="45"/>
      <c r="F117" s="45"/>
      <c r="G117" s="45"/>
      <c r="H117" s="45"/>
      <c r="I117" s="45"/>
      <c r="J117" s="45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1"/>
    </row>
    <row r="118" spans="2:23" x14ac:dyDescent="0.25">
      <c r="B118" s="62"/>
      <c r="C118" s="45"/>
      <c r="D118" s="45"/>
      <c r="E118" s="45"/>
      <c r="F118" s="45"/>
      <c r="G118" s="45"/>
      <c r="H118" s="45"/>
      <c r="I118" s="45"/>
      <c r="J118" s="45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1"/>
    </row>
    <row r="119" spans="2:23" x14ac:dyDescent="0.25">
      <c r="B119" s="62"/>
      <c r="C119" s="45"/>
      <c r="D119" s="45"/>
      <c r="E119" s="45"/>
      <c r="F119" s="45"/>
      <c r="G119" s="45"/>
      <c r="H119" s="45"/>
      <c r="I119" s="45"/>
      <c r="J119" s="45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1"/>
    </row>
    <row r="120" spans="2:23" x14ac:dyDescent="0.25">
      <c r="B120" s="62"/>
      <c r="C120" s="45"/>
      <c r="D120" s="45"/>
      <c r="E120" s="45"/>
      <c r="F120" s="45"/>
      <c r="G120" s="45"/>
      <c r="H120" s="45"/>
      <c r="I120" s="45"/>
      <c r="J120" s="45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1"/>
    </row>
    <row r="121" spans="2:23" x14ac:dyDescent="0.25">
      <c r="B121" s="62"/>
      <c r="C121" s="45"/>
      <c r="D121" s="45"/>
      <c r="E121" s="45"/>
      <c r="F121" s="45"/>
      <c r="G121" s="45"/>
      <c r="H121" s="45"/>
      <c r="I121" s="45"/>
      <c r="J121" s="45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1"/>
    </row>
    <row r="122" spans="2:23" x14ac:dyDescent="0.25">
      <c r="B122" s="62"/>
      <c r="C122" s="45"/>
      <c r="D122" s="45"/>
      <c r="E122" s="45"/>
      <c r="F122" s="45"/>
      <c r="G122" s="45"/>
      <c r="H122" s="45"/>
      <c r="I122" s="45"/>
      <c r="J122" s="45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1"/>
    </row>
    <row r="123" spans="2:23" ht="15.75" thickBot="1" x14ac:dyDescent="0.3">
      <c r="B123" s="63"/>
      <c r="C123" s="64"/>
      <c r="D123" s="64"/>
      <c r="E123" s="64"/>
      <c r="F123" s="64"/>
      <c r="G123" s="64"/>
      <c r="H123" s="64"/>
      <c r="I123" s="64"/>
      <c r="J123" s="64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6"/>
    </row>
    <row r="124" spans="2:23" ht="15.75" thickBot="1" x14ac:dyDescent="0.3"/>
    <row r="125" spans="2:23" x14ac:dyDescent="0.25">
      <c r="B125" s="67"/>
      <c r="C125" s="68"/>
      <c r="D125" s="68"/>
      <c r="E125" s="68"/>
      <c r="F125" s="68"/>
      <c r="G125" s="68"/>
      <c r="H125" s="68"/>
      <c r="I125" s="68"/>
      <c r="J125" s="68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8"/>
    </row>
    <row r="126" spans="2:23" x14ac:dyDescent="0.25">
      <c r="B126" s="62"/>
      <c r="C126" s="45"/>
      <c r="D126" s="45"/>
      <c r="E126" s="45"/>
      <c r="F126" s="45"/>
      <c r="G126" s="45"/>
      <c r="H126" s="45"/>
      <c r="I126" s="45"/>
      <c r="J126" s="45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1"/>
    </row>
    <row r="127" spans="2:23" x14ac:dyDescent="0.25">
      <c r="B127" s="62"/>
      <c r="C127" s="45"/>
      <c r="D127" s="45"/>
      <c r="E127" s="45"/>
      <c r="F127" s="45"/>
      <c r="G127" s="45"/>
      <c r="H127" s="45"/>
      <c r="I127" s="45"/>
      <c r="J127" s="45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1"/>
    </row>
    <row r="128" spans="2:23" x14ac:dyDescent="0.25">
      <c r="B128" s="62"/>
      <c r="C128" s="45"/>
      <c r="D128" s="45"/>
      <c r="E128" s="45"/>
      <c r="F128" s="45"/>
      <c r="G128" s="45"/>
      <c r="H128" s="45"/>
      <c r="I128" s="45"/>
      <c r="J128" s="45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1"/>
    </row>
    <row r="129" spans="2:23" x14ac:dyDescent="0.25">
      <c r="B129" s="62"/>
      <c r="C129" s="45"/>
      <c r="D129" s="45"/>
      <c r="E129" s="45"/>
      <c r="F129" s="45"/>
      <c r="G129" s="45"/>
      <c r="H129" s="45"/>
      <c r="I129" s="45"/>
      <c r="J129" s="45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1"/>
    </row>
    <row r="130" spans="2:23" x14ac:dyDescent="0.25">
      <c r="B130" s="62"/>
      <c r="C130" s="45"/>
      <c r="D130" s="45"/>
      <c r="E130" s="45"/>
      <c r="F130" s="45"/>
      <c r="G130" s="45"/>
      <c r="H130" s="45"/>
      <c r="I130" s="45"/>
      <c r="J130" s="45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1"/>
    </row>
    <row r="131" spans="2:23" x14ac:dyDescent="0.25">
      <c r="B131" s="62"/>
      <c r="C131" s="45"/>
      <c r="D131" s="45"/>
      <c r="E131" s="45"/>
      <c r="F131" s="45"/>
      <c r="G131" s="45"/>
      <c r="H131" s="45"/>
      <c r="I131" s="45"/>
      <c r="J131" s="45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1"/>
    </row>
    <row r="132" spans="2:23" x14ac:dyDescent="0.25">
      <c r="B132" s="62"/>
      <c r="C132" s="45"/>
      <c r="D132" s="45"/>
      <c r="E132" s="45"/>
      <c r="F132" s="45"/>
      <c r="G132" s="45"/>
      <c r="H132" s="45"/>
      <c r="I132" s="45"/>
      <c r="J132" s="45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1"/>
    </row>
    <row r="133" spans="2:23" x14ac:dyDescent="0.25">
      <c r="B133" s="62"/>
      <c r="C133" s="45"/>
      <c r="D133" s="45"/>
      <c r="E133" s="45"/>
      <c r="F133" s="45"/>
      <c r="G133" s="45"/>
      <c r="H133" s="45"/>
      <c r="I133" s="45"/>
      <c r="J133" s="45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1"/>
    </row>
    <row r="134" spans="2:23" x14ac:dyDescent="0.25">
      <c r="B134" s="62"/>
      <c r="C134" s="45"/>
      <c r="D134" s="45"/>
      <c r="E134" s="45"/>
      <c r="F134" s="45"/>
      <c r="G134" s="45"/>
      <c r="H134" s="45"/>
      <c r="I134" s="45"/>
      <c r="J134" s="45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1"/>
    </row>
    <row r="135" spans="2:23" x14ac:dyDescent="0.25">
      <c r="B135" s="62"/>
      <c r="C135" s="45"/>
      <c r="D135" s="45"/>
      <c r="E135" s="45"/>
      <c r="F135" s="45"/>
      <c r="G135" s="45"/>
      <c r="H135" s="45"/>
      <c r="I135" s="45"/>
      <c r="J135" s="45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1"/>
    </row>
    <row r="136" spans="2:23" x14ac:dyDescent="0.25">
      <c r="B136" s="62"/>
      <c r="C136" s="45"/>
      <c r="D136" s="45"/>
      <c r="E136" s="45"/>
      <c r="F136" s="45"/>
      <c r="G136" s="45"/>
      <c r="H136" s="45"/>
      <c r="I136" s="45"/>
      <c r="J136" s="45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1"/>
    </row>
    <row r="137" spans="2:23" x14ac:dyDescent="0.25">
      <c r="B137" s="62"/>
      <c r="C137" s="45"/>
      <c r="D137" s="45"/>
      <c r="E137" s="45"/>
      <c r="F137" s="45"/>
      <c r="G137" s="45"/>
      <c r="H137" s="45"/>
      <c r="I137" s="45"/>
      <c r="J137" s="45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1"/>
    </row>
    <row r="138" spans="2:23" x14ac:dyDescent="0.25">
      <c r="B138" s="62"/>
      <c r="C138" s="45"/>
      <c r="D138" s="45"/>
      <c r="E138" s="45"/>
      <c r="F138" s="45"/>
      <c r="G138" s="45"/>
      <c r="H138" s="45"/>
      <c r="I138" s="45"/>
      <c r="J138" s="45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1"/>
    </row>
    <row r="139" spans="2:23" x14ac:dyDescent="0.25">
      <c r="B139" s="62"/>
      <c r="C139" s="45"/>
      <c r="D139" s="45"/>
      <c r="E139" s="45"/>
      <c r="F139" s="45"/>
      <c r="G139" s="45"/>
      <c r="H139" s="45"/>
      <c r="I139" s="45"/>
      <c r="J139" s="45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1"/>
    </row>
    <row r="140" spans="2:23" x14ac:dyDescent="0.25">
      <c r="B140" s="62"/>
      <c r="C140" s="45"/>
      <c r="D140" s="45"/>
      <c r="E140" s="45"/>
      <c r="F140" s="45"/>
      <c r="G140" s="45"/>
      <c r="H140" s="45"/>
      <c r="I140" s="45"/>
      <c r="J140" s="45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1"/>
    </row>
    <row r="141" spans="2:23" x14ac:dyDescent="0.25">
      <c r="B141" s="62"/>
      <c r="C141" s="45"/>
      <c r="D141" s="45"/>
      <c r="E141" s="45"/>
      <c r="F141" s="45"/>
      <c r="G141" s="45"/>
      <c r="H141" s="45"/>
      <c r="I141" s="45"/>
      <c r="J141" s="45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1"/>
    </row>
    <row r="142" spans="2:23" x14ac:dyDescent="0.25">
      <c r="B142" s="62"/>
      <c r="C142" s="45"/>
      <c r="D142" s="45"/>
      <c r="E142" s="45"/>
      <c r="F142" s="45"/>
      <c r="G142" s="45"/>
      <c r="H142" s="45"/>
      <c r="I142" s="45"/>
      <c r="J142" s="45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1"/>
    </row>
    <row r="143" spans="2:23" x14ac:dyDescent="0.25">
      <c r="B143" s="62"/>
      <c r="C143" s="45"/>
      <c r="D143" s="45"/>
      <c r="E143" s="45"/>
      <c r="F143" s="45"/>
      <c r="G143" s="45"/>
      <c r="H143" s="45"/>
      <c r="I143" s="45"/>
      <c r="J143" s="45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1"/>
    </row>
    <row r="144" spans="2:23" x14ac:dyDescent="0.25">
      <c r="B144" s="62"/>
      <c r="C144" s="45"/>
      <c r="D144" s="45"/>
      <c r="E144" s="45"/>
      <c r="F144" s="45"/>
      <c r="G144" s="45"/>
      <c r="H144" s="45"/>
      <c r="I144" s="45"/>
      <c r="J144" s="45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1"/>
    </row>
    <row r="145" spans="2:23" x14ac:dyDescent="0.25">
      <c r="B145" s="62"/>
      <c r="C145" s="45"/>
      <c r="D145" s="45"/>
      <c r="E145" s="45"/>
      <c r="F145" s="45"/>
      <c r="G145" s="45"/>
      <c r="H145" s="45"/>
      <c r="I145" s="45"/>
      <c r="J145" s="45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1"/>
    </row>
    <row r="146" spans="2:23" x14ac:dyDescent="0.25">
      <c r="B146" s="62"/>
      <c r="C146" s="45"/>
      <c r="D146" s="45"/>
      <c r="E146" s="45"/>
      <c r="F146" s="45"/>
      <c r="G146" s="45"/>
      <c r="H146" s="45"/>
      <c r="I146" s="45"/>
      <c r="J146" s="45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1"/>
    </row>
    <row r="147" spans="2:23" x14ac:dyDescent="0.25">
      <c r="B147" s="62"/>
      <c r="C147" s="45"/>
      <c r="D147" s="45"/>
      <c r="E147" s="45"/>
      <c r="F147" s="45"/>
      <c r="G147" s="45"/>
      <c r="H147" s="45"/>
      <c r="I147" s="45"/>
      <c r="J147" s="45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1"/>
    </row>
    <row r="148" spans="2:23" x14ac:dyDescent="0.25">
      <c r="B148" s="62"/>
      <c r="C148" s="45"/>
      <c r="D148" s="45"/>
      <c r="E148" s="45"/>
      <c r="F148" s="45"/>
      <c r="G148" s="45"/>
      <c r="H148" s="45"/>
      <c r="I148" s="45"/>
      <c r="J148" s="45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1"/>
    </row>
    <row r="149" spans="2:23" x14ac:dyDescent="0.25">
      <c r="B149" s="62"/>
      <c r="C149" s="45"/>
      <c r="D149" s="45"/>
      <c r="E149" s="45"/>
      <c r="F149" s="45"/>
      <c r="G149" s="45"/>
      <c r="H149" s="45"/>
      <c r="I149" s="45"/>
      <c r="J149" s="45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1"/>
    </row>
    <row r="150" spans="2:23" x14ac:dyDescent="0.25">
      <c r="B150" s="62"/>
      <c r="C150" s="45"/>
      <c r="D150" s="45"/>
      <c r="E150" s="45"/>
      <c r="F150" s="45"/>
      <c r="G150" s="45"/>
      <c r="H150" s="45"/>
      <c r="I150" s="45"/>
      <c r="J150" s="45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1"/>
    </row>
    <row r="151" spans="2:23" x14ac:dyDescent="0.25">
      <c r="B151" s="62"/>
      <c r="C151" s="45"/>
      <c r="D151" s="45"/>
      <c r="E151" s="45"/>
      <c r="F151" s="45"/>
      <c r="G151" s="45"/>
      <c r="H151" s="45"/>
      <c r="I151" s="45"/>
      <c r="J151" s="45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1"/>
    </row>
    <row r="152" spans="2:23" x14ac:dyDescent="0.25">
      <c r="B152" s="62"/>
      <c r="C152" s="45"/>
      <c r="D152" s="45"/>
      <c r="E152" s="45"/>
      <c r="F152" s="45"/>
      <c r="G152" s="45"/>
      <c r="H152" s="45"/>
      <c r="I152" s="45"/>
      <c r="J152" s="45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1"/>
    </row>
    <row r="153" spans="2:23" x14ac:dyDescent="0.25">
      <c r="B153" s="62"/>
      <c r="C153" s="45"/>
      <c r="D153" s="45"/>
      <c r="E153" s="45"/>
      <c r="F153" s="45"/>
      <c r="G153" s="45"/>
      <c r="H153" s="45"/>
      <c r="I153" s="45"/>
      <c r="J153" s="45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1"/>
    </row>
    <row r="154" spans="2:23" x14ac:dyDescent="0.25">
      <c r="B154" s="62"/>
      <c r="C154" s="45"/>
      <c r="D154" s="45"/>
      <c r="E154" s="45"/>
      <c r="F154" s="45"/>
      <c r="G154" s="45"/>
      <c r="H154" s="45"/>
      <c r="I154" s="45"/>
      <c r="J154" s="45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1"/>
    </row>
    <row r="155" spans="2:23" ht="15.75" thickBot="1" x14ac:dyDescent="0.3">
      <c r="B155" s="63"/>
      <c r="C155" s="64"/>
      <c r="D155" s="64"/>
      <c r="E155" s="64"/>
      <c r="F155" s="64"/>
      <c r="G155" s="64"/>
      <c r="H155" s="64"/>
      <c r="I155" s="64"/>
      <c r="J155" s="64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6"/>
    </row>
    <row r="156" spans="2:23" ht="15.75" thickBot="1" x14ac:dyDescent="0.3"/>
    <row r="157" spans="2:23" x14ac:dyDescent="0.25">
      <c r="B157" s="67"/>
      <c r="C157" s="68"/>
      <c r="D157" s="68"/>
      <c r="E157" s="68"/>
      <c r="F157" s="68"/>
      <c r="G157" s="68"/>
      <c r="H157" s="68"/>
      <c r="I157" s="68"/>
      <c r="J157" s="68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8"/>
    </row>
    <row r="158" spans="2:23" x14ac:dyDescent="0.25">
      <c r="B158" s="62"/>
      <c r="C158" s="45"/>
      <c r="D158" s="45"/>
      <c r="E158" s="45"/>
      <c r="F158" s="45"/>
      <c r="G158" s="45"/>
      <c r="H158" s="45"/>
      <c r="I158" s="45"/>
      <c r="J158" s="45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1"/>
    </row>
    <row r="159" spans="2:23" x14ac:dyDescent="0.25">
      <c r="B159" s="62"/>
      <c r="C159" s="45"/>
      <c r="D159" s="45"/>
      <c r="E159" s="45"/>
      <c r="F159" s="45"/>
      <c r="G159" s="45"/>
      <c r="H159" s="45"/>
      <c r="I159" s="45"/>
      <c r="J159" s="45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1"/>
    </row>
    <row r="160" spans="2:23" x14ac:dyDescent="0.25">
      <c r="B160" s="62"/>
      <c r="C160" s="45"/>
      <c r="D160" s="45"/>
      <c r="E160" s="45"/>
      <c r="F160" s="45"/>
      <c r="G160" s="45"/>
      <c r="H160" s="45"/>
      <c r="I160" s="45"/>
      <c r="J160" s="45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1"/>
    </row>
    <row r="161" spans="2:23" x14ac:dyDescent="0.25">
      <c r="B161" s="62"/>
      <c r="C161" s="45"/>
      <c r="D161" s="45"/>
      <c r="E161" s="45"/>
      <c r="F161" s="45"/>
      <c r="G161" s="45"/>
      <c r="H161" s="45"/>
      <c r="I161" s="45"/>
      <c r="J161" s="45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1"/>
    </row>
    <row r="162" spans="2:23" x14ac:dyDescent="0.25">
      <c r="B162" s="62"/>
      <c r="C162" s="45"/>
      <c r="D162" s="45"/>
      <c r="E162" s="45"/>
      <c r="F162" s="45"/>
      <c r="G162" s="45"/>
      <c r="H162" s="45"/>
      <c r="I162" s="45"/>
      <c r="J162" s="45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1"/>
    </row>
    <row r="163" spans="2:23" x14ac:dyDescent="0.25">
      <c r="B163" s="62"/>
      <c r="C163" s="45"/>
      <c r="D163" s="45"/>
      <c r="E163" s="45"/>
      <c r="F163" s="45"/>
      <c r="G163" s="45"/>
      <c r="H163" s="45"/>
      <c r="I163" s="45"/>
      <c r="J163" s="45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1"/>
    </row>
    <row r="164" spans="2:23" x14ac:dyDescent="0.25">
      <c r="B164" s="62"/>
      <c r="C164" s="45"/>
      <c r="D164" s="45"/>
      <c r="E164" s="45"/>
      <c r="F164" s="45"/>
      <c r="G164" s="45"/>
      <c r="H164" s="45"/>
      <c r="I164" s="45"/>
      <c r="J164" s="45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1"/>
    </row>
    <row r="165" spans="2:23" x14ac:dyDescent="0.25">
      <c r="B165" s="62"/>
      <c r="C165" s="45"/>
      <c r="D165" s="45"/>
      <c r="E165" s="45"/>
      <c r="F165" s="45"/>
      <c r="G165" s="45"/>
      <c r="H165" s="45"/>
      <c r="I165" s="45"/>
      <c r="J165" s="45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1"/>
    </row>
    <row r="166" spans="2:23" x14ac:dyDescent="0.25">
      <c r="B166" s="62"/>
      <c r="C166" s="45"/>
      <c r="D166" s="45"/>
      <c r="E166" s="45"/>
      <c r="F166" s="45"/>
      <c r="G166" s="45"/>
      <c r="H166" s="45"/>
      <c r="I166" s="45"/>
      <c r="J166" s="45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1"/>
    </row>
    <row r="167" spans="2:23" x14ac:dyDescent="0.25">
      <c r="B167" s="62"/>
      <c r="C167" s="45"/>
      <c r="D167" s="45"/>
      <c r="E167" s="45"/>
      <c r="F167" s="45"/>
      <c r="G167" s="45"/>
      <c r="H167" s="45"/>
      <c r="I167" s="45"/>
      <c r="J167" s="45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1"/>
    </row>
    <row r="168" spans="2:23" x14ac:dyDescent="0.25">
      <c r="B168" s="62"/>
      <c r="C168" s="45"/>
      <c r="D168" s="45"/>
      <c r="E168" s="45"/>
      <c r="F168" s="45"/>
      <c r="G168" s="45"/>
      <c r="H168" s="45"/>
      <c r="I168" s="45"/>
      <c r="J168" s="45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1"/>
    </row>
    <row r="169" spans="2:23" x14ac:dyDescent="0.25">
      <c r="B169" s="62"/>
      <c r="C169" s="45"/>
      <c r="D169" s="45"/>
      <c r="E169" s="45"/>
      <c r="F169" s="45"/>
      <c r="G169" s="45"/>
      <c r="H169" s="45"/>
      <c r="I169" s="45"/>
      <c r="J169" s="45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1"/>
    </row>
    <row r="170" spans="2:23" x14ac:dyDescent="0.25">
      <c r="B170" s="62"/>
      <c r="C170" s="45"/>
      <c r="D170" s="45"/>
      <c r="E170" s="45"/>
      <c r="F170" s="45"/>
      <c r="G170" s="45"/>
      <c r="H170" s="45"/>
      <c r="I170" s="45"/>
      <c r="J170" s="45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1"/>
    </row>
    <row r="171" spans="2:23" x14ac:dyDescent="0.25">
      <c r="B171" s="62"/>
      <c r="C171" s="45"/>
      <c r="D171" s="45"/>
      <c r="E171" s="45"/>
      <c r="F171" s="45"/>
      <c r="G171" s="45"/>
      <c r="H171" s="45"/>
      <c r="I171" s="45"/>
      <c r="J171" s="45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1"/>
    </row>
    <row r="172" spans="2:23" x14ac:dyDescent="0.25">
      <c r="B172" s="62"/>
      <c r="C172" s="45"/>
      <c r="D172" s="45"/>
      <c r="E172" s="45"/>
      <c r="F172" s="45"/>
      <c r="G172" s="45"/>
      <c r="H172" s="45"/>
      <c r="I172" s="45"/>
      <c r="J172" s="45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1"/>
    </row>
    <row r="173" spans="2:23" x14ac:dyDescent="0.25">
      <c r="B173" s="62"/>
      <c r="C173" s="45"/>
      <c r="D173" s="45"/>
      <c r="E173" s="45"/>
      <c r="F173" s="45"/>
      <c r="G173" s="45"/>
      <c r="H173" s="45"/>
      <c r="I173" s="45"/>
      <c r="J173" s="45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1"/>
    </row>
    <row r="174" spans="2:23" x14ac:dyDescent="0.25">
      <c r="B174" s="62"/>
      <c r="C174" s="45"/>
      <c r="D174" s="45"/>
      <c r="E174" s="45"/>
      <c r="F174" s="45"/>
      <c r="G174" s="45"/>
      <c r="H174" s="45"/>
      <c r="I174" s="45"/>
      <c r="J174" s="45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1"/>
    </row>
    <row r="175" spans="2:23" x14ac:dyDescent="0.25">
      <c r="B175" s="62"/>
      <c r="C175" s="45"/>
      <c r="D175" s="45"/>
      <c r="E175" s="45"/>
      <c r="F175" s="45"/>
      <c r="G175" s="45"/>
      <c r="H175" s="45"/>
      <c r="I175" s="45"/>
      <c r="J175" s="45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1"/>
    </row>
    <row r="176" spans="2:23" x14ac:dyDescent="0.25">
      <c r="B176" s="62"/>
      <c r="C176" s="45"/>
      <c r="D176" s="45"/>
      <c r="E176" s="45"/>
      <c r="F176" s="45"/>
      <c r="G176" s="45"/>
      <c r="H176" s="45"/>
      <c r="I176" s="45"/>
      <c r="J176" s="45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1"/>
    </row>
    <row r="177" spans="2:23" x14ac:dyDescent="0.25">
      <c r="B177" s="62"/>
      <c r="C177" s="45"/>
      <c r="D177" s="45"/>
      <c r="E177" s="45"/>
      <c r="F177" s="45"/>
      <c r="G177" s="45"/>
      <c r="H177" s="45"/>
      <c r="I177" s="45"/>
      <c r="J177" s="45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1"/>
    </row>
    <row r="178" spans="2:23" x14ac:dyDescent="0.25">
      <c r="B178" s="62"/>
      <c r="C178" s="45"/>
      <c r="D178" s="45"/>
      <c r="E178" s="45"/>
      <c r="F178" s="45"/>
      <c r="G178" s="45"/>
      <c r="H178" s="45"/>
      <c r="I178" s="45"/>
      <c r="J178" s="45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1"/>
    </row>
    <row r="179" spans="2:23" x14ac:dyDescent="0.25">
      <c r="B179" s="62"/>
      <c r="C179" s="45"/>
      <c r="D179" s="45"/>
      <c r="E179" s="45"/>
      <c r="F179" s="45"/>
      <c r="G179" s="45"/>
      <c r="H179" s="45"/>
      <c r="I179" s="45"/>
      <c r="J179" s="45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1"/>
    </row>
    <row r="180" spans="2:23" x14ac:dyDescent="0.25">
      <c r="B180" s="62"/>
      <c r="C180" s="45"/>
      <c r="D180" s="45"/>
      <c r="E180" s="45"/>
      <c r="F180" s="45"/>
      <c r="G180" s="45"/>
      <c r="H180" s="45"/>
      <c r="I180" s="45"/>
      <c r="J180" s="45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1"/>
    </row>
    <row r="181" spans="2:23" x14ac:dyDescent="0.25">
      <c r="B181" s="62"/>
      <c r="C181" s="45"/>
      <c r="D181" s="45"/>
      <c r="E181" s="45"/>
      <c r="F181" s="45"/>
      <c r="G181" s="45"/>
      <c r="H181" s="45"/>
      <c r="I181" s="45"/>
      <c r="J181" s="45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1"/>
    </row>
    <row r="182" spans="2:23" x14ac:dyDescent="0.25">
      <c r="B182" s="62"/>
      <c r="C182" s="45"/>
      <c r="D182" s="45"/>
      <c r="E182" s="45"/>
      <c r="F182" s="45"/>
      <c r="G182" s="45"/>
      <c r="H182" s="45"/>
      <c r="I182" s="45"/>
      <c r="J182" s="45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1"/>
    </row>
    <row r="183" spans="2:23" x14ac:dyDescent="0.25">
      <c r="B183" s="62"/>
      <c r="C183" s="45"/>
      <c r="D183" s="45"/>
      <c r="E183" s="45"/>
      <c r="F183" s="45"/>
      <c r="G183" s="45"/>
      <c r="H183" s="45"/>
      <c r="I183" s="45"/>
      <c r="J183" s="45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1"/>
    </row>
    <row r="184" spans="2:23" x14ac:dyDescent="0.25">
      <c r="B184" s="62"/>
      <c r="C184" s="45"/>
      <c r="D184" s="45"/>
      <c r="E184" s="45"/>
      <c r="F184" s="45"/>
      <c r="G184" s="45"/>
      <c r="H184" s="45"/>
      <c r="I184" s="45"/>
      <c r="J184" s="45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1"/>
    </row>
    <row r="185" spans="2:23" x14ac:dyDescent="0.25">
      <c r="B185" s="62"/>
      <c r="C185" s="45"/>
      <c r="D185" s="45"/>
      <c r="E185" s="45"/>
      <c r="F185" s="45"/>
      <c r="G185" s="45"/>
      <c r="H185" s="45"/>
      <c r="I185" s="45"/>
      <c r="J185" s="45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1"/>
    </row>
    <row r="186" spans="2:23" x14ac:dyDescent="0.25">
      <c r="B186" s="62"/>
      <c r="C186" s="45"/>
      <c r="D186" s="45"/>
      <c r="E186" s="45"/>
      <c r="F186" s="45"/>
      <c r="G186" s="45"/>
      <c r="H186" s="45"/>
      <c r="I186" s="45"/>
      <c r="J186" s="45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1"/>
    </row>
    <row r="187" spans="2:23" ht="15.75" thickBot="1" x14ac:dyDescent="0.3">
      <c r="B187" s="63"/>
      <c r="C187" s="64"/>
      <c r="D187" s="64"/>
      <c r="E187" s="64"/>
      <c r="F187" s="64"/>
      <c r="G187" s="64"/>
      <c r="H187" s="64"/>
      <c r="I187" s="64"/>
      <c r="J187" s="64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6"/>
    </row>
    <row r="189" spans="2:23" x14ac:dyDescent="0.25">
      <c r="B189" s="44"/>
      <c r="C189" s="45"/>
      <c r="D189" s="45"/>
      <c r="E189" s="45"/>
      <c r="F189" s="45"/>
      <c r="G189" s="45"/>
      <c r="H189" s="45"/>
      <c r="I189" s="45"/>
      <c r="J189" s="45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</row>
    <row r="190" spans="2:23" x14ac:dyDescent="0.25">
      <c r="B190" s="44"/>
      <c r="C190" s="45"/>
      <c r="D190" s="45"/>
      <c r="E190" s="45"/>
      <c r="F190" s="45"/>
      <c r="G190" s="45"/>
      <c r="H190" s="45"/>
      <c r="I190" s="45"/>
      <c r="J190" s="45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</row>
    <row r="191" spans="2:23" x14ac:dyDescent="0.25">
      <c r="B191" s="44"/>
      <c r="C191" s="45"/>
      <c r="D191" s="45"/>
      <c r="E191" s="45"/>
      <c r="F191" s="45"/>
      <c r="G191" s="45"/>
      <c r="H191" s="45"/>
      <c r="I191" s="45"/>
      <c r="J191" s="45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</row>
    <row r="192" spans="2:23" x14ac:dyDescent="0.25">
      <c r="B192" s="44"/>
      <c r="C192" s="45"/>
      <c r="D192" s="45"/>
      <c r="E192" s="45"/>
      <c r="F192" s="45"/>
      <c r="G192" s="45"/>
      <c r="H192" s="45"/>
      <c r="I192" s="45"/>
      <c r="J192" s="45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</row>
    <row r="193" spans="2:24" x14ac:dyDescent="0.25">
      <c r="B193" s="44"/>
      <c r="C193" s="45"/>
      <c r="D193" s="45"/>
      <c r="E193" s="45"/>
      <c r="F193" s="45"/>
      <c r="G193" s="45"/>
      <c r="H193" s="45"/>
      <c r="I193" s="45"/>
      <c r="J193" s="45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</row>
    <row r="194" spans="2:24" x14ac:dyDescent="0.25">
      <c r="B194" s="44"/>
      <c r="C194" s="45"/>
      <c r="D194" s="45"/>
      <c r="E194" s="45"/>
      <c r="F194" s="45"/>
      <c r="G194" s="45"/>
      <c r="H194" s="45"/>
      <c r="I194" s="45"/>
      <c r="J194" s="45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</row>
    <row r="195" spans="2:24" x14ac:dyDescent="0.25">
      <c r="B195" s="44"/>
      <c r="C195" s="45"/>
      <c r="D195" s="45"/>
      <c r="E195" s="45"/>
      <c r="F195" s="45"/>
      <c r="G195" s="45"/>
      <c r="H195" s="45"/>
      <c r="I195" s="45"/>
      <c r="J195" s="45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</row>
    <row r="196" spans="2:24" x14ac:dyDescent="0.25">
      <c r="B196" s="44"/>
      <c r="C196" s="45"/>
      <c r="D196" s="45"/>
      <c r="E196" s="45"/>
      <c r="F196" s="45"/>
      <c r="G196" s="45"/>
      <c r="H196" s="45"/>
      <c r="I196" s="45"/>
      <c r="J196" s="45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</row>
    <row r="197" spans="2:24" x14ac:dyDescent="0.25">
      <c r="B197" s="44"/>
      <c r="C197" s="45"/>
      <c r="D197" s="45"/>
      <c r="E197" s="45"/>
      <c r="F197" s="45"/>
      <c r="G197" s="45"/>
      <c r="H197" s="45"/>
      <c r="I197" s="45"/>
      <c r="J197" s="45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</row>
    <row r="198" spans="2:24" x14ac:dyDescent="0.25">
      <c r="B198" s="44"/>
      <c r="C198" s="45"/>
      <c r="D198" s="45"/>
      <c r="E198" s="45"/>
      <c r="F198" s="45"/>
      <c r="G198" s="45"/>
      <c r="H198" s="45"/>
      <c r="I198" s="45"/>
      <c r="J198" s="45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</row>
    <row r="199" spans="2:24" x14ac:dyDescent="0.25">
      <c r="B199" s="44"/>
      <c r="C199" s="45"/>
      <c r="D199" s="45"/>
      <c r="E199" s="45"/>
      <c r="F199" s="45"/>
      <c r="G199" s="45"/>
      <c r="H199" s="45"/>
      <c r="I199" s="45"/>
      <c r="J199" s="45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</row>
    <row r="200" spans="2:24" x14ac:dyDescent="0.25">
      <c r="B200" s="44"/>
      <c r="C200" s="45"/>
      <c r="D200" s="45"/>
      <c r="E200" s="45"/>
      <c r="F200" s="45"/>
      <c r="G200" s="45"/>
      <c r="H200" s="45"/>
      <c r="I200" s="45"/>
      <c r="J200" s="45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</row>
    <row r="201" spans="2:24" x14ac:dyDescent="0.25">
      <c r="B201" s="44"/>
      <c r="C201" s="45"/>
      <c r="D201" s="45"/>
      <c r="E201" s="45"/>
      <c r="F201" s="45"/>
      <c r="G201" s="45"/>
      <c r="H201" s="45"/>
      <c r="I201" s="45"/>
      <c r="J201" s="45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</row>
    <row r="202" spans="2:24" x14ac:dyDescent="0.25">
      <c r="B202" s="44"/>
      <c r="C202" s="45"/>
      <c r="D202" s="45"/>
      <c r="E202" s="45"/>
      <c r="F202" s="45"/>
      <c r="G202" s="45"/>
      <c r="H202" s="45"/>
      <c r="I202" s="45"/>
      <c r="J202" s="45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</row>
    <row r="203" spans="2:24" x14ac:dyDescent="0.25">
      <c r="B203" s="44"/>
      <c r="C203" s="45"/>
      <c r="D203" s="45"/>
      <c r="E203" s="45"/>
      <c r="F203" s="45"/>
      <c r="G203" s="45"/>
      <c r="H203" s="45"/>
      <c r="I203" s="45"/>
      <c r="J203" s="45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</row>
    <row r="204" spans="2:24" x14ac:dyDescent="0.25">
      <c r="B204" s="44"/>
      <c r="C204" s="45"/>
      <c r="D204" s="45"/>
      <c r="E204" s="45"/>
      <c r="F204" s="45"/>
      <c r="G204" s="45"/>
      <c r="H204" s="45"/>
      <c r="I204" s="45"/>
      <c r="J204" s="45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</row>
    <row r="205" spans="2:24" x14ac:dyDescent="0.25">
      <c r="B205" s="44"/>
      <c r="C205" s="45"/>
      <c r="D205" s="45"/>
      <c r="E205" s="45"/>
      <c r="F205" s="45"/>
      <c r="G205" s="45"/>
      <c r="H205" s="45"/>
      <c r="I205" s="45"/>
      <c r="J205" s="45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</row>
    <row r="206" spans="2:24" x14ac:dyDescent="0.25">
      <c r="B206" s="44"/>
      <c r="C206" s="45"/>
      <c r="D206" s="45"/>
      <c r="E206" s="45"/>
      <c r="F206" s="45"/>
      <c r="G206" s="45"/>
      <c r="H206" s="45"/>
      <c r="I206" s="45"/>
      <c r="J206" s="45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</row>
    <row r="207" spans="2:24" x14ac:dyDescent="0.25">
      <c r="B207" s="44"/>
      <c r="C207" s="45"/>
      <c r="D207" s="45"/>
      <c r="E207" s="45"/>
      <c r="F207" s="45"/>
      <c r="G207" s="45"/>
      <c r="H207" s="45"/>
      <c r="I207" s="45"/>
      <c r="J207" s="45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</row>
    <row r="208" spans="2:24" x14ac:dyDescent="0.25">
      <c r="B208" s="44"/>
      <c r="C208" s="45"/>
      <c r="D208" s="45"/>
      <c r="E208" s="45"/>
      <c r="F208" s="45"/>
      <c r="G208" s="45"/>
      <c r="H208" s="45"/>
      <c r="I208" s="45"/>
      <c r="J208" s="45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</row>
    <row r="209" spans="2:24" x14ac:dyDescent="0.25">
      <c r="B209" s="44"/>
      <c r="C209" s="45"/>
      <c r="D209" s="45"/>
      <c r="E209" s="45"/>
      <c r="F209" s="45"/>
      <c r="G209" s="45"/>
      <c r="H209" s="45"/>
      <c r="I209" s="45"/>
      <c r="J209" s="45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</row>
    <row r="210" spans="2:24" x14ac:dyDescent="0.25">
      <c r="B210" s="44"/>
      <c r="C210" s="45"/>
      <c r="D210" s="45"/>
      <c r="E210" s="45"/>
      <c r="F210" s="45"/>
      <c r="G210" s="45"/>
      <c r="H210" s="45"/>
      <c r="I210" s="45"/>
      <c r="J210" s="45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</row>
    <row r="211" spans="2:24" x14ac:dyDescent="0.25">
      <c r="B211" s="44"/>
      <c r="C211" s="45"/>
      <c r="D211" s="45"/>
      <c r="E211" s="45"/>
      <c r="F211" s="45"/>
      <c r="G211" s="45"/>
      <c r="H211" s="45"/>
      <c r="I211" s="45"/>
      <c r="J211" s="45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</row>
    <row r="212" spans="2:24" x14ac:dyDescent="0.25">
      <c r="B212" s="44"/>
      <c r="C212" s="45"/>
      <c r="D212" s="45"/>
      <c r="E212" s="45"/>
      <c r="F212" s="45"/>
      <c r="G212" s="45"/>
      <c r="H212" s="45"/>
      <c r="I212" s="45"/>
      <c r="J212" s="45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</row>
    <row r="213" spans="2:24" x14ac:dyDescent="0.25">
      <c r="B213" s="44"/>
      <c r="C213" s="45"/>
      <c r="D213" s="45"/>
      <c r="E213" s="45"/>
      <c r="F213" s="45"/>
      <c r="G213" s="45"/>
      <c r="H213" s="45"/>
      <c r="I213" s="45"/>
      <c r="J213" s="45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</row>
    <row r="214" spans="2:24" x14ac:dyDescent="0.25">
      <c r="B214" s="44"/>
      <c r="C214" s="45"/>
      <c r="D214" s="45"/>
      <c r="E214" s="45"/>
      <c r="F214" s="45"/>
      <c r="G214" s="45"/>
      <c r="H214" s="45"/>
      <c r="I214" s="45"/>
      <c r="J214" s="45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</row>
    <row r="215" spans="2:24" x14ac:dyDescent="0.25">
      <c r="B215" s="44"/>
      <c r="C215" s="45"/>
      <c r="D215" s="45"/>
      <c r="E215" s="45"/>
      <c r="F215" s="45"/>
      <c r="G215" s="45"/>
      <c r="H215" s="45"/>
      <c r="I215" s="45"/>
      <c r="J215" s="45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</row>
    <row r="216" spans="2:24" x14ac:dyDescent="0.25">
      <c r="B216" s="44"/>
      <c r="C216" s="45"/>
      <c r="D216" s="45"/>
      <c r="E216" s="45"/>
      <c r="F216" s="45"/>
      <c r="G216" s="45"/>
      <c r="H216" s="45"/>
      <c r="I216" s="45"/>
      <c r="J216" s="45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</row>
    <row r="217" spans="2:24" x14ac:dyDescent="0.25">
      <c r="B217" s="44"/>
      <c r="C217" s="45"/>
      <c r="D217" s="45"/>
      <c r="E217" s="45"/>
      <c r="F217" s="45"/>
      <c r="G217" s="45"/>
      <c r="H217" s="45"/>
      <c r="I217" s="45"/>
      <c r="J217" s="45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</row>
    <row r="218" spans="2:24" x14ac:dyDescent="0.25">
      <c r="B218" s="44"/>
      <c r="C218" s="45"/>
      <c r="D218" s="45"/>
      <c r="E218" s="45"/>
      <c r="F218" s="45"/>
      <c r="G218" s="45"/>
      <c r="H218" s="45"/>
      <c r="I218" s="45"/>
      <c r="J218" s="45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</row>
    <row r="219" spans="2:24" x14ac:dyDescent="0.25">
      <c r="B219" s="44"/>
      <c r="C219" s="45"/>
      <c r="D219" s="45"/>
      <c r="E219" s="45"/>
      <c r="F219" s="45"/>
      <c r="G219" s="45"/>
      <c r="H219" s="45"/>
      <c r="I219" s="45"/>
      <c r="J219" s="45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</row>
    <row r="220" spans="2:24" x14ac:dyDescent="0.25">
      <c r="B220" s="44"/>
      <c r="C220" s="45"/>
      <c r="D220" s="45"/>
      <c r="E220" s="45"/>
      <c r="F220" s="45"/>
      <c r="G220" s="45"/>
      <c r="H220" s="45"/>
      <c r="I220" s="45"/>
      <c r="J220" s="45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</row>
    <row r="221" spans="2:24" x14ac:dyDescent="0.25">
      <c r="B221" s="44"/>
      <c r="C221" s="45"/>
      <c r="D221" s="45"/>
      <c r="E221" s="45"/>
      <c r="F221" s="45"/>
      <c r="G221" s="45"/>
      <c r="H221" s="45"/>
      <c r="I221" s="45"/>
      <c r="J221" s="45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</row>
    <row r="222" spans="2:24" x14ac:dyDescent="0.25">
      <c r="B222" s="44"/>
      <c r="C222" s="45"/>
      <c r="D222" s="45"/>
      <c r="E222" s="45"/>
      <c r="F222" s="45"/>
      <c r="G222" s="45"/>
      <c r="H222" s="45"/>
      <c r="I222" s="45"/>
      <c r="J222" s="45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</row>
    <row r="223" spans="2:24" x14ac:dyDescent="0.25">
      <c r="B223" s="44"/>
      <c r="C223" s="45"/>
      <c r="D223" s="45"/>
      <c r="E223" s="45"/>
      <c r="F223" s="45"/>
      <c r="G223" s="45"/>
      <c r="H223" s="45"/>
      <c r="I223" s="45"/>
      <c r="J223" s="45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</row>
    <row r="224" spans="2:24" x14ac:dyDescent="0.25">
      <c r="B224" s="44"/>
      <c r="C224" s="45"/>
      <c r="D224" s="45"/>
      <c r="E224" s="45"/>
      <c r="F224" s="45"/>
      <c r="G224" s="45"/>
      <c r="H224" s="45"/>
      <c r="I224" s="45"/>
      <c r="J224" s="45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</row>
    <row r="225" spans="2:24" x14ac:dyDescent="0.25">
      <c r="B225" s="44"/>
      <c r="C225" s="45"/>
      <c r="D225" s="45"/>
      <c r="E225" s="45"/>
      <c r="F225" s="45"/>
      <c r="G225" s="45"/>
      <c r="H225" s="45"/>
      <c r="I225" s="45"/>
      <c r="J225" s="45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</row>
    <row r="226" spans="2:24" x14ac:dyDescent="0.25">
      <c r="B226" s="44"/>
      <c r="C226" s="45"/>
      <c r="D226" s="45"/>
      <c r="E226" s="45"/>
      <c r="F226" s="45"/>
      <c r="G226" s="45"/>
      <c r="H226" s="45"/>
      <c r="I226" s="45"/>
      <c r="J226" s="45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</row>
    <row r="227" spans="2:24" x14ac:dyDescent="0.25">
      <c r="B227" s="44"/>
      <c r="C227" s="45"/>
      <c r="D227" s="45"/>
      <c r="E227" s="45"/>
      <c r="F227" s="45"/>
      <c r="G227" s="45"/>
      <c r="H227" s="45"/>
      <c r="I227" s="45"/>
      <c r="J227" s="45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</row>
    <row r="228" spans="2:24" x14ac:dyDescent="0.25">
      <c r="B228" s="44"/>
      <c r="C228" s="45"/>
      <c r="D228" s="45"/>
      <c r="E228" s="45"/>
      <c r="F228" s="45"/>
      <c r="G228" s="45"/>
      <c r="H228" s="45"/>
      <c r="I228" s="45"/>
      <c r="J228" s="45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</row>
    <row r="229" spans="2:24" x14ac:dyDescent="0.25">
      <c r="B229" s="44"/>
      <c r="C229" s="45"/>
      <c r="D229" s="45"/>
      <c r="E229" s="45"/>
      <c r="F229" s="45"/>
      <c r="G229" s="45"/>
      <c r="H229" s="45"/>
      <c r="I229" s="45"/>
      <c r="J229" s="45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</row>
    <row r="230" spans="2:24" x14ac:dyDescent="0.25">
      <c r="B230" s="44"/>
      <c r="C230" s="45"/>
      <c r="D230" s="45"/>
      <c r="E230" s="45"/>
      <c r="F230" s="45"/>
      <c r="G230" s="45"/>
      <c r="H230" s="45"/>
      <c r="I230" s="45"/>
      <c r="J230" s="45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</row>
    <row r="231" spans="2:24" x14ac:dyDescent="0.25">
      <c r="B231" s="44"/>
      <c r="C231" s="45"/>
      <c r="D231" s="45"/>
      <c r="E231" s="45"/>
      <c r="F231" s="45"/>
      <c r="G231" s="45"/>
      <c r="H231" s="45"/>
      <c r="I231" s="45"/>
      <c r="J231" s="45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</row>
    <row r="232" spans="2:24" x14ac:dyDescent="0.25">
      <c r="B232" s="44"/>
      <c r="C232" s="45"/>
      <c r="D232" s="45"/>
      <c r="E232" s="45"/>
      <c r="F232" s="45"/>
      <c r="G232" s="45"/>
      <c r="H232" s="45"/>
      <c r="I232" s="45"/>
      <c r="J232" s="45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</row>
    <row r="233" spans="2:24" x14ac:dyDescent="0.25">
      <c r="B233" s="44"/>
      <c r="C233" s="45"/>
      <c r="D233" s="45"/>
      <c r="E233" s="45"/>
      <c r="F233" s="45"/>
      <c r="G233" s="45"/>
      <c r="H233" s="45"/>
      <c r="I233" s="45"/>
      <c r="J233" s="45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</row>
    <row r="234" spans="2:24" x14ac:dyDescent="0.25">
      <c r="B234" s="44"/>
      <c r="C234" s="45"/>
      <c r="D234" s="45"/>
      <c r="E234" s="45"/>
      <c r="F234" s="45"/>
      <c r="G234" s="45"/>
      <c r="H234" s="45"/>
      <c r="I234" s="45"/>
      <c r="J234" s="45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</row>
    <row r="235" spans="2:24" x14ac:dyDescent="0.25">
      <c r="B235" s="44"/>
      <c r="C235" s="45"/>
      <c r="D235" s="45"/>
      <c r="E235" s="45"/>
      <c r="F235" s="45"/>
      <c r="G235" s="45"/>
      <c r="H235" s="45"/>
      <c r="I235" s="45"/>
      <c r="J235" s="45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</row>
    <row r="236" spans="2:24" x14ac:dyDescent="0.25">
      <c r="B236" s="44"/>
      <c r="C236" s="45"/>
      <c r="D236" s="45"/>
      <c r="E236" s="45"/>
      <c r="F236" s="45"/>
      <c r="G236" s="45"/>
      <c r="H236" s="45"/>
      <c r="I236" s="45"/>
      <c r="J236" s="45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</row>
    <row r="237" spans="2:24" x14ac:dyDescent="0.25">
      <c r="B237" s="44"/>
      <c r="C237" s="45"/>
      <c r="D237" s="45"/>
      <c r="E237" s="45"/>
      <c r="F237" s="45"/>
      <c r="G237" s="45"/>
      <c r="H237" s="45"/>
      <c r="I237" s="45"/>
      <c r="J237" s="45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</row>
    <row r="238" spans="2:24" x14ac:dyDescent="0.25">
      <c r="B238" s="44"/>
      <c r="C238" s="45"/>
      <c r="D238" s="45"/>
      <c r="E238" s="45"/>
      <c r="F238" s="45"/>
      <c r="G238" s="45"/>
      <c r="H238" s="45"/>
      <c r="I238" s="45"/>
      <c r="J238" s="45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</row>
    <row r="239" spans="2:24" x14ac:dyDescent="0.25">
      <c r="B239" s="44"/>
      <c r="C239" s="45"/>
      <c r="D239" s="45"/>
      <c r="E239" s="45"/>
      <c r="F239" s="45"/>
      <c r="G239" s="45"/>
      <c r="H239" s="45"/>
      <c r="I239" s="45"/>
      <c r="J239" s="45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</row>
    <row r="240" spans="2:24" x14ac:dyDescent="0.25">
      <c r="B240" s="44"/>
      <c r="C240" s="45"/>
      <c r="D240" s="45"/>
      <c r="E240" s="45"/>
      <c r="F240" s="45"/>
      <c r="G240" s="45"/>
      <c r="H240" s="45"/>
      <c r="I240" s="45"/>
      <c r="J240" s="45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</row>
    <row r="241" spans="2:24" x14ac:dyDescent="0.25">
      <c r="B241" s="44"/>
      <c r="C241" s="45"/>
      <c r="D241" s="45"/>
      <c r="E241" s="45"/>
      <c r="F241" s="45"/>
      <c r="G241" s="45"/>
      <c r="H241" s="45"/>
      <c r="I241" s="45"/>
      <c r="J241" s="45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</row>
    <row r="242" spans="2:24" x14ac:dyDescent="0.25">
      <c r="B242" s="44"/>
      <c r="C242" s="45"/>
      <c r="D242" s="45"/>
      <c r="E242" s="45"/>
      <c r="F242" s="45"/>
      <c r="G242" s="45"/>
      <c r="H242" s="45"/>
      <c r="I242" s="45"/>
      <c r="J242" s="45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</row>
    <row r="243" spans="2:24" x14ac:dyDescent="0.25">
      <c r="B243" s="44"/>
      <c r="C243" s="45"/>
      <c r="D243" s="45"/>
      <c r="E243" s="45"/>
      <c r="F243" s="45"/>
      <c r="G243" s="45"/>
      <c r="H243" s="45"/>
      <c r="I243" s="45"/>
      <c r="J243" s="45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</row>
    <row r="244" spans="2:24" x14ac:dyDescent="0.25">
      <c r="B244" s="44"/>
      <c r="C244" s="45"/>
      <c r="D244" s="45"/>
      <c r="E244" s="45"/>
      <c r="F244" s="45"/>
      <c r="G244" s="45"/>
      <c r="H244" s="45"/>
      <c r="I244" s="45"/>
      <c r="J244" s="45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</row>
    <row r="245" spans="2:24" x14ac:dyDescent="0.25">
      <c r="B245" s="44"/>
      <c r="C245" s="45"/>
      <c r="D245" s="45"/>
      <c r="E245" s="45"/>
      <c r="F245" s="45"/>
      <c r="G245" s="45"/>
      <c r="H245" s="45"/>
      <c r="I245" s="45"/>
      <c r="J245" s="45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</row>
    <row r="246" spans="2:24" x14ac:dyDescent="0.25">
      <c r="B246" s="44"/>
      <c r="C246" s="45"/>
      <c r="D246" s="45"/>
      <c r="E246" s="45"/>
      <c r="F246" s="45"/>
      <c r="G246" s="45"/>
      <c r="H246" s="45"/>
      <c r="I246" s="45"/>
      <c r="J246" s="45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</row>
    <row r="247" spans="2:24" x14ac:dyDescent="0.25">
      <c r="B247" s="44"/>
      <c r="C247" s="45"/>
      <c r="D247" s="45"/>
      <c r="E247" s="45"/>
      <c r="F247" s="45"/>
      <c r="G247" s="45"/>
      <c r="H247" s="45"/>
      <c r="I247" s="45"/>
      <c r="J247" s="45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</row>
    <row r="248" spans="2:24" x14ac:dyDescent="0.25">
      <c r="B248" s="44"/>
      <c r="C248" s="45"/>
      <c r="D248" s="45"/>
      <c r="E248" s="45"/>
      <c r="F248" s="45"/>
      <c r="G248" s="45"/>
      <c r="H248" s="45"/>
      <c r="I248" s="45"/>
      <c r="J248" s="45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</row>
    <row r="249" spans="2:24" x14ac:dyDescent="0.25">
      <c r="B249" s="44"/>
      <c r="C249" s="45"/>
      <c r="D249" s="45"/>
      <c r="E249" s="45"/>
      <c r="F249" s="45"/>
      <c r="G249" s="45"/>
      <c r="H249" s="45"/>
      <c r="I249" s="45"/>
      <c r="J249" s="45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</row>
    <row r="250" spans="2:24" x14ac:dyDescent="0.25">
      <c r="B250" s="44"/>
      <c r="C250" s="45"/>
      <c r="D250" s="45"/>
      <c r="E250" s="45"/>
      <c r="F250" s="45"/>
      <c r="G250" s="45"/>
      <c r="H250" s="45"/>
      <c r="I250" s="45"/>
      <c r="J250" s="45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</row>
    <row r="251" spans="2:24" x14ac:dyDescent="0.25">
      <c r="B251" s="44"/>
      <c r="C251" s="45"/>
      <c r="D251" s="45"/>
      <c r="E251" s="45"/>
      <c r="F251" s="45"/>
      <c r="G251" s="45"/>
      <c r="H251" s="45"/>
      <c r="I251" s="45"/>
      <c r="J251" s="45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</row>
    <row r="252" spans="2:24" x14ac:dyDescent="0.25">
      <c r="B252" s="44"/>
      <c r="C252" s="45"/>
      <c r="D252" s="45"/>
      <c r="E252" s="45"/>
      <c r="F252" s="45"/>
      <c r="G252" s="45"/>
      <c r="H252" s="45"/>
      <c r="I252" s="45"/>
      <c r="J252" s="45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</row>
    <row r="253" spans="2:24" x14ac:dyDescent="0.25">
      <c r="B253" s="44"/>
      <c r="C253" s="45"/>
      <c r="D253" s="45"/>
      <c r="E253" s="45"/>
      <c r="F253" s="45"/>
      <c r="G253" s="45"/>
      <c r="H253" s="45"/>
      <c r="I253" s="45"/>
      <c r="J253" s="45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</row>
    <row r="254" spans="2:24" x14ac:dyDescent="0.25">
      <c r="B254" s="44"/>
      <c r="C254" s="45"/>
      <c r="D254" s="45"/>
      <c r="E254" s="45"/>
      <c r="F254" s="45"/>
      <c r="G254" s="45"/>
      <c r="H254" s="45"/>
      <c r="I254" s="45"/>
      <c r="J254" s="45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</row>
    <row r="255" spans="2:24" x14ac:dyDescent="0.25">
      <c r="B255" s="44"/>
      <c r="C255" s="45"/>
      <c r="D255" s="45"/>
      <c r="E255" s="45"/>
      <c r="F255" s="45"/>
      <c r="G255" s="45"/>
      <c r="H255" s="45"/>
      <c r="I255" s="45"/>
      <c r="J255" s="45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</row>
    <row r="256" spans="2:24" x14ac:dyDescent="0.25">
      <c r="B256" s="44"/>
      <c r="C256" s="45"/>
      <c r="D256" s="45"/>
      <c r="E256" s="45"/>
      <c r="F256" s="45"/>
      <c r="G256" s="45"/>
      <c r="H256" s="45"/>
      <c r="I256" s="45"/>
      <c r="J256" s="45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</row>
    <row r="257" spans="2:24" x14ac:dyDescent="0.25">
      <c r="B257" s="44"/>
      <c r="C257" s="45"/>
      <c r="D257" s="45"/>
      <c r="E257" s="45"/>
      <c r="F257" s="45"/>
      <c r="G257" s="45"/>
      <c r="H257" s="45"/>
      <c r="I257" s="45"/>
      <c r="J257" s="45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</row>
    <row r="258" spans="2:24" x14ac:dyDescent="0.25">
      <c r="B258" s="44"/>
      <c r="C258" s="45"/>
      <c r="D258" s="45"/>
      <c r="E258" s="45"/>
      <c r="F258" s="45"/>
      <c r="G258" s="45"/>
      <c r="H258" s="45"/>
      <c r="I258" s="45"/>
      <c r="J258" s="45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</row>
    <row r="259" spans="2:24" x14ac:dyDescent="0.25">
      <c r="B259" s="44"/>
      <c r="C259" s="45"/>
      <c r="D259" s="45"/>
      <c r="E259" s="45"/>
      <c r="F259" s="45"/>
      <c r="G259" s="45"/>
      <c r="H259" s="45"/>
      <c r="I259" s="45"/>
      <c r="J259" s="45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</row>
    <row r="260" spans="2:24" x14ac:dyDescent="0.25">
      <c r="B260" s="44"/>
      <c r="C260" s="45"/>
      <c r="D260" s="45"/>
      <c r="E260" s="45"/>
      <c r="F260" s="45"/>
      <c r="G260" s="45"/>
      <c r="H260" s="45"/>
      <c r="I260" s="45"/>
      <c r="J260" s="45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</row>
    <row r="261" spans="2:24" x14ac:dyDescent="0.25">
      <c r="B261" s="44"/>
      <c r="C261" s="45"/>
      <c r="D261" s="45"/>
      <c r="E261" s="45"/>
      <c r="F261" s="45"/>
      <c r="G261" s="45"/>
      <c r="H261" s="45"/>
      <c r="I261" s="45"/>
      <c r="J261" s="45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</row>
    <row r="262" spans="2:24" x14ac:dyDescent="0.25">
      <c r="B262" s="44"/>
      <c r="C262" s="45"/>
      <c r="D262" s="45"/>
      <c r="E262" s="45"/>
      <c r="F262" s="45"/>
      <c r="G262" s="45"/>
      <c r="H262" s="45"/>
      <c r="I262" s="45"/>
      <c r="J262" s="45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</row>
    <row r="263" spans="2:24" x14ac:dyDescent="0.25">
      <c r="B263" s="44"/>
      <c r="C263" s="45"/>
      <c r="D263" s="45"/>
      <c r="E263" s="45"/>
      <c r="F263" s="45"/>
      <c r="G263" s="45"/>
      <c r="H263" s="45"/>
      <c r="I263" s="45"/>
      <c r="J263" s="45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</row>
    <row r="264" spans="2:24" x14ac:dyDescent="0.25">
      <c r="B264" s="44"/>
      <c r="C264" s="45"/>
      <c r="D264" s="45"/>
      <c r="E264" s="45"/>
      <c r="F264" s="45"/>
      <c r="G264" s="45"/>
      <c r="H264" s="45"/>
      <c r="I264" s="45"/>
      <c r="J264" s="45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</row>
    <row r="265" spans="2:24" x14ac:dyDescent="0.25">
      <c r="B265" s="44"/>
      <c r="C265" s="45"/>
      <c r="D265" s="45"/>
      <c r="E265" s="45"/>
      <c r="F265" s="45"/>
      <c r="G265" s="45"/>
      <c r="H265" s="45"/>
      <c r="I265" s="45"/>
      <c r="J265" s="45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</row>
    <row r="266" spans="2:24" x14ac:dyDescent="0.25">
      <c r="B266" s="44"/>
      <c r="C266" s="45"/>
      <c r="D266" s="45"/>
      <c r="E266" s="45"/>
      <c r="F266" s="45"/>
      <c r="G266" s="45"/>
      <c r="H266" s="45"/>
      <c r="I266" s="45"/>
      <c r="J266" s="45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</row>
    <row r="267" spans="2:24" x14ac:dyDescent="0.25">
      <c r="B267" s="44"/>
      <c r="C267" s="45"/>
      <c r="D267" s="45"/>
      <c r="E267" s="45"/>
      <c r="F267" s="45"/>
      <c r="G267" s="45"/>
      <c r="H267" s="45"/>
      <c r="I267" s="45"/>
      <c r="J267" s="45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</row>
    <row r="268" spans="2:24" x14ac:dyDescent="0.25">
      <c r="B268" s="44"/>
      <c r="C268" s="45"/>
      <c r="D268" s="45"/>
      <c r="E268" s="45"/>
      <c r="F268" s="45"/>
      <c r="G268" s="45"/>
      <c r="H268" s="45"/>
      <c r="I268" s="45"/>
      <c r="J268" s="45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</row>
    <row r="269" spans="2:24" x14ac:dyDescent="0.25">
      <c r="B269" s="44"/>
      <c r="C269" s="45"/>
      <c r="D269" s="45"/>
      <c r="E269" s="45"/>
      <c r="F269" s="45"/>
      <c r="G269" s="45"/>
      <c r="H269" s="45"/>
      <c r="I269" s="45"/>
      <c r="J269" s="45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</row>
    <row r="270" spans="2:24" x14ac:dyDescent="0.25">
      <c r="B270" s="44"/>
      <c r="C270" s="45"/>
      <c r="D270" s="45"/>
      <c r="E270" s="45"/>
      <c r="F270" s="45"/>
      <c r="G270" s="45"/>
      <c r="H270" s="45"/>
      <c r="I270" s="45"/>
      <c r="J270" s="45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</row>
    <row r="271" spans="2:24" x14ac:dyDescent="0.25">
      <c r="B271" s="44"/>
      <c r="C271" s="45"/>
      <c r="D271" s="45"/>
      <c r="E271" s="45"/>
      <c r="F271" s="45"/>
      <c r="G271" s="45"/>
      <c r="H271" s="45"/>
      <c r="I271" s="45"/>
      <c r="J271" s="45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</row>
    <row r="272" spans="2:24" x14ac:dyDescent="0.25">
      <c r="B272" s="44"/>
      <c r="C272" s="45"/>
      <c r="D272" s="45"/>
      <c r="E272" s="45"/>
      <c r="F272" s="45"/>
      <c r="G272" s="45"/>
      <c r="H272" s="45"/>
      <c r="I272" s="45"/>
      <c r="J272" s="45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</row>
    <row r="273" spans="2:24" x14ac:dyDescent="0.25">
      <c r="B273" s="44"/>
      <c r="C273" s="45"/>
      <c r="D273" s="45"/>
      <c r="E273" s="45"/>
      <c r="F273" s="45"/>
      <c r="G273" s="45"/>
      <c r="H273" s="45"/>
      <c r="I273" s="45"/>
      <c r="J273" s="45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</row>
    <row r="274" spans="2:24" x14ac:dyDescent="0.25">
      <c r="B274" s="44"/>
      <c r="C274" s="45"/>
      <c r="D274" s="45"/>
      <c r="E274" s="45"/>
      <c r="F274" s="45"/>
      <c r="G274" s="45"/>
      <c r="H274" s="45"/>
      <c r="I274" s="45"/>
      <c r="J274" s="45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</row>
    <row r="275" spans="2:24" x14ac:dyDescent="0.25">
      <c r="B275" s="44"/>
      <c r="C275" s="45"/>
      <c r="D275" s="45"/>
      <c r="E275" s="45"/>
      <c r="F275" s="45"/>
      <c r="G275" s="45"/>
      <c r="H275" s="45"/>
      <c r="I275" s="45"/>
      <c r="J275" s="45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</row>
    <row r="276" spans="2:24" x14ac:dyDescent="0.25">
      <c r="B276" s="44"/>
      <c r="C276" s="45"/>
      <c r="D276" s="45"/>
      <c r="E276" s="45"/>
      <c r="F276" s="45"/>
      <c r="G276" s="45"/>
      <c r="H276" s="45"/>
      <c r="I276" s="45"/>
      <c r="J276" s="45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</row>
    <row r="277" spans="2:24" x14ac:dyDescent="0.25">
      <c r="B277" s="44"/>
      <c r="C277" s="45"/>
      <c r="D277" s="45"/>
      <c r="E277" s="45"/>
      <c r="F277" s="45"/>
      <c r="G277" s="45"/>
      <c r="H277" s="45"/>
      <c r="I277" s="45"/>
      <c r="J277" s="45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</row>
    <row r="278" spans="2:24" x14ac:dyDescent="0.25">
      <c r="B278" s="44"/>
      <c r="C278" s="45"/>
      <c r="D278" s="45"/>
      <c r="E278" s="45"/>
      <c r="F278" s="45"/>
      <c r="G278" s="45"/>
      <c r="H278" s="45"/>
      <c r="I278" s="45"/>
      <c r="J278" s="45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</row>
    <row r="279" spans="2:24" x14ac:dyDescent="0.25">
      <c r="B279" s="44"/>
      <c r="C279" s="45"/>
      <c r="D279" s="45"/>
      <c r="E279" s="45"/>
      <c r="F279" s="45"/>
      <c r="G279" s="45"/>
      <c r="H279" s="45"/>
      <c r="I279" s="45"/>
      <c r="J279" s="45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</row>
    <row r="280" spans="2:24" x14ac:dyDescent="0.25">
      <c r="B280" s="44"/>
      <c r="C280" s="45"/>
      <c r="D280" s="45"/>
      <c r="E280" s="45"/>
      <c r="F280" s="45"/>
      <c r="G280" s="45"/>
      <c r="H280" s="45"/>
      <c r="I280" s="45"/>
      <c r="J280" s="45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</row>
    <row r="281" spans="2:24" x14ac:dyDescent="0.25">
      <c r="B281" s="44"/>
      <c r="C281" s="45"/>
      <c r="D281" s="45"/>
      <c r="E281" s="45"/>
      <c r="F281" s="45"/>
      <c r="G281" s="45"/>
      <c r="H281" s="45"/>
      <c r="I281" s="45"/>
      <c r="J281" s="45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</row>
    <row r="282" spans="2:24" x14ac:dyDescent="0.25">
      <c r="B282" s="44"/>
      <c r="C282" s="45"/>
      <c r="D282" s="45"/>
      <c r="E282" s="45"/>
      <c r="F282" s="45"/>
      <c r="G282" s="45"/>
      <c r="H282" s="45"/>
      <c r="I282" s="45"/>
      <c r="J282" s="45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</row>
    <row r="283" spans="2:24" x14ac:dyDescent="0.25">
      <c r="B283" s="44"/>
      <c r="C283" s="45"/>
      <c r="D283" s="45"/>
      <c r="E283" s="45"/>
      <c r="F283" s="45"/>
      <c r="G283" s="45"/>
      <c r="H283" s="45"/>
      <c r="I283" s="45"/>
      <c r="J283" s="45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</row>
    <row r="284" spans="2:24" x14ac:dyDescent="0.25">
      <c r="B284" s="44"/>
      <c r="C284" s="45"/>
      <c r="D284" s="45"/>
      <c r="E284" s="45"/>
      <c r="F284" s="45"/>
      <c r="G284" s="45"/>
      <c r="H284" s="45"/>
      <c r="I284" s="45"/>
      <c r="J284" s="45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</row>
    <row r="285" spans="2:24" x14ac:dyDescent="0.25">
      <c r="B285" s="44"/>
      <c r="C285" s="45"/>
      <c r="D285" s="45"/>
      <c r="E285" s="45"/>
      <c r="F285" s="45"/>
      <c r="G285" s="45"/>
      <c r="H285" s="45"/>
      <c r="I285" s="45"/>
      <c r="J285" s="45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</row>
  </sheetData>
  <mergeCells count="18">
    <mergeCell ref="B2:B3"/>
    <mergeCell ref="C2:C3"/>
    <mergeCell ref="D2:D3"/>
    <mergeCell ref="E2:E3"/>
    <mergeCell ref="F2:F3"/>
    <mergeCell ref="B26:B27"/>
    <mergeCell ref="C26:C27"/>
    <mergeCell ref="D26:D27"/>
    <mergeCell ref="E26:E27"/>
    <mergeCell ref="F26:F27"/>
    <mergeCell ref="I26:I27"/>
    <mergeCell ref="J26:J27"/>
    <mergeCell ref="G2:G3"/>
    <mergeCell ref="I2:I3"/>
    <mergeCell ref="J2:J3"/>
    <mergeCell ref="H26:H27"/>
    <mergeCell ref="G26:G27"/>
    <mergeCell ref="H2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showGridLines="0" workbookViewId="0">
      <selection activeCell="V14" sqref="V14:W14"/>
    </sheetView>
  </sheetViews>
  <sheetFormatPr defaultRowHeight="15" x14ac:dyDescent="0.25"/>
  <cols>
    <col min="1" max="1" width="2.42578125" customWidth="1"/>
    <col min="2" max="2" width="14.7109375" style="15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54"/>
    </row>
    <row r="2" spans="1:17" ht="15" customHeight="1" x14ac:dyDescent="0.25">
      <c r="B2" s="153" t="s">
        <v>20</v>
      </c>
      <c r="C2" s="133" t="s">
        <v>41</v>
      </c>
      <c r="D2" s="133" t="s">
        <v>53</v>
      </c>
      <c r="E2" s="133" t="s">
        <v>39</v>
      </c>
      <c r="F2" s="135" t="s">
        <v>21</v>
      </c>
      <c r="G2" s="174"/>
      <c r="H2" s="174"/>
      <c r="I2" s="174"/>
      <c r="J2" s="174"/>
    </row>
    <row r="3" spans="1:17" ht="15.75" customHeight="1" thickBot="1" x14ac:dyDescent="0.3">
      <c r="B3" s="154"/>
      <c r="C3" s="134"/>
      <c r="D3" s="134"/>
      <c r="E3" s="134"/>
      <c r="F3" s="136"/>
      <c r="G3" s="174"/>
      <c r="H3" s="174"/>
      <c r="I3" s="174"/>
      <c r="J3" s="174"/>
    </row>
    <row r="4" spans="1:17" x14ac:dyDescent="0.25">
      <c r="A4" s="48"/>
      <c r="B4" s="85">
        <v>43101</v>
      </c>
      <c r="C4" s="43">
        <f>SUMIFS('Raw Data'!$I$5:$I$500,'Raw Data'!$F$5:$F$500,"&gt;="&amp;$B4,'Raw Data'!$F$5:$F$500,"&lt;="&amp;EOMONTH($B4,0))</f>
        <v>148778.38472103846</v>
      </c>
      <c r="D4" s="53">
        <f>COUNTIFS('Raw Data'!$F$5:$F$500,"&gt;="&amp;$B4,'Raw Data'!$F$5:$F$500,"&lt;="&amp;EOMONTH($B4,0))</f>
        <v>11</v>
      </c>
      <c r="E4" s="43">
        <f>SUMIFS('Raw Data'!$I$5:$I$500,'Raw Data'!$F$5:$F$500,"&gt;="&amp;$B4,'Raw Data'!$F$5:$F$500,"&lt;="&amp;EOMONTH($B4,0))/COUNTIFS('Raw Data'!$F$5:$F$500,"&gt;="&amp;$B4,'Raw Data'!$F$5:$F$500,"&lt;="&amp;EOMONTH($B4,0))</f>
        <v>13525.307701912587</v>
      </c>
      <c r="F4" s="87">
        <f>SUMIFS('Raw Data'!$K$5:$K$500,'Raw Data'!$F$5:$F$500,"&gt;="&amp;$B4,'Raw Data'!$F$5:$F$500,"&lt;="&amp;EOMONTH($B4,0))/COUNTIFS('Raw Data'!$F$5:$F$500,"&gt;="&amp;$B4,'Raw Data'!$F$5:$F$500,"&lt;="&amp;EOMONTH($B4,0))</f>
        <v>0.50495954540832622</v>
      </c>
      <c r="G4" s="71"/>
      <c r="H4" s="70"/>
      <c r="I4" s="70"/>
      <c r="J4" s="70"/>
    </row>
    <row r="5" spans="1:17" x14ac:dyDescent="0.25">
      <c r="A5" s="48"/>
      <c r="B5" s="84">
        <v>43132</v>
      </c>
      <c r="C5" s="42">
        <f>SUMIFS('Raw Data'!$I$5:$I$500,'Raw Data'!$F$5:$F$500,"&gt;="&amp;$B5,'Raw Data'!$F$5:$F$500,"&lt;="&amp;EOMONTH($B5,0))</f>
        <v>268631.68367455679</v>
      </c>
      <c r="D5" s="53">
        <f>COUNTIFS('Raw Data'!$F$5:$F$500,"&gt;="&amp;$B5,'Raw Data'!$F$5:$F$500,"&lt;="&amp;EOMONTH($B5,0))</f>
        <v>18</v>
      </c>
      <c r="E5" s="43">
        <f>SUMIFS('Raw Data'!$I$5:$I$500,'Raw Data'!$F$5:$F$500,"&gt;="&amp;$B5,'Raw Data'!$F$5:$F$500,"&lt;="&amp;EOMONTH($B5,0))/COUNTIFS('Raw Data'!$F$5:$F$500,"&gt;="&amp;$B5,'Raw Data'!$F$5:$F$500,"&lt;="&amp;EOMONTH($B5,0))</f>
        <v>14923.982426364266</v>
      </c>
      <c r="F5" s="87">
        <f>SUMIFS('Raw Data'!$K$5:$K$500,'Raw Data'!$F$5:$F$500,"&gt;="&amp;$B5,'Raw Data'!$F$5:$F$500,"&lt;="&amp;EOMONTH($B5,0))/COUNTIFS('Raw Data'!$F$5:$F$500,"&gt;="&amp;$B5,'Raw Data'!$F$5:$F$500,"&lt;="&amp;EOMONTH($B5,0))</f>
        <v>0.48222064901706485</v>
      </c>
      <c r="G5" s="71"/>
      <c r="H5" s="70"/>
      <c r="I5" s="70"/>
      <c r="J5" s="70"/>
    </row>
    <row r="6" spans="1:17" x14ac:dyDescent="0.25">
      <c r="A6" s="48"/>
      <c r="B6" s="84">
        <v>43160</v>
      </c>
      <c r="C6" s="42">
        <f>SUMIFS('Raw Data'!$I$5:$I$500,'Raw Data'!$F$5:$F$500,"&gt;="&amp;$B6,'Raw Data'!$F$5:$F$500,"&lt;="&amp;EOMONTH($B6,0))</f>
        <v>546578.26578353031</v>
      </c>
      <c r="D6" s="53">
        <f>COUNTIFS('Raw Data'!$F$5:$F$500,"&gt;="&amp;$B6,'Raw Data'!$F$5:$F$500,"&lt;="&amp;EOMONTH($B6,0))</f>
        <v>29</v>
      </c>
      <c r="E6" s="43">
        <f>SUMIFS('Raw Data'!$I$5:$I$500,'Raw Data'!$F$5:$F$500,"&gt;="&amp;$B6,'Raw Data'!$F$5:$F$500,"&lt;="&amp;EOMONTH($B6,0))/COUNTIFS('Raw Data'!$F$5:$F$500,"&gt;="&amp;$B6,'Raw Data'!$F$5:$F$500,"&lt;="&amp;EOMONTH($B6,0))</f>
        <v>18847.52640632863</v>
      </c>
      <c r="F6" s="87">
        <f>SUMIFS('Raw Data'!$K$5:$K$500,'Raw Data'!$F$5:$F$500,"&gt;="&amp;$B6,'Raw Data'!$F$5:$F$500,"&lt;="&amp;EOMONTH($B6,0))/COUNTIFS('Raw Data'!$F$5:$F$500,"&gt;="&amp;$B6,'Raw Data'!$F$5:$F$500,"&lt;="&amp;EOMONTH($B6,0))</f>
        <v>0.46064269154112708</v>
      </c>
      <c r="G6" s="71"/>
      <c r="H6" s="70"/>
      <c r="I6" s="70"/>
      <c r="J6" s="70"/>
      <c r="M6" s="101"/>
    </row>
    <row r="7" spans="1:17" x14ac:dyDescent="0.25">
      <c r="A7" s="48"/>
      <c r="B7" s="85">
        <v>43191</v>
      </c>
      <c r="C7" s="42">
        <f>SUMIFS('Raw Data'!$I$5:$I$500,'Raw Data'!$F$5:$F$500,"&gt;="&amp;$B7,'Raw Data'!$F$5:$F$500,"&lt;="&amp;EOMONTH($B7,0))</f>
        <v>362532.47796293622</v>
      </c>
      <c r="D7" s="53">
        <f>COUNTIFS('Raw Data'!$F$5:$F$500,"&gt;="&amp;$B7,'Raw Data'!$F$5:$F$500,"&lt;="&amp;EOMONTH($B7,0))</f>
        <v>30</v>
      </c>
      <c r="E7" s="43">
        <f>SUMIFS('Raw Data'!$I$5:$I$500,'Raw Data'!$F$5:$F$500,"&gt;="&amp;$B7,'Raw Data'!$F$5:$F$500,"&lt;="&amp;EOMONTH($B7,0))/COUNTIFS('Raw Data'!$F$5:$F$500,"&gt;="&amp;$B7,'Raw Data'!$F$5:$F$500,"&lt;="&amp;EOMONTH($B7,0))</f>
        <v>12084.415932097874</v>
      </c>
      <c r="F7" s="87">
        <f>SUMIFS('Raw Data'!$K$5:$K$500,'Raw Data'!$F$5:$F$500,"&gt;="&amp;$B7,'Raw Data'!$F$5:$F$500,"&lt;="&amp;EOMONTH($B7,0))/COUNTIFS('Raw Data'!$F$5:$F$500,"&gt;="&amp;$B7,'Raw Data'!$F$5:$F$500,"&lt;="&amp;EOMONTH($B7,0))</f>
        <v>0.50666190452552762</v>
      </c>
      <c r="G7" s="71"/>
      <c r="H7" s="70"/>
      <c r="I7" s="70"/>
      <c r="J7" s="70"/>
    </row>
    <row r="8" spans="1:17" x14ac:dyDescent="0.25">
      <c r="A8" s="48"/>
      <c r="B8" s="84">
        <v>43221</v>
      </c>
      <c r="C8" s="42">
        <f>SUMIFS('Raw Data'!$I$5:$I$500,'Raw Data'!$F$5:$F$500,"&gt;="&amp;$B8,'Raw Data'!$F$5:$F$500,"&lt;="&amp;EOMONTH($B8,0))</f>
        <v>436963.04072194907</v>
      </c>
      <c r="D8" s="53">
        <f>COUNTIFS('Raw Data'!$F$5:$F$500,"&gt;="&amp;$B8,'Raw Data'!$F$5:$F$500,"&lt;="&amp;EOMONTH($B8,0))</f>
        <v>25</v>
      </c>
      <c r="E8" s="43">
        <f>SUMIFS('Raw Data'!$I$5:$I$500,'Raw Data'!$F$5:$F$500,"&gt;="&amp;$B8,'Raw Data'!$F$5:$F$500,"&lt;="&amp;EOMONTH($B8,0))/COUNTIFS('Raw Data'!$F$5:$F$500,"&gt;="&amp;$B8,'Raw Data'!$F$5:$F$500,"&lt;="&amp;EOMONTH($B8,0))</f>
        <v>17478.521628877963</v>
      </c>
      <c r="F8" s="87">
        <f>SUMIFS('Raw Data'!$K$5:$K$500,'Raw Data'!$F$5:$F$500,"&gt;="&amp;$B8,'Raw Data'!$F$5:$F$500,"&lt;="&amp;EOMONTH($B8,0))/COUNTIFS('Raw Data'!$F$5:$F$500,"&gt;="&amp;$B8,'Raw Data'!$F$5:$F$500,"&lt;="&amp;EOMONTH($B8,0))</f>
        <v>0.5510549434738482</v>
      </c>
      <c r="G8" s="71"/>
      <c r="H8" s="70"/>
      <c r="I8" s="70"/>
      <c r="J8" s="70"/>
      <c r="Q8" s="6"/>
    </row>
    <row r="9" spans="1:17" x14ac:dyDescent="0.25">
      <c r="A9" s="48"/>
      <c r="B9" s="85">
        <v>43252</v>
      </c>
      <c r="C9" s="42">
        <f>SUMIFS('Raw Data'!$I$5:$I$500,'Raw Data'!$F$5:$F$500,"&gt;="&amp;$B9,'Raw Data'!$F$5:$F$500,"&lt;="&amp;EOMONTH($B9,0))</f>
        <v>346769.64752579248</v>
      </c>
      <c r="D9" s="53">
        <f>COUNTIFS('Raw Data'!$F$5:$F$500,"&gt;="&amp;$B9,'Raw Data'!$F$5:$F$500,"&lt;="&amp;EOMONTH($B9,0))</f>
        <v>25</v>
      </c>
      <c r="E9" s="43">
        <f>SUMIFS('Raw Data'!$I$5:$I$500,'Raw Data'!$F$5:$F$500,"&gt;="&amp;$B9,'Raw Data'!$F$5:$F$500,"&lt;="&amp;EOMONTH($B9,0))/COUNTIFS('Raw Data'!$F$5:$F$500,"&gt;="&amp;$B9,'Raw Data'!$F$5:$F$500,"&lt;="&amp;EOMONTH($B9,0))</f>
        <v>13870.785901031699</v>
      </c>
      <c r="F9" s="87">
        <f>SUMIFS('Raw Data'!$K$5:$K$500,'Raw Data'!$F$5:$F$500,"&gt;="&amp;$B9,'Raw Data'!$F$5:$F$500,"&lt;="&amp;EOMONTH($B9,0))/COUNTIFS('Raw Data'!$F$5:$F$500,"&gt;="&amp;$B9,'Raw Data'!$F$5:$F$500,"&lt;="&amp;EOMONTH($B9,0))</f>
        <v>0.51063854832859557</v>
      </c>
      <c r="G9" s="71"/>
      <c r="H9" s="70"/>
      <c r="I9" s="70"/>
      <c r="J9" s="70"/>
    </row>
    <row r="10" spans="1:17" x14ac:dyDescent="0.25">
      <c r="A10" s="48"/>
      <c r="B10" s="84">
        <v>43282</v>
      </c>
      <c r="C10" s="42">
        <f>SUMIFS('Raw Data'!$I$5:$I$500,'Raw Data'!$F$5:$F$500,"&gt;="&amp;$B10,'Raw Data'!$F$5:$F$500,"&lt;="&amp;EOMONTH($B10,0))</f>
        <v>365319.15972316125</v>
      </c>
      <c r="D10" s="53">
        <f>COUNTIFS('Raw Data'!$F$5:$F$500,"&gt;="&amp;$B10,'Raw Data'!$F$5:$F$500,"&lt;="&amp;EOMONTH($B10,0))</f>
        <v>24</v>
      </c>
      <c r="E10" s="43">
        <f>SUMIFS('Raw Data'!$I$5:$I$500,'Raw Data'!$F$5:$F$500,"&gt;="&amp;$B10,'Raw Data'!$F$5:$F$500,"&lt;="&amp;EOMONTH($B10,0))/COUNTIFS('Raw Data'!$F$5:$F$500,"&gt;="&amp;$B10,'Raw Data'!$F$5:$F$500,"&lt;="&amp;EOMONTH($B10,0))</f>
        <v>15221.63165513172</v>
      </c>
      <c r="F10" s="87">
        <f>SUMIFS('Raw Data'!$K$5:$K$500,'Raw Data'!$F$5:$F$500,"&gt;="&amp;$B10,'Raw Data'!$F$5:$F$500,"&lt;="&amp;EOMONTH($B10,0))/COUNTIFS('Raw Data'!$F$5:$F$500,"&gt;="&amp;$B10,'Raw Data'!$F$5:$F$500,"&lt;="&amp;EOMONTH($B10,0))</f>
        <v>0.48237985503749731</v>
      </c>
      <c r="G10" s="71"/>
      <c r="H10" s="70"/>
      <c r="I10" s="70"/>
      <c r="J10" s="70"/>
    </row>
    <row r="11" spans="1:17" x14ac:dyDescent="0.25">
      <c r="A11" s="48"/>
      <c r="B11" s="84">
        <v>43313</v>
      </c>
      <c r="C11" s="42">
        <f>SUMIFS('Raw Data'!$I$5:$I$500,'Raw Data'!$F$5:$F$500,"&gt;="&amp;$B11,'Raw Data'!$F$5:$F$500,"&lt;="&amp;EOMONTH($B11,0))</f>
        <v>198485.66130841125</v>
      </c>
      <c r="D11" s="53">
        <f>COUNTIFS('Raw Data'!$F$5:$F$500,"&gt;="&amp;$B11,'Raw Data'!$F$5:$F$500,"&lt;="&amp;EOMONTH($B11,0))</f>
        <v>18</v>
      </c>
      <c r="E11" s="43">
        <f>SUMIFS('Raw Data'!$I$5:$I$500,'Raw Data'!$F$5:$F$500,"&gt;="&amp;$B11,'Raw Data'!$F$5:$F$500,"&lt;="&amp;EOMONTH($B11,0))/COUNTIFS('Raw Data'!$F$5:$F$500,"&gt;="&amp;$B11,'Raw Data'!$F$5:$F$500,"&lt;="&amp;EOMONTH($B11,0))</f>
        <v>11026.981183800624</v>
      </c>
      <c r="F11" s="87">
        <f>SUMIFS('Raw Data'!$K$5:$K$500,'Raw Data'!$F$5:$F$500,"&gt;="&amp;$B11,'Raw Data'!$F$5:$F$500,"&lt;="&amp;EOMONTH($B11,0))/COUNTIFS('Raw Data'!$F$5:$F$500,"&gt;="&amp;$B11,'Raw Data'!$F$5:$F$500,"&lt;="&amp;EOMONTH($B11,0))</f>
        <v>0.51768200028664679</v>
      </c>
      <c r="G11" s="71"/>
      <c r="H11" s="70"/>
      <c r="I11" s="70"/>
      <c r="J11" s="70"/>
    </row>
    <row r="12" spans="1:17" x14ac:dyDescent="0.25">
      <c r="A12" s="48"/>
      <c r="B12" s="85">
        <v>43344</v>
      </c>
      <c r="C12" s="42">
        <f>SUMIFS('Raw Data'!$I$5:$I$500,'Raw Data'!$F$5:$F$500,"&gt;="&amp;$B12,'Raw Data'!$F$5:$F$500,"&lt;="&amp;EOMONTH($B12,0))</f>
        <v>150178.60019862271</v>
      </c>
      <c r="D12" s="53">
        <f>COUNTIFS('Raw Data'!$F$5:$F$500,"&gt;="&amp;$B12,'Raw Data'!$F$5:$F$500,"&lt;="&amp;EOMONTH($B12,0))</f>
        <v>18</v>
      </c>
      <c r="E12" s="43">
        <f>SUMIFS('Raw Data'!$I$5:$I$500,'Raw Data'!$F$5:$F$500,"&gt;="&amp;$B12,'Raw Data'!$F$5:$F$500,"&lt;="&amp;EOMONTH($B12,0))/COUNTIFS('Raw Data'!$F$5:$F$500,"&gt;="&amp;$B12,'Raw Data'!$F$5:$F$500,"&lt;="&amp;EOMONTH($B12,0))</f>
        <v>8343.2555665901509</v>
      </c>
      <c r="F12" s="87">
        <f>SUMIFS('Raw Data'!$K$5:$K$500,'Raw Data'!$F$5:$F$500,"&gt;="&amp;$B12,'Raw Data'!$F$5:$F$500,"&lt;="&amp;EOMONTH($B12,0))/COUNTIFS('Raw Data'!$F$5:$F$500,"&gt;="&amp;$B12,'Raw Data'!$F$5:$F$500,"&lt;="&amp;EOMONTH($B12,0))</f>
        <v>0.49819444486615549</v>
      </c>
      <c r="G12" s="71"/>
      <c r="H12" s="70"/>
      <c r="I12" s="70"/>
      <c r="J12" s="70"/>
    </row>
    <row r="13" spans="1:17" x14ac:dyDescent="0.25">
      <c r="A13" s="48"/>
      <c r="B13" s="84">
        <v>43374</v>
      </c>
      <c r="C13" s="42">
        <f>SUMIFS('Raw Data'!$I$5:$I$500,'Raw Data'!$F$5:$F$500,"&gt;="&amp;$B13,'Raw Data'!$F$5:$F$500,"&lt;="&amp;EOMONTH($B13,0))</f>
        <v>280066.28172436176</v>
      </c>
      <c r="D13" s="53">
        <f>COUNTIFS('Raw Data'!$F$5:$F$500,"&gt;="&amp;$B13,'Raw Data'!$F$5:$F$500,"&lt;="&amp;EOMONTH($B13,0))</f>
        <v>17</v>
      </c>
      <c r="E13" s="43">
        <f>SUMIFS('Raw Data'!$I$5:$I$500,'Raw Data'!$F$5:$F$500,"&gt;="&amp;$B13,'Raw Data'!$F$5:$F$500,"&lt;="&amp;EOMONTH($B13,0))/COUNTIFS('Raw Data'!$F$5:$F$500,"&gt;="&amp;$B13,'Raw Data'!$F$5:$F$500,"&lt;="&amp;EOMONTH($B13,0))</f>
        <v>16474.487160256573</v>
      </c>
      <c r="F13" s="87">
        <f>SUMIFS('Raw Data'!$K$5:$K$500,'Raw Data'!$F$5:$F$500,"&gt;="&amp;$B13,'Raw Data'!$F$5:$F$500,"&lt;="&amp;EOMONTH($B13,0))/COUNTIFS('Raw Data'!$F$5:$F$500,"&gt;="&amp;$B13,'Raw Data'!$F$5:$F$500,"&lt;="&amp;EOMONTH($B13,0))</f>
        <v>0.50037730861523766</v>
      </c>
      <c r="G13" s="71"/>
      <c r="H13" s="70"/>
      <c r="I13" s="70"/>
      <c r="J13" s="70"/>
      <c r="Q13" s="6"/>
    </row>
    <row r="14" spans="1:17" x14ac:dyDescent="0.25">
      <c r="A14" s="48"/>
      <c r="B14" s="85">
        <v>43405</v>
      </c>
      <c r="C14" s="42">
        <f>SUMIFS('Raw Data'!$I$5:$I$500,'Raw Data'!$F$5:$F$500,"&gt;="&amp;$B14,'Raw Data'!$F$5:$F$500,"&lt;="&amp;EOMONTH($B14,0))</f>
        <v>148885.32317948065</v>
      </c>
      <c r="D14" s="53">
        <f>COUNTIFS('Raw Data'!$F$5:$F$500,"&gt;="&amp;$B14,'Raw Data'!$F$5:$F$500,"&lt;="&amp;EOMONTH($B14,0))</f>
        <v>14</v>
      </c>
      <c r="E14" s="43">
        <f>SUMIFS('Raw Data'!$I$5:$I$500,'Raw Data'!$F$5:$F$500,"&gt;="&amp;$B14,'Raw Data'!$F$5:$F$500,"&lt;="&amp;EOMONTH($B14,0))/COUNTIFS('Raw Data'!$F$5:$F$500,"&gt;="&amp;$B14,'Raw Data'!$F$5:$F$500,"&lt;="&amp;EOMONTH($B14,0))</f>
        <v>10634.665941391475</v>
      </c>
      <c r="F14" s="87">
        <f>SUMIFS('Raw Data'!$K$5:$K$500,'Raw Data'!$F$5:$F$500,"&gt;="&amp;$B14,'Raw Data'!$F$5:$F$500,"&lt;="&amp;EOMONTH($B14,0))/COUNTIFS('Raw Data'!$F$5:$F$500,"&gt;="&amp;$B14,'Raw Data'!$F$5:$F$500,"&lt;="&amp;EOMONTH($B14,0))</f>
        <v>0.46858875677614575</v>
      </c>
      <c r="G14" s="71"/>
      <c r="H14" s="70"/>
      <c r="I14" s="70"/>
      <c r="J14" s="70"/>
    </row>
    <row r="15" spans="1:17" ht="15.75" thickBot="1" x14ac:dyDescent="0.3">
      <c r="A15" s="48"/>
      <c r="B15" s="86">
        <v>43435</v>
      </c>
      <c r="C15" s="75">
        <f>SUMIFS('Raw Data'!$I$5:$I$500,'Raw Data'!$F$5:$F$500,"&gt;="&amp;$B15,'Raw Data'!$F$5:$F$500,"&lt;="&amp;EOMONTH($B15,0))</f>
        <v>111106.86870280156</v>
      </c>
      <c r="D15" s="53">
        <f>COUNTIFS('Raw Data'!$F$5:$F$500,"&gt;="&amp;$B15,'Raw Data'!$F$5:$F$500,"&lt;="&amp;EOMONTH($B15,0))</f>
        <v>6</v>
      </c>
      <c r="E15" s="43">
        <f>SUMIFS('Raw Data'!$I$5:$I$500,'Raw Data'!$F$5:$F$500,"&gt;="&amp;$B15,'Raw Data'!$F$5:$F$500,"&lt;="&amp;EOMONTH($B15,0))/COUNTIFS('Raw Data'!$F$5:$F$500,"&gt;="&amp;$B15,'Raw Data'!$F$5:$F$500,"&lt;="&amp;EOMONTH($B15,0))</f>
        <v>18517.811450466925</v>
      </c>
      <c r="F15" s="87">
        <f>SUMIFS('Raw Data'!$K$5:$K$500,'Raw Data'!$F$5:$F$500,"&gt;="&amp;$B15,'Raw Data'!$F$5:$F$500,"&lt;="&amp;EOMONTH($B15,0))/COUNTIFS('Raw Data'!$F$5:$F$500,"&gt;="&amp;$B15,'Raw Data'!$F$5:$F$500,"&lt;="&amp;EOMONTH($B15,0))</f>
        <v>0.57907588472440397</v>
      </c>
      <c r="G15" s="71"/>
      <c r="H15" s="70"/>
      <c r="I15" s="70"/>
      <c r="J15" s="70"/>
    </row>
    <row r="16" spans="1:17" ht="15.75" customHeight="1" x14ac:dyDescent="0.25">
      <c r="B16" s="153"/>
      <c r="C16" s="167">
        <f>SUM(C4:C15)</f>
        <v>3364295.395226642</v>
      </c>
      <c r="D16" s="171">
        <f>SUM(D4:D15)</f>
        <v>235</v>
      </c>
      <c r="E16" s="167">
        <f>C16/D16</f>
        <v>14316.150617985712</v>
      </c>
      <c r="F16" s="176">
        <f>'Raw Data'!K3</f>
        <v>0.49001917975163811</v>
      </c>
      <c r="G16" s="175"/>
      <c r="H16" s="173"/>
      <c r="I16" s="173"/>
      <c r="J16" s="173"/>
    </row>
    <row r="17" spans="2:23" ht="15.75" customHeight="1" thickBot="1" x14ac:dyDescent="0.3">
      <c r="B17" s="154"/>
      <c r="C17" s="168"/>
      <c r="D17" s="172"/>
      <c r="E17" s="168"/>
      <c r="F17" s="177"/>
      <c r="G17" s="175"/>
      <c r="H17" s="173"/>
      <c r="I17" s="173"/>
      <c r="J17" s="173"/>
    </row>
    <row r="18" spans="2:23" ht="15.75" thickBot="1" x14ac:dyDescent="0.3">
      <c r="B18" s="44"/>
      <c r="C18" s="45"/>
      <c r="D18" s="45"/>
      <c r="E18" s="45"/>
      <c r="F18" s="45"/>
      <c r="G18" s="45"/>
      <c r="H18" s="45"/>
      <c r="I18" s="45"/>
      <c r="J18" s="45"/>
    </row>
    <row r="19" spans="2:23" x14ac:dyDescent="0.25">
      <c r="B19" s="55"/>
      <c r="C19" s="56"/>
      <c r="D19" s="56"/>
      <c r="E19" s="56"/>
      <c r="F19" s="56"/>
      <c r="G19" s="56"/>
      <c r="H19" s="56"/>
      <c r="I19" s="56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/>
    </row>
    <row r="20" spans="2:23" x14ac:dyDescent="0.25">
      <c r="B20" s="59"/>
      <c r="C20" s="46"/>
      <c r="D20" s="46"/>
      <c r="E20" s="46"/>
      <c r="F20" s="46"/>
      <c r="G20" s="46"/>
      <c r="H20" s="46"/>
      <c r="I20" s="46"/>
      <c r="J20" s="4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1"/>
    </row>
    <row r="21" spans="2:23" x14ac:dyDescent="0.25">
      <c r="B21" s="59"/>
      <c r="C21" s="46"/>
      <c r="D21" s="46"/>
      <c r="E21" s="46"/>
      <c r="F21" s="46"/>
      <c r="G21" s="46"/>
      <c r="H21" s="46"/>
      <c r="I21" s="46"/>
      <c r="J21" s="46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1"/>
    </row>
    <row r="22" spans="2:23" x14ac:dyDescent="0.25">
      <c r="B22" s="59"/>
      <c r="C22" s="46"/>
      <c r="D22" s="46"/>
      <c r="E22" s="46"/>
      <c r="F22" s="46"/>
      <c r="G22" s="46"/>
      <c r="H22" s="46"/>
      <c r="I22" s="46"/>
      <c r="J22" s="46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1"/>
    </row>
    <row r="23" spans="2:23" x14ac:dyDescent="0.25">
      <c r="B23" s="59"/>
      <c r="C23" s="46"/>
      <c r="D23" s="46"/>
      <c r="E23" s="46"/>
      <c r="F23" s="46"/>
      <c r="G23" s="46"/>
      <c r="H23" s="46"/>
      <c r="I23" s="46"/>
      <c r="J23" s="4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1"/>
    </row>
    <row r="24" spans="2:23" x14ac:dyDescent="0.25">
      <c r="B24" s="59"/>
      <c r="C24" s="46"/>
      <c r="D24" s="46"/>
      <c r="E24" s="46"/>
      <c r="F24" s="46"/>
      <c r="G24" s="46"/>
      <c r="H24" s="46"/>
      <c r="I24" s="46"/>
      <c r="J24" s="4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1"/>
    </row>
    <row r="25" spans="2:23" x14ac:dyDescent="0.25">
      <c r="B25" s="59"/>
      <c r="C25" s="46"/>
      <c r="D25" s="46"/>
      <c r="E25" s="46"/>
      <c r="F25" s="46"/>
      <c r="G25" s="46"/>
      <c r="H25" s="46"/>
      <c r="I25" s="46"/>
      <c r="J25" s="4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1"/>
    </row>
    <row r="26" spans="2:23" x14ac:dyDescent="0.25">
      <c r="B26" s="59"/>
      <c r="C26" s="46"/>
      <c r="D26" s="46"/>
      <c r="E26" s="46"/>
      <c r="F26" s="46"/>
      <c r="G26" s="46"/>
      <c r="H26" s="46"/>
      <c r="I26" s="46"/>
      <c r="J26" s="4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1"/>
    </row>
    <row r="27" spans="2:23" x14ac:dyDescent="0.25">
      <c r="B27" s="59"/>
      <c r="C27" s="46"/>
      <c r="D27" s="46"/>
      <c r="E27" s="46"/>
      <c r="F27" s="46"/>
      <c r="G27" s="46"/>
      <c r="H27" s="46"/>
      <c r="I27" s="46"/>
      <c r="J27" s="4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1"/>
    </row>
    <row r="28" spans="2:23" x14ac:dyDescent="0.25">
      <c r="B28" s="59"/>
      <c r="C28" s="46"/>
      <c r="D28" s="46"/>
      <c r="E28" s="46"/>
      <c r="F28" s="46"/>
      <c r="G28" s="46"/>
      <c r="H28" s="46"/>
      <c r="I28" s="46"/>
      <c r="J28" s="4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1"/>
    </row>
    <row r="29" spans="2:23" x14ac:dyDescent="0.25">
      <c r="B29" s="59"/>
      <c r="C29" s="46"/>
      <c r="D29" s="46"/>
      <c r="E29" s="46"/>
      <c r="F29" s="46"/>
      <c r="G29" s="46"/>
      <c r="H29" s="46"/>
      <c r="I29" s="46"/>
      <c r="J29" s="4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1"/>
    </row>
    <row r="30" spans="2:23" x14ac:dyDescent="0.25">
      <c r="B30" s="59"/>
      <c r="C30" s="46"/>
      <c r="D30" s="46"/>
      <c r="E30" s="46"/>
      <c r="F30" s="46"/>
      <c r="G30" s="46"/>
      <c r="H30" s="46"/>
      <c r="I30" s="46"/>
      <c r="J30" s="4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1"/>
    </row>
    <row r="31" spans="2:23" x14ac:dyDescent="0.25">
      <c r="B31" s="59"/>
      <c r="C31" s="46"/>
      <c r="D31" s="46"/>
      <c r="E31" s="46"/>
      <c r="F31" s="46"/>
      <c r="G31" s="46"/>
      <c r="H31" s="46"/>
      <c r="I31" s="46"/>
      <c r="J31" s="46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1"/>
    </row>
    <row r="32" spans="2:23" x14ac:dyDescent="0.25">
      <c r="B32" s="59"/>
      <c r="C32" s="46"/>
      <c r="D32" s="46"/>
      <c r="E32" s="46"/>
      <c r="F32" s="46"/>
      <c r="G32" s="46"/>
      <c r="H32" s="46"/>
      <c r="I32" s="46"/>
      <c r="J32" s="46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2:23" x14ac:dyDescent="0.25">
      <c r="B33" s="59"/>
      <c r="C33" s="46"/>
      <c r="D33" s="46"/>
      <c r="E33" s="46"/>
      <c r="F33" s="46"/>
      <c r="G33" s="46"/>
      <c r="H33" s="46"/>
      <c r="I33" s="46"/>
      <c r="J33" s="4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1"/>
    </row>
    <row r="34" spans="2:23" x14ac:dyDescent="0.25">
      <c r="B34" s="59"/>
      <c r="C34" s="46"/>
      <c r="D34" s="46"/>
      <c r="E34" s="46"/>
      <c r="F34" s="46"/>
      <c r="G34" s="46"/>
      <c r="H34" s="46"/>
      <c r="I34" s="46"/>
      <c r="J34" s="4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</row>
    <row r="35" spans="2:23" x14ac:dyDescent="0.25">
      <c r="B35" s="59"/>
      <c r="C35" s="46"/>
      <c r="D35" s="46"/>
      <c r="E35" s="46"/>
      <c r="F35" s="46"/>
      <c r="G35" s="46"/>
      <c r="H35" s="46"/>
      <c r="I35" s="46"/>
      <c r="J35" s="4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1"/>
    </row>
    <row r="36" spans="2:23" x14ac:dyDescent="0.25">
      <c r="B36" s="59"/>
      <c r="C36" s="46"/>
      <c r="D36" s="46"/>
      <c r="E36" s="46"/>
      <c r="F36" s="46"/>
      <c r="G36" s="46"/>
      <c r="H36" s="46"/>
      <c r="I36" s="46"/>
      <c r="J36" s="4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1"/>
    </row>
    <row r="37" spans="2:23" x14ac:dyDescent="0.25">
      <c r="B37" s="59"/>
      <c r="C37" s="46"/>
      <c r="D37" s="46"/>
      <c r="E37" s="46"/>
      <c r="F37" s="46"/>
      <c r="G37" s="46"/>
      <c r="H37" s="46"/>
      <c r="I37" s="46"/>
      <c r="J37" s="4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1"/>
    </row>
    <row r="38" spans="2:23" x14ac:dyDescent="0.25">
      <c r="B38" s="62"/>
      <c r="C38" s="45"/>
      <c r="D38" s="45"/>
      <c r="E38" s="45"/>
      <c r="F38" s="45"/>
      <c r="G38" s="45"/>
      <c r="H38" s="45"/>
      <c r="I38" s="45"/>
      <c r="J38" s="45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1"/>
    </row>
    <row r="39" spans="2:23" x14ac:dyDescent="0.25">
      <c r="B39" s="62"/>
      <c r="C39" s="45"/>
      <c r="D39" s="45"/>
      <c r="E39" s="45"/>
      <c r="F39" s="45"/>
      <c r="G39" s="45"/>
      <c r="H39" s="45"/>
      <c r="I39" s="45"/>
      <c r="J39" s="45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1"/>
    </row>
    <row r="40" spans="2:23" x14ac:dyDescent="0.25">
      <c r="B40" s="62"/>
      <c r="C40" s="45"/>
      <c r="D40" s="45"/>
      <c r="E40" s="45"/>
      <c r="F40" s="45"/>
      <c r="G40" s="45"/>
      <c r="H40" s="45"/>
      <c r="I40" s="45"/>
      <c r="J40" s="45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1"/>
    </row>
    <row r="41" spans="2:23" x14ac:dyDescent="0.25">
      <c r="B41" s="62"/>
      <c r="C41" s="45"/>
      <c r="D41" s="45"/>
      <c r="E41" s="45"/>
      <c r="F41" s="45"/>
      <c r="G41" s="45"/>
      <c r="H41" s="45"/>
      <c r="I41" s="45"/>
      <c r="J41" s="45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1"/>
    </row>
    <row r="42" spans="2:23" x14ac:dyDescent="0.25">
      <c r="B42" s="62"/>
      <c r="C42" s="45"/>
      <c r="D42" s="45"/>
      <c r="E42" s="45"/>
      <c r="F42" s="45"/>
      <c r="G42" s="45"/>
      <c r="H42" s="45"/>
      <c r="I42" s="45"/>
      <c r="J42" s="45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1"/>
    </row>
    <row r="43" spans="2:23" x14ac:dyDescent="0.25">
      <c r="B43" s="62"/>
      <c r="C43" s="45"/>
      <c r="D43" s="45"/>
      <c r="E43" s="45"/>
      <c r="F43" s="45"/>
      <c r="G43" s="45"/>
      <c r="H43" s="45"/>
      <c r="I43" s="45"/>
      <c r="J43" s="45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1"/>
    </row>
    <row r="44" spans="2:23" x14ac:dyDescent="0.25">
      <c r="B44" s="62"/>
      <c r="C44" s="45"/>
      <c r="D44" s="45"/>
      <c r="E44" s="45"/>
      <c r="F44" s="45"/>
      <c r="G44" s="45"/>
      <c r="H44" s="45"/>
      <c r="I44" s="45"/>
      <c r="J44" s="45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1"/>
    </row>
    <row r="45" spans="2:23" x14ac:dyDescent="0.25">
      <c r="B45" s="62"/>
      <c r="C45" s="45"/>
      <c r="D45" s="45"/>
      <c r="E45" s="45"/>
      <c r="F45" s="45"/>
      <c r="G45" s="45"/>
      <c r="H45" s="45"/>
      <c r="I45" s="45"/>
      <c r="J45" s="45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</row>
    <row r="46" spans="2:23" x14ac:dyDescent="0.25">
      <c r="B46" s="62"/>
      <c r="C46" s="45"/>
      <c r="D46" s="45"/>
      <c r="E46" s="45"/>
      <c r="F46" s="45"/>
      <c r="G46" s="45"/>
      <c r="H46" s="45"/>
      <c r="I46" s="45"/>
      <c r="J46" s="45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1"/>
    </row>
    <row r="47" spans="2:23" x14ac:dyDescent="0.25">
      <c r="B47" s="62"/>
      <c r="C47" s="45"/>
      <c r="D47" s="45"/>
      <c r="E47" s="45"/>
      <c r="F47" s="45"/>
      <c r="G47" s="45"/>
      <c r="H47" s="45"/>
      <c r="I47" s="45"/>
      <c r="J47" s="45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1"/>
    </row>
    <row r="48" spans="2:23" x14ac:dyDescent="0.25">
      <c r="B48" s="62"/>
      <c r="C48" s="45"/>
      <c r="D48" s="45"/>
      <c r="E48" s="45"/>
      <c r="F48" s="45"/>
      <c r="G48" s="45"/>
      <c r="H48" s="45"/>
      <c r="I48" s="45"/>
      <c r="J48" s="45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2:23" ht="15.75" thickBot="1" x14ac:dyDescent="0.3">
      <c r="B49" s="63"/>
      <c r="C49" s="64"/>
      <c r="D49" s="64"/>
      <c r="E49" s="64"/>
      <c r="F49" s="64"/>
      <c r="G49" s="64"/>
      <c r="H49" s="64"/>
      <c r="I49" s="64"/>
      <c r="J49" s="64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6"/>
    </row>
    <row r="50" spans="2:23" ht="15.75" thickBot="1" x14ac:dyDescent="0.3"/>
    <row r="51" spans="2:23" x14ac:dyDescent="0.25">
      <c r="B51" s="67"/>
      <c r="C51" s="68"/>
      <c r="D51" s="68"/>
      <c r="E51" s="68"/>
      <c r="F51" s="68"/>
      <c r="G51" s="68"/>
      <c r="H51" s="68"/>
      <c r="I51" s="68"/>
      <c r="J51" s="68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8"/>
    </row>
    <row r="52" spans="2:23" x14ac:dyDescent="0.25">
      <c r="B52" s="62"/>
      <c r="C52" s="45"/>
      <c r="D52" s="45"/>
      <c r="E52" s="45"/>
      <c r="F52" s="45"/>
      <c r="G52" s="45"/>
      <c r="H52" s="45"/>
      <c r="I52" s="45"/>
      <c r="J52" s="45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1"/>
    </row>
    <row r="53" spans="2:23" x14ac:dyDescent="0.25">
      <c r="B53" s="62"/>
      <c r="C53" s="45"/>
      <c r="D53" s="45"/>
      <c r="E53" s="45"/>
      <c r="F53" s="45"/>
      <c r="G53" s="45"/>
      <c r="H53" s="45"/>
      <c r="I53" s="45"/>
      <c r="J53" s="45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1"/>
    </row>
    <row r="54" spans="2:23" x14ac:dyDescent="0.25">
      <c r="B54" s="62"/>
      <c r="C54" s="45"/>
      <c r="D54" s="45"/>
      <c r="E54" s="45"/>
      <c r="F54" s="45"/>
      <c r="G54" s="45"/>
      <c r="H54" s="45"/>
      <c r="I54" s="45"/>
      <c r="J54" s="45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1"/>
    </row>
    <row r="55" spans="2:23" x14ac:dyDescent="0.25">
      <c r="B55" s="62"/>
      <c r="C55" s="45"/>
      <c r="D55" s="45"/>
      <c r="E55" s="45"/>
      <c r="F55" s="45"/>
      <c r="G55" s="45"/>
      <c r="H55" s="45"/>
      <c r="I55" s="45"/>
      <c r="J55" s="45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1"/>
    </row>
    <row r="56" spans="2:23" x14ac:dyDescent="0.25">
      <c r="B56" s="62"/>
      <c r="C56" s="45"/>
      <c r="D56" s="45"/>
      <c r="E56" s="45"/>
      <c r="F56" s="45"/>
      <c r="G56" s="45"/>
      <c r="H56" s="45"/>
      <c r="I56" s="45"/>
      <c r="J56" s="45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1"/>
    </row>
    <row r="57" spans="2:23" x14ac:dyDescent="0.25">
      <c r="B57" s="62"/>
      <c r="C57" s="45"/>
      <c r="D57" s="45"/>
      <c r="E57" s="45"/>
      <c r="F57" s="45"/>
      <c r="G57" s="45"/>
      <c r="H57" s="45"/>
      <c r="I57" s="45"/>
      <c r="J57" s="45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1"/>
    </row>
    <row r="58" spans="2:23" x14ac:dyDescent="0.25">
      <c r="B58" s="62"/>
      <c r="C58" s="45"/>
      <c r="D58" s="45"/>
      <c r="E58" s="45"/>
      <c r="F58" s="45"/>
      <c r="G58" s="45"/>
      <c r="H58" s="45"/>
      <c r="I58" s="45"/>
      <c r="J58" s="45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1"/>
    </row>
    <row r="59" spans="2:23" x14ac:dyDescent="0.25">
      <c r="B59" s="62"/>
      <c r="C59" s="45"/>
      <c r="D59" s="45"/>
      <c r="E59" s="45"/>
      <c r="F59" s="45"/>
      <c r="G59" s="45"/>
      <c r="H59" s="45"/>
      <c r="I59" s="45"/>
      <c r="J59" s="45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1"/>
    </row>
    <row r="60" spans="2:23" x14ac:dyDescent="0.25">
      <c r="B60" s="62"/>
      <c r="C60" s="45"/>
      <c r="D60" s="45"/>
      <c r="E60" s="45"/>
      <c r="F60" s="45"/>
      <c r="G60" s="45"/>
      <c r="H60" s="45"/>
      <c r="I60" s="45"/>
      <c r="J60" s="45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1"/>
    </row>
    <row r="61" spans="2:23" x14ac:dyDescent="0.25">
      <c r="B61" s="62"/>
      <c r="C61" s="45"/>
      <c r="D61" s="45"/>
      <c r="E61" s="45"/>
      <c r="F61" s="45"/>
      <c r="G61" s="45"/>
      <c r="H61" s="45"/>
      <c r="I61" s="45"/>
      <c r="J61" s="45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1"/>
    </row>
    <row r="62" spans="2:23" x14ac:dyDescent="0.25">
      <c r="B62" s="62"/>
      <c r="C62" s="45"/>
      <c r="D62" s="45"/>
      <c r="E62" s="45"/>
      <c r="F62" s="45"/>
      <c r="G62" s="45"/>
      <c r="H62" s="45"/>
      <c r="I62" s="45"/>
      <c r="J62" s="45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1"/>
    </row>
    <row r="63" spans="2:23" x14ac:dyDescent="0.25">
      <c r="B63" s="62"/>
      <c r="C63" s="45"/>
      <c r="D63" s="45"/>
      <c r="E63" s="45"/>
      <c r="F63" s="45"/>
      <c r="G63" s="45"/>
      <c r="H63" s="45"/>
      <c r="I63" s="45"/>
      <c r="J63" s="45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1"/>
    </row>
    <row r="64" spans="2:23" x14ac:dyDescent="0.25">
      <c r="B64" s="62"/>
      <c r="C64" s="45"/>
      <c r="D64" s="45"/>
      <c r="E64" s="45"/>
      <c r="F64" s="45"/>
      <c r="G64" s="45"/>
      <c r="H64" s="45"/>
      <c r="I64" s="45"/>
      <c r="J64" s="45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1"/>
    </row>
    <row r="65" spans="2:23" x14ac:dyDescent="0.25">
      <c r="B65" s="62"/>
      <c r="C65" s="45"/>
      <c r="D65" s="45"/>
      <c r="E65" s="45"/>
      <c r="F65" s="45"/>
      <c r="G65" s="45"/>
      <c r="H65" s="45"/>
      <c r="I65" s="45"/>
      <c r="J65" s="45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1"/>
    </row>
    <row r="66" spans="2:23" x14ac:dyDescent="0.25">
      <c r="B66" s="62"/>
      <c r="C66" s="45"/>
      <c r="D66" s="45"/>
      <c r="E66" s="45"/>
      <c r="F66" s="45"/>
      <c r="G66" s="45"/>
      <c r="H66" s="45"/>
      <c r="I66" s="45"/>
      <c r="J66" s="45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1"/>
    </row>
    <row r="67" spans="2:23" x14ac:dyDescent="0.25">
      <c r="B67" s="62"/>
      <c r="C67" s="45"/>
      <c r="D67" s="45"/>
      <c r="E67" s="45"/>
      <c r="F67" s="45"/>
      <c r="G67" s="45"/>
      <c r="H67" s="45"/>
      <c r="I67" s="45"/>
      <c r="J67" s="45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1"/>
    </row>
    <row r="68" spans="2:23" x14ac:dyDescent="0.25">
      <c r="B68" s="62"/>
      <c r="C68" s="45"/>
      <c r="D68" s="45"/>
      <c r="E68" s="45"/>
      <c r="F68" s="45"/>
      <c r="G68" s="45"/>
      <c r="H68" s="45"/>
      <c r="I68" s="45"/>
      <c r="J68" s="45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1"/>
    </row>
    <row r="69" spans="2:23" x14ac:dyDescent="0.25">
      <c r="B69" s="62"/>
      <c r="C69" s="45"/>
      <c r="D69" s="45"/>
      <c r="E69" s="45"/>
      <c r="F69" s="45"/>
      <c r="G69" s="45"/>
      <c r="H69" s="45"/>
      <c r="I69" s="45"/>
      <c r="J69" s="45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1"/>
    </row>
    <row r="70" spans="2:23" x14ac:dyDescent="0.25">
      <c r="B70" s="62"/>
      <c r="C70" s="45"/>
      <c r="D70" s="45"/>
      <c r="E70" s="45"/>
      <c r="F70" s="45"/>
      <c r="G70" s="45"/>
      <c r="H70" s="45"/>
      <c r="I70" s="45"/>
      <c r="J70" s="45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1"/>
    </row>
    <row r="71" spans="2:23" x14ac:dyDescent="0.25">
      <c r="B71" s="62"/>
      <c r="C71" s="45"/>
      <c r="D71" s="45"/>
      <c r="E71" s="45"/>
      <c r="F71" s="45"/>
      <c r="G71" s="45"/>
      <c r="H71" s="45"/>
      <c r="I71" s="45"/>
      <c r="J71" s="45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1"/>
    </row>
    <row r="72" spans="2:23" x14ac:dyDescent="0.25">
      <c r="B72" s="62"/>
      <c r="C72" s="45"/>
      <c r="D72" s="45"/>
      <c r="E72" s="45"/>
      <c r="F72" s="45"/>
      <c r="G72" s="45"/>
      <c r="H72" s="45"/>
      <c r="I72" s="45"/>
      <c r="J72" s="45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1"/>
    </row>
    <row r="73" spans="2:23" x14ac:dyDescent="0.25">
      <c r="B73" s="62"/>
      <c r="C73" s="45"/>
      <c r="D73" s="45"/>
      <c r="E73" s="45"/>
      <c r="F73" s="45"/>
      <c r="G73" s="45"/>
      <c r="H73" s="45"/>
      <c r="I73" s="45"/>
      <c r="J73" s="45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1"/>
    </row>
    <row r="74" spans="2:23" x14ac:dyDescent="0.25">
      <c r="B74" s="62"/>
      <c r="C74" s="45"/>
      <c r="D74" s="45"/>
      <c r="E74" s="45"/>
      <c r="F74" s="45"/>
      <c r="G74" s="45"/>
      <c r="H74" s="45"/>
      <c r="I74" s="45"/>
      <c r="J74" s="45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1"/>
    </row>
    <row r="75" spans="2:23" x14ac:dyDescent="0.25">
      <c r="B75" s="62"/>
      <c r="C75" s="45"/>
      <c r="D75" s="45"/>
      <c r="E75" s="45"/>
      <c r="F75" s="45"/>
      <c r="G75" s="45"/>
      <c r="H75" s="45"/>
      <c r="I75" s="45"/>
      <c r="J75" s="45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1"/>
    </row>
    <row r="76" spans="2:23" x14ac:dyDescent="0.25">
      <c r="B76" s="62"/>
      <c r="C76" s="45"/>
      <c r="D76" s="45"/>
      <c r="E76" s="45"/>
      <c r="F76" s="45"/>
      <c r="G76" s="45"/>
      <c r="H76" s="45"/>
      <c r="I76" s="45"/>
      <c r="J76" s="45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1"/>
    </row>
    <row r="77" spans="2:23" x14ac:dyDescent="0.25">
      <c r="B77" s="62"/>
      <c r="C77" s="45"/>
      <c r="D77" s="45"/>
      <c r="E77" s="45"/>
      <c r="F77" s="45"/>
      <c r="G77" s="45"/>
      <c r="H77" s="45"/>
      <c r="I77" s="45"/>
      <c r="J77" s="45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1"/>
    </row>
    <row r="78" spans="2:23" x14ac:dyDescent="0.25">
      <c r="B78" s="62"/>
      <c r="C78" s="45"/>
      <c r="D78" s="45"/>
      <c r="E78" s="45"/>
      <c r="F78" s="45"/>
      <c r="G78" s="45"/>
      <c r="H78" s="45"/>
      <c r="I78" s="45"/>
      <c r="J78" s="45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1"/>
    </row>
    <row r="79" spans="2:23" x14ac:dyDescent="0.25">
      <c r="B79" s="62"/>
      <c r="C79" s="45"/>
      <c r="D79" s="45"/>
      <c r="E79" s="45"/>
      <c r="F79" s="45"/>
      <c r="G79" s="45"/>
      <c r="H79" s="45"/>
      <c r="I79" s="45"/>
      <c r="J79" s="45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1"/>
    </row>
    <row r="80" spans="2:23" x14ac:dyDescent="0.25">
      <c r="B80" s="62"/>
      <c r="C80" s="45"/>
      <c r="D80" s="45"/>
      <c r="E80" s="45"/>
      <c r="F80" s="45"/>
      <c r="G80" s="45"/>
      <c r="H80" s="45"/>
      <c r="I80" s="45"/>
      <c r="J80" s="45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1"/>
    </row>
    <row r="81" spans="2:23" ht="15.75" thickBot="1" x14ac:dyDescent="0.3">
      <c r="B81" s="63"/>
      <c r="C81" s="64"/>
      <c r="D81" s="64"/>
      <c r="E81" s="64"/>
      <c r="F81" s="64"/>
      <c r="G81" s="64"/>
      <c r="H81" s="64"/>
      <c r="I81" s="64"/>
      <c r="J81" s="64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6"/>
    </row>
    <row r="82" spans="2:23" ht="15.75" thickBot="1" x14ac:dyDescent="0.3"/>
    <row r="83" spans="2:23" x14ac:dyDescent="0.25">
      <c r="B83" s="67"/>
      <c r="C83" s="68"/>
      <c r="D83" s="68"/>
      <c r="E83" s="68"/>
      <c r="F83" s="68"/>
      <c r="G83" s="68"/>
      <c r="H83" s="68"/>
      <c r="I83" s="68"/>
      <c r="J83" s="68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8"/>
    </row>
    <row r="84" spans="2:23" x14ac:dyDescent="0.25">
      <c r="B84" s="62"/>
      <c r="C84" s="45"/>
      <c r="D84" s="45"/>
      <c r="E84" s="45"/>
      <c r="F84" s="45"/>
      <c r="G84" s="45"/>
      <c r="H84" s="45"/>
      <c r="I84" s="45"/>
      <c r="J84" s="45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1"/>
    </row>
    <row r="85" spans="2:23" x14ac:dyDescent="0.25">
      <c r="B85" s="62"/>
      <c r="C85" s="45"/>
      <c r="D85" s="45"/>
      <c r="E85" s="45"/>
      <c r="F85" s="45"/>
      <c r="G85" s="45"/>
      <c r="H85" s="45"/>
      <c r="I85" s="45"/>
      <c r="J85" s="45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1"/>
    </row>
    <row r="86" spans="2:23" x14ac:dyDescent="0.25">
      <c r="B86" s="62"/>
      <c r="C86" s="45"/>
      <c r="D86" s="45"/>
      <c r="E86" s="45"/>
      <c r="F86" s="45"/>
      <c r="G86" s="45"/>
      <c r="H86" s="45"/>
      <c r="I86" s="45"/>
      <c r="J86" s="45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1"/>
    </row>
    <row r="87" spans="2:23" x14ac:dyDescent="0.25">
      <c r="B87" s="62"/>
      <c r="C87" s="45"/>
      <c r="D87" s="45"/>
      <c r="E87" s="45"/>
      <c r="F87" s="45"/>
      <c r="G87" s="45"/>
      <c r="H87" s="45"/>
      <c r="I87" s="45"/>
      <c r="J87" s="45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1"/>
    </row>
    <row r="88" spans="2:23" x14ac:dyDescent="0.25">
      <c r="B88" s="62"/>
      <c r="C88" s="45"/>
      <c r="D88" s="45"/>
      <c r="E88" s="45"/>
      <c r="F88" s="45"/>
      <c r="G88" s="45"/>
      <c r="H88" s="45"/>
      <c r="I88" s="45"/>
      <c r="J88" s="45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1"/>
    </row>
    <row r="89" spans="2:23" x14ac:dyDescent="0.25">
      <c r="B89" s="62"/>
      <c r="C89" s="45"/>
      <c r="D89" s="45"/>
      <c r="E89" s="45"/>
      <c r="F89" s="45"/>
      <c r="G89" s="45"/>
      <c r="H89" s="45"/>
      <c r="I89" s="45"/>
      <c r="J89" s="45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1"/>
    </row>
    <row r="90" spans="2:23" x14ac:dyDescent="0.25">
      <c r="B90" s="62"/>
      <c r="C90" s="45"/>
      <c r="D90" s="45"/>
      <c r="E90" s="45"/>
      <c r="F90" s="45"/>
      <c r="G90" s="45"/>
      <c r="H90" s="45"/>
      <c r="I90" s="45"/>
      <c r="J90" s="45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1"/>
    </row>
    <row r="91" spans="2:23" x14ac:dyDescent="0.25">
      <c r="B91" s="62"/>
      <c r="C91" s="45"/>
      <c r="D91" s="45"/>
      <c r="E91" s="45"/>
      <c r="F91" s="45"/>
      <c r="G91" s="45"/>
      <c r="H91" s="45"/>
      <c r="I91" s="45"/>
      <c r="J91" s="45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1"/>
    </row>
    <row r="92" spans="2:23" x14ac:dyDescent="0.25">
      <c r="B92" s="62"/>
      <c r="C92" s="45"/>
      <c r="D92" s="45"/>
      <c r="E92" s="45"/>
      <c r="F92" s="45"/>
      <c r="G92" s="45"/>
      <c r="H92" s="45"/>
      <c r="I92" s="45"/>
      <c r="J92" s="45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1"/>
    </row>
    <row r="93" spans="2:23" x14ac:dyDescent="0.25">
      <c r="B93" s="62"/>
      <c r="C93" s="45"/>
      <c r="D93" s="45"/>
      <c r="E93" s="45"/>
      <c r="F93" s="45"/>
      <c r="G93" s="45"/>
      <c r="H93" s="45"/>
      <c r="I93" s="45"/>
      <c r="J93" s="45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1"/>
    </row>
    <row r="94" spans="2:23" x14ac:dyDescent="0.25">
      <c r="B94" s="62"/>
      <c r="C94" s="45"/>
      <c r="D94" s="45"/>
      <c r="E94" s="45"/>
      <c r="F94" s="45"/>
      <c r="G94" s="45"/>
      <c r="H94" s="45"/>
      <c r="I94" s="45"/>
      <c r="J94" s="45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1"/>
    </row>
    <row r="95" spans="2:23" x14ac:dyDescent="0.25">
      <c r="B95" s="62"/>
      <c r="C95" s="45"/>
      <c r="D95" s="45"/>
      <c r="E95" s="45"/>
      <c r="F95" s="45"/>
      <c r="G95" s="45"/>
      <c r="H95" s="45"/>
      <c r="I95" s="45"/>
      <c r="J95" s="45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1"/>
    </row>
    <row r="96" spans="2:23" x14ac:dyDescent="0.25">
      <c r="B96" s="62"/>
      <c r="C96" s="45"/>
      <c r="D96" s="45"/>
      <c r="E96" s="45"/>
      <c r="F96" s="45"/>
      <c r="G96" s="45"/>
      <c r="H96" s="45"/>
      <c r="I96" s="45"/>
      <c r="J96" s="45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1"/>
    </row>
    <row r="97" spans="2:23" x14ac:dyDescent="0.25">
      <c r="B97" s="62"/>
      <c r="C97" s="45"/>
      <c r="D97" s="45"/>
      <c r="E97" s="45"/>
      <c r="F97" s="45"/>
      <c r="G97" s="45"/>
      <c r="H97" s="45"/>
      <c r="I97" s="45"/>
      <c r="J97" s="45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1"/>
    </row>
    <row r="98" spans="2:23" x14ac:dyDescent="0.25">
      <c r="B98" s="62"/>
      <c r="C98" s="45"/>
      <c r="D98" s="45"/>
      <c r="E98" s="45"/>
      <c r="F98" s="45"/>
      <c r="G98" s="45"/>
      <c r="H98" s="45"/>
      <c r="I98" s="45"/>
      <c r="J98" s="45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1"/>
    </row>
    <row r="99" spans="2:23" x14ac:dyDescent="0.25">
      <c r="B99" s="62"/>
      <c r="C99" s="45"/>
      <c r="D99" s="45"/>
      <c r="E99" s="45"/>
      <c r="F99" s="45"/>
      <c r="G99" s="45"/>
      <c r="H99" s="45"/>
      <c r="I99" s="45"/>
      <c r="J99" s="45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1"/>
    </row>
    <row r="100" spans="2:23" x14ac:dyDescent="0.25">
      <c r="B100" s="62"/>
      <c r="C100" s="45"/>
      <c r="D100" s="45"/>
      <c r="E100" s="45"/>
      <c r="F100" s="45"/>
      <c r="G100" s="45"/>
      <c r="H100" s="45"/>
      <c r="I100" s="45"/>
      <c r="J100" s="45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1"/>
    </row>
    <row r="101" spans="2:23" x14ac:dyDescent="0.25">
      <c r="B101" s="62"/>
      <c r="C101" s="45"/>
      <c r="D101" s="45"/>
      <c r="E101" s="45"/>
      <c r="F101" s="45"/>
      <c r="G101" s="45"/>
      <c r="H101" s="45"/>
      <c r="I101" s="45"/>
      <c r="J101" s="45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1"/>
    </row>
    <row r="102" spans="2:23" x14ac:dyDescent="0.25">
      <c r="B102" s="62"/>
      <c r="C102" s="45"/>
      <c r="D102" s="45"/>
      <c r="E102" s="45"/>
      <c r="F102" s="45"/>
      <c r="G102" s="45"/>
      <c r="H102" s="45"/>
      <c r="I102" s="45"/>
      <c r="J102" s="45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1"/>
    </row>
    <row r="103" spans="2:23" x14ac:dyDescent="0.25">
      <c r="B103" s="62"/>
      <c r="C103" s="45"/>
      <c r="D103" s="45"/>
      <c r="E103" s="45"/>
      <c r="F103" s="45"/>
      <c r="G103" s="45"/>
      <c r="H103" s="45"/>
      <c r="I103" s="45"/>
      <c r="J103" s="45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1"/>
    </row>
    <row r="104" spans="2:23" x14ac:dyDescent="0.25">
      <c r="B104" s="62"/>
      <c r="C104" s="45"/>
      <c r="D104" s="45"/>
      <c r="E104" s="45"/>
      <c r="F104" s="45"/>
      <c r="G104" s="45"/>
      <c r="H104" s="45"/>
      <c r="I104" s="45"/>
      <c r="J104" s="45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1"/>
    </row>
    <row r="105" spans="2:23" x14ac:dyDescent="0.25">
      <c r="B105" s="62"/>
      <c r="C105" s="45"/>
      <c r="D105" s="45"/>
      <c r="E105" s="45"/>
      <c r="F105" s="45"/>
      <c r="G105" s="45"/>
      <c r="H105" s="45"/>
      <c r="I105" s="45"/>
      <c r="J105" s="45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1"/>
    </row>
    <row r="106" spans="2:23" x14ac:dyDescent="0.25">
      <c r="B106" s="62"/>
      <c r="C106" s="45"/>
      <c r="D106" s="45"/>
      <c r="E106" s="45"/>
      <c r="F106" s="45"/>
      <c r="G106" s="45"/>
      <c r="H106" s="45"/>
      <c r="I106" s="45"/>
      <c r="J106" s="45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1"/>
    </row>
    <row r="107" spans="2:23" x14ac:dyDescent="0.25">
      <c r="B107" s="62"/>
      <c r="C107" s="45"/>
      <c r="D107" s="45"/>
      <c r="E107" s="45"/>
      <c r="F107" s="45"/>
      <c r="G107" s="45"/>
      <c r="H107" s="45"/>
      <c r="I107" s="45"/>
      <c r="J107" s="45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1"/>
    </row>
    <row r="108" spans="2:23" x14ac:dyDescent="0.25">
      <c r="B108" s="62"/>
      <c r="C108" s="45"/>
      <c r="D108" s="45"/>
      <c r="E108" s="45"/>
      <c r="F108" s="45"/>
      <c r="G108" s="45"/>
      <c r="H108" s="45"/>
      <c r="I108" s="45"/>
      <c r="J108" s="45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1"/>
    </row>
    <row r="109" spans="2:23" x14ac:dyDescent="0.25">
      <c r="B109" s="62"/>
      <c r="C109" s="45"/>
      <c r="D109" s="45"/>
      <c r="E109" s="45"/>
      <c r="F109" s="45"/>
      <c r="G109" s="45"/>
      <c r="H109" s="45"/>
      <c r="I109" s="45"/>
      <c r="J109" s="45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1"/>
    </row>
    <row r="110" spans="2:23" x14ac:dyDescent="0.25">
      <c r="B110" s="62"/>
      <c r="C110" s="45"/>
      <c r="D110" s="45"/>
      <c r="E110" s="45"/>
      <c r="F110" s="45"/>
      <c r="G110" s="45"/>
      <c r="H110" s="45"/>
      <c r="I110" s="45"/>
      <c r="J110" s="4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1"/>
    </row>
    <row r="111" spans="2:23" x14ac:dyDescent="0.25">
      <c r="B111" s="62"/>
      <c r="C111" s="45"/>
      <c r="D111" s="45"/>
      <c r="E111" s="45"/>
      <c r="F111" s="45"/>
      <c r="G111" s="45"/>
      <c r="H111" s="45"/>
      <c r="I111" s="45"/>
      <c r="J111" s="45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1"/>
    </row>
    <row r="112" spans="2:23" x14ac:dyDescent="0.25">
      <c r="B112" s="62"/>
      <c r="C112" s="45"/>
      <c r="D112" s="45"/>
      <c r="E112" s="45"/>
      <c r="F112" s="45"/>
      <c r="G112" s="45"/>
      <c r="H112" s="45"/>
      <c r="I112" s="45"/>
      <c r="J112" s="45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1"/>
    </row>
    <row r="113" spans="2:23" ht="15.75" thickBot="1" x14ac:dyDescent="0.3">
      <c r="B113" s="63"/>
      <c r="C113" s="64"/>
      <c r="D113" s="64"/>
      <c r="E113" s="64"/>
      <c r="F113" s="64"/>
      <c r="G113" s="64"/>
      <c r="H113" s="64"/>
      <c r="I113" s="64"/>
      <c r="J113" s="64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6"/>
    </row>
    <row r="114" spans="2:23" ht="15.75" thickBot="1" x14ac:dyDescent="0.3"/>
    <row r="115" spans="2:23" x14ac:dyDescent="0.25">
      <c r="B115" s="67"/>
      <c r="C115" s="68"/>
      <c r="D115" s="68"/>
      <c r="E115" s="68"/>
      <c r="F115" s="68"/>
      <c r="G115" s="68"/>
      <c r="H115" s="68"/>
      <c r="I115" s="68"/>
      <c r="J115" s="68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8"/>
    </row>
    <row r="116" spans="2:23" x14ac:dyDescent="0.25">
      <c r="B116" s="62"/>
      <c r="C116" s="45"/>
      <c r="D116" s="45"/>
      <c r="E116" s="45"/>
      <c r="F116" s="45"/>
      <c r="G116" s="45"/>
      <c r="H116" s="45"/>
      <c r="I116" s="45"/>
      <c r="J116" s="45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1"/>
    </row>
    <row r="117" spans="2:23" x14ac:dyDescent="0.25">
      <c r="B117" s="62"/>
      <c r="C117" s="45"/>
      <c r="D117" s="45"/>
      <c r="E117" s="45"/>
      <c r="F117" s="45"/>
      <c r="G117" s="45"/>
      <c r="H117" s="45"/>
      <c r="I117" s="45"/>
      <c r="J117" s="45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1"/>
    </row>
    <row r="118" spans="2:23" x14ac:dyDescent="0.25">
      <c r="B118" s="62"/>
      <c r="C118" s="45"/>
      <c r="D118" s="45"/>
      <c r="E118" s="45"/>
      <c r="F118" s="45"/>
      <c r="G118" s="45"/>
      <c r="H118" s="45"/>
      <c r="I118" s="45"/>
      <c r="J118" s="45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1"/>
    </row>
    <row r="119" spans="2:23" x14ac:dyDescent="0.25">
      <c r="B119" s="62"/>
      <c r="C119" s="45"/>
      <c r="D119" s="45"/>
      <c r="E119" s="45"/>
      <c r="F119" s="45"/>
      <c r="G119" s="45"/>
      <c r="H119" s="45"/>
      <c r="I119" s="45"/>
      <c r="J119" s="45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1"/>
    </row>
    <row r="120" spans="2:23" x14ac:dyDescent="0.25">
      <c r="B120" s="62"/>
      <c r="C120" s="45"/>
      <c r="D120" s="45"/>
      <c r="E120" s="45"/>
      <c r="F120" s="45"/>
      <c r="G120" s="45"/>
      <c r="H120" s="45"/>
      <c r="I120" s="45"/>
      <c r="J120" s="45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1"/>
    </row>
    <row r="121" spans="2:23" x14ac:dyDescent="0.25">
      <c r="B121" s="62"/>
      <c r="C121" s="45"/>
      <c r="D121" s="45"/>
      <c r="E121" s="45"/>
      <c r="F121" s="45"/>
      <c r="G121" s="45"/>
      <c r="H121" s="45"/>
      <c r="I121" s="45"/>
      <c r="J121" s="45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1"/>
    </row>
    <row r="122" spans="2:23" x14ac:dyDescent="0.25">
      <c r="B122" s="62"/>
      <c r="C122" s="45"/>
      <c r="D122" s="45"/>
      <c r="E122" s="45"/>
      <c r="F122" s="45"/>
      <c r="G122" s="45"/>
      <c r="H122" s="45"/>
      <c r="I122" s="45"/>
      <c r="J122" s="45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1"/>
    </row>
    <row r="123" spans="2:23" x14ac:dyDescent="0.25">
      <c r="B123" s="62"/>
      <c r="C123" s="45"/>
      <c r="D123" s="45"/>
      <c r="E123" s="45"/>
      <c r="F123" s="45"/>
      <c r="G123" s="45"/>
      <c r="H123" s="45"/>
      <c r="I123" s="45"/>
      <c r="J123" s="45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1"/>
    </row>
    <row r="124" spans="2:23" x14ac:dyDescent="0.25">
      <c r="B124" s="62"/>
      <c r="C124" s="45"/>
      <c r="D124" s="45"/>
      <c r="E124" s="45"/>
      <c r="F124" s="45"/>
      <c r="G124" s="45"/>
      <c r="H124" s="45"/>
      <c r="I124" s="45"/>
      <c r="J124" s="45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1"/>
    </row>
    <row r="125" spans="2:23" x14ac:dyDescent="0.25">
      <c r="B125" s="62"/>
      <c r="C125" s="45"/>
      <c r="D125" s="45"/>
      <c r="E125" s="45"/>
      <c r="F125" s="45"/>
      <c r="G125" s="45"/>
      <c r="H125" s="45"/>
      <c r="I125" s="45"/>
      <c r="J125" s="45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1"/>
    </row>
    <row r="126" spans="2:23" x14ac:dyDescent="0.25">
      <c r="B126" s="62"/>
      <c r="C126" s="45"/>
      <c r="D126" s="45"/>
      <c r="E126" s="45"/>
      <c r="F126" s="45"/>
      <c r="G126" s="45"/>
      <c r="H126" s="45"/>
      <c r="I126" s="45"/>
      <c r="J126" s="45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1"/>
    </row>
    <row r="127" spans="2:23" x14ac:dyDescent="0.25">
      <c r="B127" s="62"/>
      <c r="C127" s="45"/>
      <c r="D127" s="45"/>
      <c r="E127" s="45"/>
      <c r="F127" s="45"/>
      <c r="G127" s="45"/>
      <c r="H127" s="45"/>
      <c r="I127" s="45"/>
      <c r="J127" s="45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1"/>
    </row>
    <row r="128" spans="2:23" x14ac:dyDescent="0.25">
      <c r="B128" s="62"/>
      <c r="C128" s="45"/>
      <c r="D128" s="45"/>
      <c r="E128" s="45"/>
      <c r="F128" s="45"/>
      <c r="G128" s="45"/>
      <c r="H128" s="45"/>
      <c r="I128" s="45"/>
      <c r="J128" s="45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1"/>
    </row>
    <row r="129" spans="2:23" x14ac:dyDescent="0.25">
      <c r="B129" s="62"/>
      <c r="C129" s="45"/>
      <c r="D129" s="45"/>
      <c r="E129" s="45"/>
      <c r="F129" s="45"/>
      <c r="G129" s="45"/>
      <c r="H129" s="45"/>
      <c r="I129" s="45"/>
      <c r="J129" s="45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1"/>
    </row>
    <row r="130" spans="2:23" x14ac:dyDescent="0.25">
      <c r="B130" s="62"/>
      <c r="C130" s="45"/>
      <c r="D130" s="45"/>
      <c r="E130" s="45"/>
      <c r="F130" s="45"/>
      <c r="G130" s="45"/>
      <c r="H130" s="45"/>
      <c r="I130" s="45"/>
      <c r="J130" s="45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1"/>
    </row>
    <row r="131" spans="2:23" x14ac:dyDescent="0.25">
      <c r="B131" s="62"/>
      <c r="C131" s="45"/>
      <c r="D131" s="45"/>
      <c r="E131" s="45"/>
      <c r="F131" s="45"/>
      <c r="G131" s="45"/>
      <c r="H131" s="45"/>
      <c r="I131" s="45"/>
      <c r="J131" s="45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1"/>
    </row>
    <row r="132" spans="2:23" x14ac:dyDescent="0.25">
      <c r="B132" s="62"/>
      <c r="C132" s="45"/>
      <c r="D132" s="45"/>
      <c r="E132" s="45"/>
      <c r="F132" s="45"/>
      <c r="G132" s="45"/>
      <c r="H132" s="45"/>
      <c r="I132" s="45"/>
      <c r="J132" s="45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1"/>
    </row>
    <row r="133" spans="2:23" x14ac:dyDescent="0.25">
      <c r="B133" s="62"/>
      <c r="C133" s="45"/>
      <c r="D133" s="45"/>
      <c r="E133" s="45"/>
      <c r="F133" s="45"/>
      <c r="G133" s="45"/>
      <c r="H133" s="45"/>
      <c r="I133" s="45"/>
      <c r="J133" s="45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1"/>
    </row>
    <row r="134" spans="2:23" x14ac:dyDescent="0.25">
      <c r="B134" s="62"/>
      <c r="C134" s="45"/>
      <c r="D134" s="45"/>
      <c r="E134" s="45"/>
      <c r="F134" s="45"/>
      <c r="G134" s="45"/>
      <c r="H134" s="45"/>
      <c r="I134" s="45"/>
      <c r="J134" s="45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1"/>
    </row>
    <row r="135" spans="2:23" x14ac:dyDescent="0.25">
      <c r="B135" s="62"/>
      <c r="C135" s="45"/>
      <c r="D135" s="45"/>
      <c r="E135" s="45"/>
      <c r="F135" s="45"/>
      <c r="G135" s="45"/>
      <c r="H135" s="45"/>
      <c r="I135" s="45"/>
      <c r="J135" s="45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1"/>
    </row>
    <row r="136" spans="2:23" x14ac:dyDescent="0.25">
      <c r="B136" s="62"/>
      <c r="C136" s="45"/>
      <c r="D136" s="45"/>
      <c r="E136" s="45"/>
      <c r="F136" s="45"/>
      <c r="G136" s="45"/>
      <c r="H136" s="45"/>
      <c r="I136" s="45"/>
      <c r="J136" s="45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1"/>
    </row>
    <row r="137" spans="2:23" x14ac:dyDescent="0.25">
      <c r="B137" s="62"/>
      <c r="C137" s="45"/>
      <c r="D137" s="45"/>
      <c r="E137" s="45"/>
      <c r="F137" s="45"/>
      <c r="G137" s="45"/>
      <c r="H137" s="45"/>
      <c r="I137" s="45"/>
      <c r="J137" s="45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1"/>
    </row>
    <row r="138" spans="2:23" x14ac:dyDescent="0.25">
      <c r="B138" s="62"/>
      <c r="C138" s="45"/>
      <c r="D138" s="45"/>
      <c r="E138" s="45"/>
      <c r="F138" s="45"/>
      <c r="G138" s="45"/>
      <c r="H138" s="45"/>
      <c r="I138" s="45"/>
      <c r="J138" s="45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1"/>
    </row>
    <row r="139" spans="2:23" x14ac:dyDescent="0.25">
      <c r="B139" s="62"/>
      <c r="C139" s="45"/>
      <c r="D139" s="45"/>
      <c r="E139" s="45"/>
      <c r="F139" s="45"/>
      <c r="G139" s="45"/>
      <c r="H139" s="45"/>
      <c r="I139" s="45"/>
      <c r="J139" s="45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1"/>
    </row>
    <row r="140" spans="2:23" x14ac:dyDescent="0.25">
      <c r="B140" s="62"/>
      <c r="C140" s="45"/>
      <c r="D140" s="45"/>
      <c r="E140" s="45"/>
      <c r="F140" s="45"/>
      <c r="G140" s="45"/>
      <c r="H140" s="45"/>
      <c r="I140" s="45"/>
      <c r="J140" s="45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1"/>
    </row>
    <row r="141" spans="2:23" x14ac:dyDescent="0.25">
      <c r="B141" s="62"/>
      <c r="C141" s="45"/>
      <c r="D141" s="45"/>
      <c r="E141" s="45"/>
      <c r="F141" s="45"/>
      <c r="G141" s="45"/>
      <c r="H141" s="45"/>
      <c r="I141" s="45"/>
      <c r="J141" s="45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1"/>
    </row>
    <row r="142" spans="2:23" x14ac:dyDescent="0.25">
      <c r="B142" s="62"/>
      <c r="C142" s="45"/>
      <c r="D142" s="45"/>
      <c r="E142" s="45"/>
      <c r="F142" s="45"/>
      <c r="G142" s="45"/>
      <c r="H142" s="45"/>
      <c r="I142" s="45"/>
      <c r="J142" s="45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1"/>
    </row>
    <row r="143" spans="2:23" x14ac:dyDescent="0.25">
      <c r="B143" s="62"/>
      <c r="C143" s="45"/>
      <c r="D143" s="45"/>
      <c r="E143" s="45"/>
      <c r="F143" s="45"/>
      <c r="G143" s="45"/>
      <c r="H143" s="45"/>
      <c r="I143" s="45"/>
      <c r="J143" s="45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1"/>
    </row>
    <row r="144" spans="2:23" x14ac:dyDescent="0.25">
      <c r="B144" s="62"/>
      <c r="C144" s="45"/>
      <c r="D144" s="45"/>
      <c r="E144" s="45"/>
      <c r="F144" s="45"/>
      <c r="G144" s="45"/>
      <c r="H144" s="45"/>
      <c r="I144" s="45"/>
      <c r="J144" s="45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1"/>
    </row>
    <row r="145" spans="2:24" ht="15.75" thickBot="1" x14ac:dyDescent="0.3">
      <c r="B145" s="63"/>
      <c r="C145" s="64"/>
      <c r="D145" s="64"/>
      <c r="E145" s="64"/>
      <c r="F145" s="64"/>
      <c r="G145" s="64"/>
      <c r="H145" s="64"/>
      <c r="I145" s="64"/>
      <c r="J145" s="64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6"/>
    </row>
    <row r="147" spans="2:24" x14ac:dyDescent="0.25">
      <c r="B147" s="44"/>
      <c r="C147" s="45"/>
      <c r="D147" s="45"/>
      <c r="E147" s="45"/>
      <c r="F147" s="45"/>
      <c r="G147" s="45"/>
      <c r="H147" s="45"/>
      <c r="I147" s="45"/>
      <c r="J147" s="45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x14ac:dyDescent="0.25">
      <c r="B148" s="44"/>
      <c r="C148" s="45"/>
      <c r="D148" s="45"/>
      <c r="E148" s="45"/>
      <c r="F148" s="45"/>
      <c r="G148" s="45"/>
      <c r="H148" s="45"/>
      <c r="I148" s="45"/>
      <c r="J148" s="45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2:24" x14ac:dyDescent="0.25">
      <c r="B149" s="44"/>
      <c r="C149" s="45"/>
      <c r="D149" s="45"/>
      <c r="E149" s="45"/>
      <c r="F149" s="45"/>
      <c r="G149" s="45"/>
      <c r="H149" s="45"/>
      <c r="I149" s="45"/>
      <c r="J149" s="45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</row>
    <row r="150" spans="2:24" x14ac:dyDescent="0.25">
      <c r="B150" s="44"/>
      <c r="C150" s="45"/>
      <c r="D150" s="45"/>
      <c r="E150" s="45"/>
      <c r="F150" s="45"/>
      <c r="G150" s="45"/>
      <c r="H150" s="45"/>
      <c r="I150" s="45"/>
      <c r="J150" s="45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</row>
    <row r="151" spans="2:24" x14ac:dyDescent="0.25">
      <c r="B151" s="44"/>
      <c r="C151" s="45"/>
      <c r="D151" s="45"/>
      <c r="E151" s="45"/>
      <c r="F151" s="45"/>
      <c r="G151" s="45"/>
      <c r="H151" s="45"/>
      <c r="I151" s="45"/>
      <c r="J151" s="45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</row>
    <row r="152" spans="2:24" x14ac:dyDescent="0.25">
      <c r="B152" s="44"/>
      <c r="C152" s="45"/>
      <c r="D152" s="45"/>
      <c r="E152" s="45"/>
      <c r="F152" s="45"/>
      <c r="G152" s="45"/>
      <c r="H152" s="45"/>
      <c r="I152" s="45"/>
      <c r="J152" s="45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</row>
    <row r="153" spans="2:24" x14ac:dyDescent="0.25">
      <c r="B153" s="44"/>
      <c r="C153" s="45"/>
      <c r="D153" s="45"/>
      <c r="E153" s="45"/>
      <c r="F153" s="45"/>
      <c r="G153" s="45"/>
      <c r="H153" s="45"/>
      <c r="I153" s="45"/>
      <c r="J153" s="45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</row>
    <row r="154" spans="2:24" x14ac:dyDescent="0.25">
      <c r="B154" s="44"/>
      <c r="C154" s="45"/>
      <c r="D154" s="45"/>
      <c r="E154" s="45"/>
      <c r="F154" s="45"/>
      <c r="G154" s="45"/>
      <c r="H154" s="45"/>
      <c r="I154" s="45"/>
      <c r="J154" s="45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</row>
    <row r="155" spans="2:24" x14ac:dyDescent="0.25">
      <c r="B155" s="44"/>
      <c r="C155" s="45"/>
      <c r="D155" s="45"/>
      <c r="E155" s="45"/>
      <c r="F155" s="45"/>
      <c r="G155" s="45"/>
      <c r="H155" s="45"/>
      <c r="I155" s="45"/>
      <c r="J155" s="45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</row>
    <row r="156" spans="2:24" x14ac:dyDescent="0.25">
      <c r="B156" s="44"/>
      <c r="C156" s="45"/>
      <c r="D156" s="45"/>
      <c r="E156" s="45"/>
      <c r="F156" s="45"/>
      <c r="G156" s="45"/>
      <c r="H156" s="45"/>
      <c r="I156" s="45"/>
      <c r="J156" s="45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</row>
    <row r="157" spans="2:24" x14ac:dyDescent="0.25">
      <c r="B157" s="44"/>
      <c r="C157" s="45"/>
      <c r="D157" s="45"/>
      <c r="E157" s="45"/>
      <c r="F157" s="45"/>
      <c r="G157" s="45"/>
      <c r="H157" s="45"/>
      <c r="I157" s="45"/>
      <c r="J157" s="45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</row>
    <row r="158" spans="2:24" x14ac:dyDescent="0.25">
      <c r="B158" s="44"/>
      <c r="C158" s="45"/>
      <c r="D158" s="45"/>
      <c r="E158" s="45"/>
      <c r="F158" s="45"/>
      <c r="G158" s="45"/>
      <c r="H158" s="45"/>
      <c r="I158" s="45"/>
      <c r="J158" s="45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</row>
    <row r="159" spans="2:24" x14ac:dyDescent="0.25">
      <c r="B159" s="44"/>
      <c r="C159" s="45"/>
      <c r="D159" s="45"/>
      <c r="E159" s="45"/>
      <c r="F159" s="45"/>
      <c r="G159" s="45"/>
      <c r="H159" s="45"/>
      <c r="I159" s="45"/>
      <c r="J159" s="45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</row>
    <row r="160" spans="2:24" x14ac:dyDescent="0.25">
      <c r="B160" s="44"/>
      <c r="C160" s="45"/>
      <c r="D160" s="45"/>
      <c r="E160" s="45"/>
      <c r="F160" s="45"/>
      <c r="G160" s="45"/>
      <c r="H160" s="45"/>
      <c r="I160" s="45"/>
      <c r="J160" s="45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2:24" x14ac:dyDescent="0.25">
      <c r="B161" s="44"/>
      <c r="C161" s="45"/>
      <c r="D161" s="45"/>
      <c r="E161" s="45"/>
      <c r="F161" s="45"/>
      <c r="G161" s="45"/>
      <c r="H161" s="45"/>
      <c r="I161" s="45"/>
      <c r="J161" s="45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</row>
    <row r="162" spans="2:24" x14ac:dyDescent="0.25">
      <c r="B162" s="44"/>
      <c r="C162" s="45"/>
      <c r="D162" s="45"/>
      <c r="E162" s="45"/>
      <c r="F162" s="45"/>
      <c r="G162" s="45"/>
      <c r="H162" s="45"/>
      <c r="I162" s="45"/>
      <c r="J162" s="45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</row>
    <row r="163" spans="2:24" x14ac:dyDescent="0.25">
      <c r="B163" s="44"/>
      <c r="C163" s="45"/>
      <c r="D163" s="45"/>
      <c r="E163" s="45"/>
      <c r="F163" s="45"/>
      <c r="G163" s="45"/>
      <c r="H163" s="45"/>
      <c r="I163" s="45"/>
      <c r="J163" s="45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</row>
    <row r="164" spans="2:24" x14ac:dyDescent="0.25">
      <c r="B164" s="44"/>
      <c r="C164" s="45"/>
      <c r="D164" s="45"/>
      <c r="E164" s="45"/>
      <c r="F164" s="45"/>
      <c r="G164" s="45"/>
      <c r="H164" s="45"/>
      <c r="I164" s="45"/>
      <c r="J164" s="45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</row>
    <row r="165" spans="2:24" x14ac:dyDescent="0.25">
      <c r="B165" s="44"/>
      <c r="C165" s="45"/>
      <c r="D165" s="45"/>
      <c r="E165" s="45"/>
      <c r="F165" s="45"/>
      <c r="G165" s="45"/>
      <c r="H165" s="45"/>
      <c r="I165" s="45"/>
      <c r="J165" s="45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</row>
    <row r="166" spans="2:24" x14ac:dyDescent="0.25">
      <c r="B166" s="44"/>
      <c r="C166" s="45"/>
      <c r="D166" s="45"/>
      <c r="E166" s="45"/>
      <c r="F166" s="45"/>
      <c r="G166" s="45"/>
      <c r="H166" s="45"/>
      <c r="I166" s="45"/>
      <c r="J166" s="45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</row>
    <row r="167" spans="2:24" x14ac:dyDescent="0.25">
      <c r="B167" s="44"/>
      <c r="C167" s="45"/>
      <c r="D167" s="45"/>
      <c r="E167" s="45"/>
      <c r="F167" s="45"/>
      <c r="G167" s="45"/>
      <c r="H167" s="45"/>
      <c r="I167" s="45"/>
      <c r="J167" s="45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</row>
    <row r="168" spans="2:24" x14ac:dyDescent="0.25">
      <c r="B168" s="44"/>
      <c r="C168" s="45"/>
      <c r="D168" s="45"/>
      <c r="E168" s="45"/>
      <c r="F168" s="45"/>
      <c r="G168" s="45"/>
      <c r="H168" s="45"/>
      <c r="I168" s="45"/>
      <c r="J168" s="45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</row>
    <row r="169" spans="2:24" x14ac:dyDescent="0.25">
      <c r="B169" s="44"/>
      <c r="C169" s="45"/>
      <c r="D169" s="45"/>
      <c r="E169" s="45"/>
      <c r="F169" s="45"/>
      <c r="G169" s="45"/>
      <c r="H169" s="45"/>
      <c r="I169" s="45"/>
      <c r="J169" s="45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</row>
    <row r="170" spans="2:24" x14ac:dyDescent="0.25">
      <c r="B170" s="44"/>
      <c r="C170" s="45"/>
      <c r="D170" s="45"/>
      <c r="E170" s="45"/>
      <c r="F170" s="45"/>
      <c r="G170" s="45"/>
      <c r="H170" s="45"/>
      <c r="I170" s="45"/>
      <c r="J170" s="45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</row>
    <row r="171" spans="2:24" x14ac:dyDescent="0.25">
      <c r="B171" s="44"/>
      <c r="C171" s="45"/>
      <c r="D171" s="45"/>
      <c r="E171" s="45"/>
      <c r="F171" s="45"/>
      <c r="G171" s="45"/>
      <c r="H171" s="45"/>
      <c r="I171" s="45"/>
      <c r="J171" s="45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</row>
    <row r="172" spans="2:24" x14ac:dyDescent="0.25">
      <c r="B172" s="44"/>
      <c r="C172" s="45"/>
      <c r="D172" s="45"/>
      <c r="E172" s="45"/>
      <c r="F172" s="45"/>
      <c r="G172" s="45"/>
      <c r="H172" s="45"/>
      <c r="I172" s="45"/>
      <c r="J172" s="45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</row>
    <row r="173" spans="2:24" x14ac:dyDescent="0.25">
      <c r="B173" s="44"/>
      <c r="C173" s="45"/>
      <c r="D173" s="45"/>
      <c r="E173" s="45"/>
      <c r="F173" s="45"/>
      <c r="G173" s="45"/>
      <c r="H173" s="45"/>
      <c r="I173" s="45"/>
      <c r="J173" s="45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</row>
    <row r="174" spans="2:24" x14ac:dyDescent="0.25">
      <c r="B174" s="44"/>
      <c r="C174" s="45"/>
      <c r="D174" s="45"/>
      <c r="E174" s="45"/>
      <c r="F174" s="45"/>
      <c r="G174" s="45"/>
      <c r="H174" s="45"/>
      <c r="I174" s="45"/>
      <c r="J174" s="45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</row>
    <row r="175" spans="2:24" x14ac:dyDescent="0.25">
      <c r="B175" s="44"/>
      <c r="C175" s="45"/>
      <c r="D175" s="45"/>
      <c r="E175" s="45"/>
      <c r="F175" s="45"/>
      <c r="G175" s="45"/>
      <c r="H175" s="45"/>
      <c r="I175" s="45"/>
      <c r="J175" s="45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</row>
    <row r="176" spans="2:24" x14ac:dyDescent="0.25">
      <c r="B176" s="44"/>
      <c r="C176" s="45"/>
      <c r="D176" s="45"/>
      <c r="E176" s="45"/>
      <c r="F176" s="45"/>
      <c r="G176" s="45"/>
      <c r="H176" s="45"/>
      <c r="I176" s="45"/>
      <c r="J176" s="45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</row>
    <row r="177" spans="2:24" x14ac:dyDescent="0.25">
      <c r="B177" s="44"/>
      <c r="C177" s="45"/>
      <c r="D177" s="45"/>
      <c r="E177" s="45"/>
      <c r="F177" s="45"/>
      <c r="G177" s="45"/>
      <c r="H177" s="45"/>
      <c r="I177" s="45"/>
      <c r="J177" s="45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</row>
    <row r="178" spans="2:24" x14ac:dyDescent="0.25">
      <c r="B178" s="44"/>
      <c r="C178" s="45"/>
      <c r="D178" s="45"/>
      <c r="E178" s="45"/>
      <c r="F178" s="45"/>
      <c r="G178" s="45"/>
      <c r="H178" s="45"/>
      <c r="I178" s="45"/>
      <c r="J178" s="45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</row>
    <row r="179" spans="2:24" x14ac:dyDescent="0.25">
      <c r="B179" s="44"/>
      <c r="C179" s="45"/>
      <c r="D179" s="45"/>
      <c r="E179" s="45"/>
      <c r="F179" s="45"/>
      <c r="G179" s="45"/>
      <c r="H179" s="45"/>
      <c r="I179" s="45"/>
      <c r="J179" s="45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</row>
    <row r="180" spans="2:24" x14ac:dyDescent="0.25">
      <c r="B180" s="44"/>
      <c r="C180" s="45"/>
      <c r="D180" s="45"/>
      <c r="E180" s="45"/>
      <c r="F180" s="45"/>
      <c r="G180" s="45"/>
      <c r="H180" s="45"/>
      <c r="I180" s="45"/>
      <c r="J180" s="45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</row>
    <row r="181" spans="2:24" x14ac:dyDescent="0.25">
      <c r="B181" s="44"/>
      <c r="C181" s="45"/>
      <c r="D181" s="45"/>
      <c r="E181" s="45"/>
      <c r="F181" s="45"/>
      <c r="G181" s="45"/>
      <c r="H181" s="45"/>
      <c r="I181" s="45"/>
      <c r="J181" s="45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</row>
    <row r="182" spans="2:24" x14ac:dyDescent="0.25">
      <c r="B182" s="44"/>
      <c r="C182" s="45"/>
      <c r="D182" s="45"/>
      <c r="E182" s="45"/>
      <c r="F182" s="45"/>
      <c r="G182" s="45"/>
      <c r="H182" s="45"/>
      <c r="I182" s="45"/>
      <c r="J182" s="45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</row>
    <row r="183" spans="2:24" x14ac:dyDescent="0.25">
      <c r="B183" s="44"/>
      <c r="C183" s="45"/>
      <c r="D183" s="45"/>
      <c r="E183" s="45"/>
      <c r="F183" s="45"/>
      <c r="G183" s="45"/>
      <c r="H183" s="45"/>
      <c r="I183" s="45"/>
      <c r="J183" s="45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</row>
    <row r="184" spans="2:24" x14ac:dyDescent="0.25">
      <c r="B184" s="44"/>
      <c r="C184" s="45"/>
      <c r="D184" s="45"/>
      <c r="E184" s="45"/>
      <c r="F184" s="45"/>
      <c r="G184" s="45"/>
      <c r="H184" s="45"/>
      <c r="I184" s="45"/>
      <c r="J184" s="45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</row>
    <row r="185" spans="2:24" x14ac:dyDescent="0.25">
      <c r="B185" s="44"/>
      <c r="C185" s="45"/>
      <c r="D185" s="45"/>
      <c r="E185" s="45"/>
      <c r="F185" s="45"/>
      <c r="G185" s="45"/>
      <c r="H185" s="45"/>
      <c r="I185" s="45"/>
      <c r="J185" s="45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</row>
    <row r="186" spans="2:24" x14ac:dyDescent="0.25">
      <c r="B186" s="44"/>
      <c r="C186" s="45"/>
      <c r="D186" s="45"/>
      <c r="E186" s="45"/>
      <c r="F186" s="45"/>
      <c r="G186" s="45"/>
      <c r="H186" s="45"/>
      <c r="I186" s="45"/>
      <c r="J186" s="45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</row>
    <row r="187" spans="2:24" x14ac:dyDescent="0.25">
      <c r="B187" s="44"/>
      <c r="C187" s="45"/>
      <c r="D187" s="45"/>
      <c r="E187" s="45"/>
      <c r="F187" s="45"/>
      <c r="G187" s="45"/>
      <c r="H187" s="45"/>
      <c r="I187" s="45"/>
      <c r="J187" s="45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</row>
    <row r="188" spans="2:24" x14ac:dyDescent="0.25">
      <c r="B188" s="44"/>
      <c r="C188" s="45"/>
      <c r="D188" s="45"/>
      <c r="E188" s="45"/>
      <c r="F188" s="45"/>
      <c r="G188" s="45"/>
      <c r="H188" s="45"/>
      <c r="I188" s="45"/>
      <c r="J188" s="45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</row>
    <row r="189" spans="2:24" x14ac:dyDescent="0.25">
      <c r="B189" s="44"/>
      <c r="C189" s="45"/>
      <c r="D189" s="45"/>
      <c r="E189" s="45"/>
      <c r="F189" s="45"/>
      <c r="G189" s="45"/>
      <c r="H189" s="45"/>
      <c r="I189" s="45"/>
      <c r="J189" s="45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</row>
    <row r="190" spans="2:24" x14ac:dyDescent="0.25">
      <c r="B190" s="44"/>
      <c r="C190" s="45"/>
      <c r="D190" s="45"/>
      <c r="E190" s="45"/>
      <c r="F190" s="45"/>
      <c r="G190" s="45"/>
      <c r="H190" s="45"/>
      <c r="I190" s="45"/>
      <c r="J190" s="45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</row>
    <row r="191" spans="2:24" x14ac:dyDescent="0.25">
      <c r="B191" s="44"/>
      <c r="C191" s="45"/>
      <c r="D191" s="45"/>
      <c r="E191" s="45"/>
      <c r="F191" s="45"/>
      <c r="G191" s="45"/>
      <c r="H191" s="45"/>
      <c r="I191" s="45"/>
      <c r="J191" s="45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</row>
    <row r="192" spans="2:24" x14ac:dyDescent="0.25">
      <c r="B192" s="44"/>
      <c r="C192" s="45"/>
      <c r="D192" s="45"/>
      <c r="E192" s="45"/>
      <c r="F192" s="45"/>
      <c r="G192" s="45"/>
      <c r="H192" s="45"/>
      <c r="I192" s="45"/>
      <c r="J192" s="45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</row>
    <row r="193" spans="2:24" x14ac:dyDescent="0.25">
      <c r="B193" s="44"/>
      <c r="C193" s="45"/>
      <c r="D193" s="45"/>
      <c r="E193" s="45"/>
      <c r="F193" s="45"/>
      <c r="G193" s="45"/>
      <c r="H193" s="45"/>
      <c r="I193" s="45"/>
      <c r="J193" s="45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</row>
    <row r="194" spans="2:24" x14ac:dyDescent="0.25">
      <c r="B194" s="44"/>
      <c r="C194" s="45"/>
      <c r="D194" s="45"/>
      <c r="E194" s="45"/>
      <c r="F194" s="45"/>
      <c r="G194" s="45"/>
      <c r="H194" s="45"/>
      <c r="I194" s="45"/>
      <c r="J194" s="45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</row>
    <row r="195" spans="2:24" x14ac:dyDescent="0.25">
      <c r="B195" s="44"/>
      <c r="C195" s="45"/>
      <c r="D195" s="45"/>
      <c r="E195" s="45"/>
      <c r="F195" s="45"/>
      <c r="G195" s="45"/>
      <c r="H195" s="45"/>
      <c r="I195" s="45"/>
      <c r="J195" s="45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</row>
    <row r="196" spans="2:24" x14ac:dyDescent="0.25">
      <c r="B196" s="44"/>
      <c r="C196" s="45"/>
      <c r="D196" s="45"/>
      <c r="E196" s="45"/>
      <c r="F196" s="45"/>
      <c r="G196" s="45"/>
      <c r="H196" s="45"/>
      <c r="I196" s="45"/>
      <c r="J196" s="45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</row>
    <row r="197" spans="2:24" x14ac:dyDescent="0.25">
      <c r="B197" s="44"/>
      <c r="C197" s="45"/>
      <c r="D197" s="45"/>
      <c r="E197" s="45"/>
      <c r="F197" s="45"/>
      <c r="G197" s="45"/>
      <c r="H197" s="45"/>
      <c r="I197" s="45"/>
      <c r="J197" s="45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</row>
    <row r="198" spans="2:24" x14ac:dyDescent="0.25">
      <c r="B198" s="44"/>
      <c r="C198" s="45"/>
      <c r="D198" s="45"/>
      <c r="E198" s="45"/>
      <c r="F198" s="45"/>
      <c r="G198" s="45"/>
      <c r="H198" s="45"/>
      <c r="I198" s="45"/>
      <c r="J198" s="45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</row>
    <row r="199" spans="2:24" x14ac:dyDescent="0.25">
      <c r="B199" s="44"/>
      <c r="C199" s="45"/>
      <c r="D199" s="45"/>
      <c r="E199" s="45"/>
      <c r="F199" s="45"/>
      <c r="G199" s="45"/>
      <c r="H199" s="45"/>
      <c r="I199" s="45"/>
      <c r="J199" s="45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</row>
    <row r="200" spans="2:24" x14ac:dyDescent="0.25">
      <c r="B200" s="44"/>
      <c r="C200" s="45"/>
      <c r="D200" s="45"/>
      <c r="E200" s="45"/>
      <c r="F200" s="45"/>
      <c r="G200" s="45"/>
      <c r="H200" s="45"/>
      <c r="I200" s="45"/>
      <c r="J200" s="45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</row>
    <row r="201" spans="2:24" x14ac:dyDescent="0.25">
      <c r="B201" s="44"/>
      <c r="C201" s="45"/>
      <c r="D201" s="45"/>
      <c r="E201" s="45"/>
      <c r="F201" s="45"/>
      <c r="G201" s="45"/>
      <c r="H201" s="45"/>
      <c r="I201" s="45"/>
      <c r="J201" s="45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</row>
    <row r="202" spans="2:24" x14ac:dyDescent="0.25">
      <c r="B202" s="44"/>
      <c r="C202" s="45"/>
      <c r="D202" s="45"/>
      <c r="E202" s="45"/>
      <c r="F202" s="45"/>
      <c r="G202" s="45"/>
      <c r="H202" s="45"/>
      <c r="I202" s="45"/>
      <c r="J202" s="45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</row>
    <row r="203" spans="2:24" x14ac:dyDescent="0.25">
      <c r="B203" s="44"/>
      <c r="C203" s="45"/>
      <c r="D203" s="45"/>
      <c r="E203" s="45"/>
      <c r="F203" s="45"/>
      <c r="G203" s="45"/>
      <c r="H203" s="45"/>
      <c r="I203" s="45"/>
      <c r="J203" s="45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</row>
    <row r="204" spans="2:24" x14ac:dyDescent="0.25">
      <c r="B204" s="44"/>
      <c r="C204" s="45"/>
      <c r="D204" s="45"/>
      <c r="E204" s="45"/>
      <c r="F204" s="45"/>
      <c r="G204" s="45"/>
      <c r="H204" s="45"/>
      <c r="I204" s="45"/>
      <c r="J204" s="45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</row>
    <row r="205" spans="2:24" x14ac:dyDescent="0.25">
      <c r="B205" s="44"/>
      <c r="C205" s="45"/>
      <c r="D205" s="45"/>
      <c r="E205" s="45"/>
      <c r="F205" s="45"/>
      <c r="G205" s="45"/>
      <c r="H205" s="45"/>
      <c r="I205" s="45"/>
      <c r="J205" s="45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</row>
    <row r="206" spans="2:24" x14ac:dyDescent="0.25">
      <c r="B206" s="44"/>
      <c r="C206" s="45"/>
      <c r="D206" s="45"/>
      <c r="E206" s="45"/>
      <c r="F206" s="45"/>
      <c r="G206" s="45"/>
      <c r="H206" s="45"/>
      <c r="I206" s="45"/>
      <c r="J206" s="45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</row>
    <row r="207" spans="2:24" x14ac:dyDescent="0.25">
      <c r="B207" s="44"/>
      <c r="C207" s="45"/>
      <c r="D207" s="45"/>
      <c r="E207" s="45"/>
      <c r="F207" s="45"/>
      <c r="G207" s="45"/>
      <c r="H207" s="45"/>
      <c r="I207" s="45"/>
      <c r="J207" s="45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</row>
    <row r="208" spans="2:24" x14ac:dyDescent="0.25">
      <c r="B208" s="44"/>
      <c r="C208" s="45"/>
      <c r="D208" s="45"/>
      <c r="E208" s="45"/>
      <c r="F208" s="45"/>
      <c r="G208" s="45"/>
      <c r="H208" s="45"/>
      <c r="I208" s="45"/>
      <c r="J208" s="45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</row>
    <row r="209" spans="2:24" x14ac:dyDescent="0.25">
      <c r="B209" s="44"/>
      <c r="C209" s="45"/>
      <c r="D209" s="45"/>
      <c r="E209" s="45"/>
      <c r="F209" s="45"/>
      <c r="G209" s="45"/>
      <c r="H209" s="45"/>
      <c r="I209" s="45"/>
      <c r="J209" s="45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</row>
    <row r="210" spans="2:24" x14ac:dyDescent="0.25">
      <c r="B210" s="44"/>
      <c r="C210" s="45"/>
      <c r="D210" s="45"/>
      <c r="E210" s="45"/>
      <c r="F210" s="45"/>
      <c r="G210" s="45"/>
      <c r="H210" s="45"/>
      <c r="I210" s="45"/>
      <c r="J210" s="45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</row>
    <row r="211" spans="2:24" x14ac:dyDescent="0.25">
      <c r="B211" s="44"/>
      <c r="C211" s="45"/>
      <c r="D211" s="45"/>
      <c r="E211" s="45"/>
      <c r="F211" s="45"/>
      <c r="G211" s="45"/>
      <c r="H211" s="45"/>
      <c r="I211" s="45"/>
      <c r="J211" s="45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</row>
    <row r="212" spans="2:24" x14ac:dyDescent="0.25">
      <c r="B212" s="44"/>
      <c r="C212" s="45"/>
      <c r="D212" s="45"/>
      <c r="E212" s="45"/>
      <c r="F212" s="45"/>
      <c r="G212" s="45"/>
      <c r="H212" s="45"/>
      <c r="I212" s="45"/>
      <c r="J212" s="45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</row>
    <row r="213" spans="2:24" x14ac:dyDescent="0.25">
      <c r="B213" s="44"/>
      <c r="C213" s="45"/>
      <c r="D213" s="45"/>
      <c r="E213" s="45"/>
      <c r="F213" s="45"/>
      <c r="G213" s="45"/>
      <c r="H213" s="45"/>
      <c r="I213" s="45"/>
      <c r="J213" s="45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</row>
    <row r="214" spans="2:24" x14ac:dyDescent="0.25">
      <c r="B214" s="44"/>
      <c r="C214" s="45"/>
      <c r="D214" s="45"/>
      <c r="E214" s="45"/>
      <c r="F214" s="45"/>
      <c r="G214" s="45"/>
      <c r="H214" s="45"/>
      <c r="I214" s="45"/>
      <c r="J214" s="45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</row>
    <row r="215" spans="2:24" x14ac:dyDescent="0.25">
      <c r="B215" s="44"/>
      <c r="C215" s="45"/>
      <c r="D215" s="45"/>
      <c r="E215" s="45"/>
      <c r="F215" s="45"/>
      <c r="G215" s="45"/>
      <c r="H215" s="45"/>
      <c r="I215" s="45"/>
      <c r="J215" s="45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</row>
    <row r="216" spans="2:24" x14ac:dyDescent="0.25">
      <c r="B216" s="44"/>
      <c r="C216" s="45"/>
      <c r="D216" s="45"/>
      <c r="E216" s="45"/>
      <c r="F216" s="45"/>
      <c r="G216" s="45"/>
      <c r="H216" s="45"/>
      <c r="I216" s="45"/>
      <c r="J216" s="45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</row>
    <row r="217" spans="2:24" x14ac:dyDescent="0.25">
      <c r="B217" s="44"/>
      <c r="C217" s="45"/>
      <c r="D217" s="45"/>
      <c r="E217" s="45"/>
      <c r="F217" s="45"/>
      <c r="G217" s="45"/>
      <c r="H217" s="45"/>
      <c r="I217" s="45"/>
      <c r="J217" s="45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</row>
    <row r="218" spans="2:24" x14ac:dyDescent="0.25">
      <c r="B218" s="44"/>
      <c r="C218" s="45"/>
      <c r="D218" s="45"/>
      <c r="E218" s="45"/>
      <c r="F218" s="45"/>
      <c r="G218" s="45"/>
      <c r="H218" s="45"/>
      <c r="I218" s="45"/>
      <c r="J218" s="45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</row>
    <row r="219" spans="2:24" x14ac:dyDescent="0.25">
      <c r="B219" s="44"/>
      <c r="C219" s="45"/>
      <c r="D219" s="45"/>
      <c r="E219" s="45"/>
      <c r="F219" s="45"/>
      <c r="G219" s="45"/>
      <c r="H219" s="45"/>
      <c r="I219" s="45"/>
      <c r="J219" s="45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</row>
    <row r="220" spans="2:24" x14ac:dyDescent="0.25">
      <c r="B220" s="44"/>
      <c r="C220" s="45"/>
      <c r="D220" s="45"/>
      <c r="E220" s="45"/>
      <c r="F220" s="45"/>
      <c r="G220" s="45"/>
      <c r="H220" s="45"/>
      <c r="I220" s="45"/>
      <c r="J220" s="45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</row>
    <row r="221" spans="2:24" x14ac:dyDescent="0.25">
      <c r="B221" s="44"/>
      <c r="C221" s="45"/>
      <c r="D221" s="45"/>
      <c r="E221" s="45"/>
      <c r="F221" s="45"/>
      <c r="G221" s="45"/>
      <c r="H221" s="45"/>
      <c r="I221" s="45"/>
      <c r="J221" s="45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</row>
    <row r="222" spans="2:24" x14ac:dyDescent="0.25">
      <c r="B222" s="44"/>
      <c r="C222" s="45"/>
      <c r="D222" s="45"/>
      <c r="E222" s="45"/>
      <c r="F222" s="45"/>
      <c r="G222" s="45"/>
      <c r="H222" s="45"/>
      <c r="I222" s="45"/>
      <c r="J222" s="45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</row>
    <row r="223" spans="2:24" x14ac:dyDescent="0.25">
      <c r="B223" s="44"/>
      <c r="C223" s="45"/>
      <c r="D223" s="45"/>
      <c r="E223" s="45"/>
      <c r="F223" s="45"/>
      <c r="G223" s="45"/>
      <c r="H223" s="45"/>
      <c r="I223" s="45"/>
      <c r="J223" s="45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</row>
    <row r="224" spans="2:24" x14ac:dyDescent="0.25">
      <c r="B224" s="44"/>
      <c r="C224" s="45"/>
      <c r="D224" s="45"/>
      <c r="E224" s="45"/>
      <c r="F224" s="45"/>
      <c r="G224" s="45"/>
      <c r="H224" s="45"/>
      <c r="I224" s="45"/>
      <c r="J224" s="45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</row>
    <row r="225" spans="2:24" x14ac:dyDescent="0.25">
      <c r="B225" s="44"/>
      <c r="C225" s="45"/>
      <c r="D225" s="45"/>
      <c r="E225" s="45"/>
      <c r="F225" s="45"/>
      <c r="G225" s="45"/>
      <c r="H225" s="45"/>
      <c r="I225" s="45"/>
      <c r="J225" s="45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</row>
    <row r="226" spans="2:24" x14ac:dyDescent="0.25">
      <c r="B226" s="44"/>
      <c r="C226" s="45"/>
      <c r="D226" s="45"/>
      <c r="E226" s="45"/>
      <c r="F226" s="45"/>
      <c r="G226" s="45"/>
      <c r="H226" s="45"/>
      <c r="I226" s="45"/>
      <c r="J226" s="45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</row>
    <row r="227" spans="2:24" x14ac:dyDescent="0.25">
      <c r="B227" s="44"/>
      <c r="C227" s="45"/>
      <c r="D227" s="45"/>
      <c r="E227" s="45"/>
      <c r="F227" s="45"/>
      <c r="G227" s="45"/>
      <c r="H227" s="45"/>
      <c r="I227" s="45"/>
      <c r="J227" s="45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</row>
    <row r="228" spans="2:24" x14ac:dyDescent="0.25">
      <c r="B228" s="44"/>
      <c r="C228" s="45"/>
      <c r="D228" s="45"/>
      <c r="E228" s="45"/>
      <c r="F228" s="45"/>
      <c r="G228" s="45"/>
      <c r="H228" s="45"/>
      <c r="I228" s="45"/>
      <c r="J228" s="45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</row>
    <row r="229" spans="2:24" x14ac:dyDescent="0.25">
      <c r="B229" s="44"/>
      <c r="C229" s="45"/>
      <c r="D229" s="45"/>
      <c r="E229" s="45"/>
      <c r="F229" s="45"/>
      <c r="G229" s="45"/>
      <c r="H229" s="45"/>
      <c r="I229" s="45"/>
      <c r="J229" s="45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</row>
    <row r="230" spans="2:24" x14ac:dyDescent="0.25">
      <c r="B230" s="44"/>
      <c r="C230" s="45"/>
      <c r="D230" s="45"/>
      <c r="E230" s="45"/>
      <c r="F230" s="45"/>
      <c r="G230" s="45"/>
      <c r="H230" s="45"/>
      <c r="I230" s="45"/>
      <c r="J230" s="45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</row>
    <row r="231" spans="2:24" x14ac:dyDescent="0.25">
      <c r="B231" s="44"/>
      <c r="C231" s="45"/>
      <c r="D231" s="45"/>
      <c r="E231" s="45"/>
      <c r="F231" s="45"/>
      <c r="G231" s="45"/>
      <c r="H231" s="45"/>
      <c r="I231" s="45"/>
      <c r="J231" s="45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</row>
    <row r="232" spans="2:24" x14ac:dyDescent="0.25">
      <c r="B232" s="44"/>
      <c r="C232" s="45"/>
      <c r="D232" s="45"/>
      <c r="E232" s="45"/>
      <c r="F232" s="45"/>
      <c r="G232" s="45"/>
      <c r="H232" s="45"/>
      <c r="I232" s="45"/>
      <c r="J232" s="45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</row>
    <row r="233" spans="2:24" x14ac:dyDescent="0.25">
      <c r="B233" s="44"/>
      <c r="C233" s="45"/>
      <c r="D233" s="45"/>
      <c r="E233" s="45"/>
      <c r="F233" s="45"/>
      <c r="G233" s="45"/>
      <c r="H233" s="45"/>
      <c r="I233" s="45"/>
      <c r="J233" s="45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</row>
    <row r="234" spans="2:24" x14ac:dyDescent="0.25">
      <c r="B234" s="44"/>
      <c r="C234" s="45"/>
      <c r="D234" s="45"/>
      <c r="E234" s="45"/>
      <c r="F234" s="45"/>
      <c r="G234" s="45"/>
      <c r="H234" s="45"/>
      <c r="I234" s="45"/>
      <c r="J234" s="45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</row>
    <row r="235" spans="2:24" x14ac:dyDescent="0.25">
      <c r="B235" s="44"/>
      <c r="C235" s="45"/>
      <c r="D235" s="45"/>
      <c r="E235" s="45"/>
      <c r="F235" s="45"/>
      <c r="G235" s="45"/>
      <c r="H235" s="45"/>
      <c r="I235" s="45"/>
      <c r="J235" s="45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</row>
    <row r="236" spans="2:24" x14ac:dyDescent="0.25">
      <c r="B236" s="44"/>
      <c r="C236" s="45"/>
      <c r="D236" s="45"/>
      <c r="E236" s="45"/>
      <c r="F236" s="45"/>
      <c r="G236" s="45"/>
      <c r="H236" s="45"/>
      <c r="I236" s="45"/>
      <c r="J236" s="45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</row>
    <row r="237" spans="2:24" x14ac:dyDescent="0.25">
      <c r="B237" s="44"/>
      <c r="C237" s="45"/>
      <c r="D237" s="45"/>
      <c r="E237" s="45"/>
      <c r="F237" s="45"/>
      <c r="G237" s="45"/>
      <c r="H237" s="45"/>
      <c r="I237" s="45"/>
      <c r="J237" s="45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</row>
    <row r="238" spans="2:24" x14ac:dyDescent="0.25">
      <c r="B238" s="44"/>
      <c r="C238" s="45"/>
      <c r="D238" s="45"/>
      <c r="E238" s="45"/>
      <c r="F238" s="45"/>
      <c r="G238" s="45"/>
      <c r="H238" s="45"/>
      <c r="I238" s="45"/>
      <c r="J238" s="45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</row>
    <row r="239" spans="2:24" x14ac:dyDescent="0.25">
      <c r="B239" s="44"/>
      <c r="C239" s="45"/>
      <c r="D239" s="45"/>
      <c r="E239" s="45"/>
      <c r="F239" s="45"/>
      <c r="G239" s="45"/>
      <c r="H239" s="45"/>
      <c r="I239" s="45"/>
      <c r="J239" s="45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</row>
    <row r="240" spans="2:24" x14ac:dyDescent="0.25">
      <c r="B240" s="44"/>
      <c r="C240" s="45"/>
      <c r="D240" s="45"/>
      <c r="E240" s="45"/>
      <c r="F240" s="45"/>
      <c r="G240" s="45"/>
      <c r="H240" s="45"/>
      <c r="I240" s="45"/>
      <c r="J240" s="45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</row>
    <row r="241" spans="2:24" x14ac:dyDescent="0.25">
      <c r="B241" s="44"/>
      <c r="C241" s="45"/>
      <c r="D241" s="45"/>
      <c r="E241" s="45"/>
      <c r="F241" s="45"/>
      <c r="G241" s="45"/>
      <c r="H241" s="45"/>
      <c r="I241" s="45"/>
      <c r="J241" s="45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</row>
    <row r="242" spans="2:24" x14ac:dyDescent="0.25">
      <c r="B242" s="44"/>
      <c r="C242" s="45"/>
      <c r="D242" s="45"/>
      <c r="E242" s="45"/>
      <c r="F242" s="45"/>
      <c r="G242" s="45"/>
      <c r="H242" s="45"/>
      <c r="I242" s="45"/>
      <c r="J242" s="45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</row>
    <row r="243" spans="2:24" x14ac:dyDescent="0.25">
      <c r="B243" s="44"/>
      <c r="C243" s="45"/>
      <c r="D243" s="45"/>
      <c r="E243" s="45"/>
      <c r="F243" s="45"/>
      <c r="G243" s="45"/>
      <c r="H243" s="45"/>
      <c r="I243" s="45"/>
      <c r="J243" s="45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</row>
    <row r="244" spans="2:24" x14ac:dyDescent="0.25">
      <c r="B244" s="44"/>
      <c r="C244" s="45"/>
      <c r="D244" s="45"/>
      <c r="E244" s="45"/>
      <c r="F244" s="45"/>
      <c r="G244" s="45"/>
      <c r="H244" s="45"/>
      <c r="I244" s="45"/>
      <c r="J244" s="45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</row>
    <row r="245" spans="2:24" x14ac:dyDescent="0.25">
      <c r="B245" s="44"/>
      <c r="C245" s="45"/>
      <c r="D245" s="45"/>
      <c r="E245" s="45"/>
      <c r="F245" s="45"/>
      <c r="G245" s="45"/>
      <c r="H245" s="45"/>
      <c r="I245" s="45"/>
      <c r="J245" s="45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</row>
    <row r="246" spans="2:24" x14ac:dyDescent="0.25">
      <c r="B246" s="44"/>
      <c r="C246" s="45"/>
      <c r="D246" s="45"/>
      <c r="E246" s="45"/>
      <c r="F246" s="45"/>
      <c r="G246" s="45"/>
      <c r="H246" s="45"/>
      <c r="I246" s="45"/>
      <c r="J246" s="45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</row>
    <row r="247" spans="2:24" x14ac:dyDescent="0.25">
      <c r="B247" s="44"/>
      <c r="C247" s="45"/>
      <c r="D247" s="45"/>
      <c r="E247" s="45"/>
      <c r="F247" s="45"/>
      <c r="G247" s="45"/>
      <c r="H247" s="45"/>
      <c r="I247" s="45"/>
      <c r="J247" s="45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</row>
    <row r="248" spans="2:24" x14ac:dyDescent="0.25">
      <c r="B248" s="44"/>
      <c r="C248" s="45"/>
      <c r="D248" s="45"/>
      <c r="E248" s="45"/>
      <c r="F248" s="45"/>
      <c r="G248" s="45"/>
      <c r="H248" s="45"/>
      <c r="I248" s="45"/>
      <c r="J248" s="45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</row>
    <row r="249" spans="2:24" x14ac:dyDescent="0.25">
      <c r="B249" s="44"/>
      <c r="C249" s="45"/>
      <c r="D249" s="45"/>
      <c r="E249" s="45"/>
      <c r="F249" s="45"/>
      <c r="G249" s="45"/>
      <c r="H249" s="45"/>
      <c r="I249" s="45"/>
      <c r="J249" s="45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</row>
    <row r="250" spans="2:24" x14ac:dyDescent="0.25">
      <c r="B250" s="44"/>
      <c r="C250" s="45"/>
      <c r="D250" s="45"/>
      <c r="E250" s="45"/>
      <c r="F250" s="45"/>
      <c r="G250" s="45"/>
      <c r="H250" s="45"/>
      <c r="I250" s="45"/>
      <c r="J250" s="45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</row>
    <row r="251" spans="2:24" x14ac:dyDescent="0.25">
      <c r="B251" s="44"/>
      <c r="C251" s="45"/>
      <c r="D251" s="45"/>
      <c r="E251" s="45"/>
      <c r="F251" s="45"/>
      <c r="G251" s="45"/>
      <c r="H251" s="45"/>
      <c r="I251" s="45"/>
      <c r="J251" s="45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</row>
    <row r="252" spans="2:24" x14ac:dyDescent="0.25">
      <c r="B252" s="44"/>
      <c r="C252" s="45"/>
      <c r="D252" s="45"/>
      <c r="E252" s="45"/>
      <c r="F252" s="45"/>
      <c r="G252" s="45"/>
      <c r="H252" s="45"/>
      <c r="I252" s="45"/>
      <c r="J252" s="45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</row>
    <row r="253" spans="2:24" x14ac:dyDescent="0.25">
      <c r="B253" s="44"/>
      <c r="C253" s="45"/>
      <c r="D253" s="45"/>
      <c r="E253" s="45"/>
      <c r="F253" s="45"/>
      <c r="G253" s="45"/>
      <c r="H253" s="45"/>
      <c r="I253" s="45"/>
      <c r="J253" s="45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</row>
    <row r="254" spans="2:24" x14ac:dyDescent="0.25">
      <c r="B254" s="44"/>
      <c r="C254" s="45"/>
      <c r="D254" s="45"/>
      <c r="E254" s="45"/>
      <c r="F254" s="45"/>
      <c r="G254" s="45"/>
      <c r="H254" s="45"/>
      <c r="I254" s="45"/>
      <c r="J254" s="45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</row>
    <row r="255" spans="2:24" x14ac:dyDescent="0.25">
      <c r="B255" s="44"/>
      <c r="C255" s="45"/>
      <c r="D255" s="45"/>
      <c r="E255" s="45"/>
      <c r="F255" s="45"/>
      <c r="G255" s="45"/>
      <c r="H255" s="45"/>
      <c r="I255" s="45"/>
      <c r="J255" s="45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</row>
    <row r="256" spans="2:24" x14ac:dyDescent="0.25">
      <c r="B256" s="44"/>
      <c r="C256" s="45"/>
      <c r="D256" s="45"/>
      <c r="E256" s="45"/>
      <c r="F256" s="45"/>
      <c r="G256" s="45"/>
      <c r="H256" s="45"/>
      <c r="I256" s="45"/>
      <c r="J256" s="45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</row>
    <row r="257" spans="2:24" x14ac:dyDescent="0.25">
      <c r="B257" s="44"/>
      <c r="C257" s="45"/>
      <c r="D257" s="45"/>
      <c r="E257" s="45"/>
      <c r="F257" s="45"/>
      <c r="G257" s="45"/>
      <c r="H257" s="45"/>
      <c r="I257" s="45"/>
      <c r="J257" s="45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</row>
    <row r="258" spans="2:24" x14ac:dyDescent="0.25">
      <c r="B258" s="44"/>
      <c r="C258" s="45"/>
      <c r="D258" s="45"/>
      <c r="E258" s="45"/>
      <c r="F258" s="45"/>
      <c r="G258" s="45"/>
      <c r="H258" s="45"/>
      <c r="I258" s="45"/>
      <c r="J258" s="45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</row>
    <row r="259" spans="2:24" x14ac:dyDescent="0.25">
      <c r="B259" s="44"/>
      <c r="C259" s="45"/>
      <c r="D259" s="45"/>
      <c r="E259" s="45"/>
      <c r="F259" s="45"/>
      <c r="G259" s="45"/>
      <c r="H259" s="45"/>
      <c r="I259" s="45"/>
      <c r="J259" s="45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</row>
    <row r="260" spans="2:24" x14ac:dyDescent="0.25">
      <c r="B260" s="44"/>
      <c r="C260" s="45"/>
      <c r="D260" s="45"/>
      <c r="E260" s="45"/>
      <c r="F260" s="45"/>
      <c r="G260" s="45"/>
      <c r="H260" s="45"/>
      <c r="I260" s="45"/>
      <c r="J260" s="45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</row>
    <row r="261" spans="2:24" x14ac:dyDescent="0.25">
      <c r="B261" s="44"/>
      <c r="C261" s="45"/>
      <c r="D261" s="45"/>
      <c r="E261" s="45"/>
      <c r="F261" s="45"/>
      <c r="G261" s="45"/>
      <c r="H261" s="45"/>
      <c r="I261" s="45"/>
      <c r="J261" s="45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</row>
    <row r="262" spans="2:24" x14ac:dyDescent="0.25">
      <c r="B262" s="44"/>
      <c r="C262" s="45"/>
      <c r="D262" s="45"/>
      <c r="E262" s="45"/>
      <c r="F262" s="45"/>
      <c r="G262" s="45"/>
      <c r="H262" s="45"/>
      <c r="I262" s="45"/>
      <c r="J262" s="45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</row>
    <row r="263" spans="2:24" x14ac:dyDescent="0.25">
      <c r="B263" s="44"/>
      <c r="C263" s="45"/>
      <c r="D263" s="45"/>
      <c r="E263" s="45"/>
      <c r="F263" s="45"/>
      <c r="G263" s="45"/>
      <c r="H263" s="45"/>
      <c r="I263" s="45"/>
      <c r="J263" s="45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</row>
    <row r="264" spans="2:24" x14ac:dyDescent="0.25">
      <c r="B264" s="44"/>
      <c r="C264" s="45"/>
      <c r="D264" s="45"/>
      <c r="E264" s="45"/>
      <c r="F264" s="45"/>
      <c r="G264" s="45"/>
      <c r="H264" s="45"/>
      <c r="I264" s="45"/>
      <c r="J264" s="45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</row>
    <row r="265" spans="2:24" x14ac:dyDescent="0.25">
      <c r="B265" s="44"/>
      <c r="C265" s="45"/>
      <c r="D265" s="45"/>
      <c r="E265" s="45"/>
      <c r="F265" s="45"/>
      <c r="G265" s="45"/>
      <c r="H265" s="45"/>
      <c r="I265" s="45"/>
      <c r="J265" s="45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</row>
    <row r="266" spans="2:24" x14ac:dyDescent="0.25">
      <c r="B266" s="44"/>
      <c r="C266" s="45"/>
      <c r="D266" s="45"/>
      <c r="E266" s="45"/>
      <c r="F266" s="45"/>
      <c r="G266" s="45"/>
      <c r="H266" s="45"/>
      <c r="I266" s="45"/>
      <c r="J266" s="45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</row>
    <row r="267" spans="2:24" x14ac:dyDescent="0.25">
      <c r="B267" s="44"/>
      <c r="C267" s="45"/>
      <c r="D267" s="45"/>
      <c r="E267" s="45"/>
      <c r="F267" s="45"/>
      <c r="G267" s="45"/>
      <c r="H267" s="45"/>
      <c r="I267" s="45"/>
      <c r="J267" s="45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</row>
    <row r="268" spans="2:24" x14ac:dyDescent="0.25">
      <c r="B268" s="44"/>
      <c r="C268" s="45"/>
      <c r="D268" s="45"/>
      <c r="E268" s="45"/>
      <c r="F268" s="45"/>
      <c r="G268" s="45"/>
      <c r="H268" s="45"/>
      <c r="I268" s="45"/>
      <c r="J268" s="45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</row>
    <row r="269" spans="2:24" x14ac:dyDescent="0.25">
      <c r="B269" s="44"/>
      <c r="C269" s="45"/>
      <c r="D269" s="45"/>
      <c r="E269" s="45"/>
      <c r="F269" s="45"/>
      <c r="G269" s="45"/>
      <c r="H269" s="45"/>
      <c r="I269" s="45"/>
      <c r="J269" s="45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</row>
    <row r="270" spans="2:24" x14ac:dyDescent="0.25">
      <c r="B270" s="44"/>
      <c r="C270" s="45"/>
      <c r="D270" s="45"/>
      <c r="E270" s="45"/>
      <c r="F270" s="45"/>
      <c r="G270" s="45"/>
      <c r="H270" s="45"/>
      <c r="I270" s="45"/>
      <c r="J270" s="45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</row>
    <row r="271" spans="2:24" x14ac:dyDescent="0.25">
      <c r="B271" s="44"/>
      <c r="C271" s="45"/>
      <c r="D271" s="45"/>
      <c r="E271" s="45"/>
      <c r="F271" s="45"/>
      <c r="G271" s="45"/>
      <c r="H271" s="45"/>
      <c r="I271" s="45"/>
      <c r="J271" s="45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</row>
    <row r="272" spans="2:24" x14ac:dyDescent="0.25">
      <c r="B272" s="44"/>
      <c r="C272" s="45"/>
      <c r="D272" s="45"/>
      <c r="E272" s="45"/>
      <c r="F272" s="45"/>
      <c r="G272" s="45"/>
      <c r="H272" s="45"/>
      <c r="I272" s="45"/>
      <c r="J272" s="45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</row>
    <row r="273" spans="2:24" x14ac:dyDescent="0.25">
      <c r="B273" s="44"/>
      <c r="C273" s="45"/>
      <c r="D273" s="45"/>
      <c r="E273" s="45"/>
      <c r="F273" s="45"/>
      <c r="G273" s="45"/>
      <c r="H273" s="45"/>
      <c r="I273" s="45"/>
      <c r="J273" s="45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</row>
  </sheetData>
  <mergeCells count="18">
    <mergeCell ref="I16:I17"/>
    <mergeCell ref="J16:J17"/>
    <mergeCell ref="G2:G3"/>
    <mergeCell ref="H2:H3"/>
    <mergeCell ref="I2:I3"/>
    <mergeCell ref="J2:J3"/>
    <mergeCell ref="G16:G17"/>
    <mergeCell ref="H16:H17"/>
    <mergeCell ref="B16:B17"/>
    <mergeCell ref="C16:C17"/>
    <mergeCell ref="D16:D17"/>
    <mergeCell ref="E16:E17"/>
    <mergeCell ref="F16:F17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2019-09-13T20:32:08Z</cp:lastPrinted>
  <dcterms:created xsi:type="dcterms:W3CDTF">2015-06-16T16:58:48Z</dcterms:created>
  <dcterms:modified xsi:type="dcterms:W3CDTF">2024-02-22T00:04:54Z</dcterms:modified>
</cp:coreProperties>
</file>